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publishItems="1" defaultThemeVersion="124226"/>
  <mc:AlternateContent xmlns:mc="http://schemas.openxmlformats.org/markup-compatibility/2006">
    <mc:Choice Requires="x15">
      <x15ac:absPath xmlns:x15ac="http://schemas.microsoft.com/office/spreadsheetml/2010/11/ac" url="C:\Users\RLKor\Box\B_WORK\Lunar Meteorites Website - working\"/>
    </mc:Choice>
  </mc:AlternateContent>
  <xr:revisionPtr revIDLastSave="0" documentId="13_ncr:1_{FE213B42-8FEA-41CB-B40E-40E2BAB836B0}" xr6:coauthVersionLast="47" xr6:coauthVersionMax="47" xr10:uidLastSave="{00000000-0000-0000-0000-000000000000}"/>
  <bookViews>
    <workbookView xWindow="2055" yWindow="105" windowWidth="22725" windowHeight="15210" xr2:uid="{00000000-000D-0000-FFFF-FFFF00000000}"/>
  </bookViews>
  <sheets>
    <sheet name="moon_meteorites_list_alpha" sheetId="4" r:id="rId1"/>
  </sheets>
  <externalReferences>
    <externalReference r:id="rId2"/>
  </externalReferences>
  <definedNames>
    <definedName name="AAU">moon_meteorites_list_alpha!$D$26</definedName>
    <definedName name="Adrar">moon_meteorites_list_alpha!$D$27</definedName>
    <definedName name="AeF">moon_meteorites_list_alpha!$D$31</definedName>
    <definedName name="AgMa">moon_meteorites_list_alpha!$D$32</definedName>
    <definedName name="Ajd">moon_meteorites_list_alpha!$D$34</definedName>
    <definedName name="AlAw">moon_meteorites_list_alpha!$D$36</definedName>
    <definedName name="ALH">moon_meteorites_list_alpha!$D$37</definedName>
    <definedName name="ALL" publishToServer="1">moon_meteorites_list_alpha!$B$1:$T$890</definedName>
    <definedName name="ANOUAL">moon_meteorites_list_alpha!$D$38</definedName>
    <definedName name="AP">moon_meteorites_list_alpha!$D$39</definedName>
    <definedName name="AQS">moon_meteorites_list_alpha!$D$40</definedName>
    <definedName name="Araou">moon_meteorites_list_alpha!$D$42</definedName>
    <definedName name="Argui">moon_meteorites_list_alpha!$D$43</definedName>
    <definedName name="ARIDAL">moon_meteorites_list_alpha!$D$44</definedName>
    <definedName name="Ash_Shaq">moon_meteorites_list_alpha!$D$45</definedName>
    <definedName name="ASUKA">moon_meteorites_list_alpha!$D$49</definedName>
    <definedName name="Bechar">moon_meteorites_list_alpha!$D$51</definedName>
    <definedName name="BiG">moon_meteorites_list_alpha!$D$59</definedName>
    <definedName name="CALCR">moon_meteorites_list_alpha!$D$50</definedName>
    <definedName name="CHOUM">moon_meteorites_list_alpha!$D$61</definedName>
    <definedName name="DAG">moon_meteorites_list_alpha!$D$62</definedName>
    <definedName name="DeA">moon_meteorites_list_alpha!$D$68</definedName>
    <definedName name="DEW">moon_meteorites_list_alpha!$D$207</definedName>
    <definedName name="DHOFAR">moon_meteorites_list_alpha!$D$70</definedName>
    <definedName name="DOM">moon_meteorites_list_alpha!$D$138</definedName>
    <definedName name="EA">moon_meteorites_list_alpha!$D$151</definedName>
    <definedName name="EET">moon_meteorites_list_alpha!$D$144</definedName>
    <definedName name="ElA">moon_meteorites_list_alpha!$D$146</definedName>
    <definedName name="ElH">moon_meteorites_list_alpha!$D$147</definedName>
    <definedName name="ElM">moon_meteorites_list_alpha!$D$148</definedName>
    <definedName name="Err">moon_meteorites_list_alpha!$D$152</definedName>
    <definedName name="GADA">moon_meteorites_list_alpha!$C$153</definedName>
    <definedName name="Galb">moon_meteorites_list_alpha!$D$159</definedName>
    <definedName name="GalbInal">moon_meteorites_list_alpha!#REF!</definedName>
    <definedName name="GHAD">moon_meteorites_list_alpha!$D$160</definedName>
    <definedName name="GHAR">moon_meteorites_list_alpha!$D$161</definedName>
    <definedName name="GRA">moon_meteorites_list_alpha!$D$163</definedName>
    <definedName name="GRAVES">moon_meteorites_list_alpha!#REF!</definedName>
    <definedName name="Grizim">moon_meteorites_list_alpha!$D$164</definedName>
    <definedName name="GRM">moon_meteorites_list_alpha!$D$165</definedName>
    <definedName name="GRV">moon_meteorites_list_alpha!#REF!</definedName>
    <definedName name="Guem">moon_meteorites_list_alpha!$D$166</definedName>
    <definedName name="HassiTouil">moon_meteorites_list_alpha!$D$167</definedName>
    <definedName name="HaZ">moon_meteorites_list_alpha!$D$171</definedName>
    <definedName name="HeB">moon_meteorites_list_alpha!$D$168</definedName>
    <definedName name="InI">moon_meteorites_list_alpha!$D$173</definedName>
    <definedName name="Istifane">moon_meteorites_list_alpha!$D$174</definedName>
    <definedName name="JAH">moon_meteorites_list_alpha!$D$175</definedName>
    <definedName name="KALAHARI">moon_meteorites_list_alpha!$D$178</definedName>
    <definedName name="Laay">moon_meteorites_list_alpha!$D$181</definedName>
    <definedName name="LAGAD">moon_meteorites_list_alpha!$D$183</definedName>
    <definedName name="LAHMADA">moon_meteorites_list_alpha!$D$185</definedName>
    <definedName name="LAP">moon_meteorites_list_alpha!$D$189</definedName>
    <definedName name="LARKMAN">moon_meteorites_list_alpha!$D$195</definedName>
    <definedName name="LYNCH">moon_meteorites_list_alpha!$D$196</definedName>
    <definedName name="MAC">moon_meteorites_list_alpha!$D$197</definedName>
    <definedName name="MET">moon_meteorites_list_alpha!$D$199</definedName>
    <definedName name="MILLER">moon_meteorites_list_alpha!$D$200</definedName>
    <definedName name="NEA">moon_meteorites_list_alpha!$D$209</definedName>
    <definedName name="NWA">moon_meteorites_list_alpha!$D$220</definedName>
    <definedName name="OEH">moon_meteorites_list_alpha!$D$811</definedName>
    <definedName name="OUAR">moon_meteorites_list_alpha!$D$813</definedName>
    <definedName name="OUED">moon_meteorites_list_alpha!$D$812</definedName>
    <definedName name="Pake_005">moon_meteorites_list_alpha!$D$816</definedName>
    <definedName name="PEC">moon_meteorites_list_alpha!$D$812</definedName>
    <definedName name="PECORA">moon_meteorites_list_alpha!$D$817</definedName>
    <definedName name="QUE">moon_meteorites_list_alpha!$D$818</definedName>
    <definedName name="Qued">moon_meteorites_list_alpha!$D$821</definedName>
    <definedName name="RABT">moon_meteorites_list_alpha!$D$822</definedName>
    <definedName name="RAFA">moon_meteorites_list_alpha!$D$830</definedName>
    <definedName name="Rafs">moon_meteorites_list_alpha!$D$828</definedName>
    <definedName name="Regg">moon_meteorites_list_alpha!$D$829</definedName>
    <definedName name="SAU">moon_meteorites_list_alpha!$D$833</definedName>
    <definedName name="SHISR">moon_meteorites_list_alpha!$D$836</definedName>
    <definedName name="SUEI">moon_meteorites_list_alpha!$D$841</definedName>
    <definedName name="Sway">moon_meteorites_list_alpha!$D$842</definedName>
    <definedName name="Tal">moon_meteorites_list_alpha!$D$845</definedName>
    <definedName name="Tata">moon_meteorites_list_alpha!$D$846</definedName>
    <definedName name="TE">moon_meteorites_list_alpha!$D$851</definedName>
    <definedName name="Tichiya">moon_meteorites_list_alpha!$D$847</definedName>
    <definedName name="Tifa">moon_meteorites_list_alpha!$D$849</definedName>
    <definedName name="Time">moon_meteorites_list_alpha!$D$850</definedName>
    <definedName name="Tiris">moon_meteorites_list_alpha!$D$852</definedName>
    <definedName name="Tisserlitine">moon_meteorites_list_alpha!$D$853</definedName>
    <definedName name="TOP">moon_meteorites_list_alpha!$B$16</definedName>
    <definedName name="Touat">moon_meteorites_list_alpha!$D$858</definedName>
    <definedName name="YAMATO">moon_meteorites_list_alpha!$D$864</definedName>
    <definedName name="YANAI">moon_meteorites_list_alpha!$D$869</definedName>
  </definedNames>
  <calcPr calcId="191029"/>
  <webPublishObjects count="1">
    <webPublishObject id="27513" divId="moon_meteorites_list_alpha_excel_27513" sourceObject="ALL" destinationFile="C:\Users\RLKor\Box\B_WORK\Lunar Meteorites Website - working\moon_meteorites_list_alpha.htm" title="List of Lunar Meteorites - Alphanumeric Order" autoRepublish="1"/>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15" i="4" l="1"/>
  <c r="Z815" i="4"/>
  <c r="D764" i="4"/>
  <c r="D30" i="4"/>
  <c r="D146" i="4"/>
  <c r="D772" i="4"/>
  <c r="D771" i="4"/>
  <c r="D769" i="4"/>
  <c r="D765" i="4"/>
  <c r="D760" i="4"/>
  <c r="D758" i="4"/>
  <c r="Z772" i="4"/>
  <c r="Z765" i="4"/>
  <c r="Z771" i="4"/>
  <c r="Z769" i="4"/>
  <c r="Z764" i="4"/>
  <c r="Z760" i="4"/>
  <c r="Z758" i="4"/>
  <c r="Z30" i="4"/>
  <c r="Z146" i="4"/>
  <c r="D761" i="4"/>
  <c r="D763" i="4"/>
  <c r="D762" i="4"/>
  <c r="Z761" i="4"/>
  <c r="Z762" i="4"/>
  <c r="Z763" i="4"/>
  <c r="D753" i="4"/>
  <c r="Z753" i="4"/>
  <c r="Z745" i="4"/>
  <c r="Z744" i="4"/>
  <c r="D745" i="4"/>
  <c r="D744" i="4"/>
  <c r="D219" i="4"/>
  <c r="D47" i="4"/>
  <c r="Z219" i="4"/>
  <c r="Z48" i="4"/>
  <c r="D48" i="4"/>
  <c r="D773" i="4"/>
  <c r="D770" i="4"/>
  <c r="D768" i="4" l="1"/>
  <c r="Z773" i="4"/>
  <c r="Z770" i="4"/>
  <c r="D166" i="4"/>
  <c r="D860" i="4"/>
  <c r="D859" i="4"/>
  <c r="D858" i="4"/>
  <c r="Z860" i="4"/>
  <c r="D850" i="4"/>
  <c r="Z850" i="4"/>
  <c r="Z814" i="4"/>
  <c r="D814" i="4"/>
  <c r="D767" i="4"/>
  <c r="D766" i="4"/>
  <c r="Z768" i="4"/>
  <c r="Z767" i="4"/>
  <c r="Z766" i="4"/>
  <c r="Z166" i="4"/>
  <c r="Z41" i="4"/>
  <c r="D41" i="4"/>
  <c r="D759" i="4"/>
  <c r="Z759" i="4"/>
  <c r="D42" i="4" l="1"/>
  <c r="Z42" i="4"/>
  <c r="Z35" i="4" l="1"/>
  <c r="D35" i="4"/>
  <c r="D755" i="4" l="1"/>
  <c r="D752" i="4"/>
  <c r="Z755" i="4"/>
  <c r="Z752" i="4"/>
  <c r="D172" i="4"/>
  <c r="Z172" i="4"/>
  <c r="Z158" i="4"/>
  <c r="D158" i="4"/>
  <c r="D757" i="4" l="1"/>
  <c r="D756" i="4"/>
  <c r="Z757" i="4"/>
  <c r="Z756" i="4"/>
  <c r="Z47" i="4"/>
  <c r="D750" i="4" l="1"/>
  <c r="Z750" i="4"/>
  <c r="D751" i="4" l="1"/>
  <c r="Z751" i="4"/>
  <c r="Z170" i="4"/>
  <c r="D170" i="4"/>
  <c r="Z856" i="4" l="1"/>
  <c r="D856" i="4"/>
  <c r="Z855" i="4"/>
  <c r="D855" i="4"/>
  <c r="D754" i="4"/>
  <c r="D748" i="4"/>
  <c r="Z754" i="4"/>
  <c r="Z748" i="4"/>
  <c r="Z741" i="4"/>
  <c r="Z740" i="4"/>
  <c r="Z739" i="4"/>
  <c r="D741" i="4"/>
  <c r="D740" i="4"/>
  <c r="D739" i="4"/>
  <c r="D218" i="4"/>
  <c r="D217" i="4"/>
  <c r="D216" i="4"/>
  <c r="Z218" i="4"/>
  <c r="Z217" i="4"/>
  <c r="Z216" i="4"/>
  <c r="D220" i="4"/>
  <c r="Z220" i="4"/>
  <c r="D221" i="4"/>
  <c r="Z221" i="4"/>
  <c r="D222" i="4"/>
  <c r="Z222" i="4"/>
  <c r="D749" i="4" l="1"/>
  <c r="D746" i="4"/>
  <c r="Z749" i="4"/>
  <c r="Z746" i="4"/>
  <c r="D851" i="4"/>
  <c r="Z851" i="4"/>
  <c r="D747" i="4"/>
  <c r="D743" i="4"/>
  <c r="Z747" i="4"/>
  <c r="Z743" i="4"/>
  <c r="D720" i="4"/>
  <c r="Z720" i="4"/>
  <c r="D742" i="4" l="1"/>
  <c r="Z742" i="4"/>
  <c r="D738" i="4"/>
  <c r="Z738" i="4"/>
  <c r="D215" i="4"/>
  <c r="Z215" i="4"/>
  <c r="Z734" i="4" l="1"/>
  <c r="Z735" i="4"/>
  <c r="Z736" i="4"/>
  <c r="Z737" i="4"/>
  <c r="D737" i="4"/>
  <c r="D736" i="4"/>
  <c r="D735" i="4"/>
  <c r="D734" i="4"/>
  <c r="D726" i="4"/>
  <c r="Z726" i="4"/>
  <c r="Z187" i="4"/>
  <c r="D187" i="4"/>
  <c r="D728" i="4" l="1"/>
  <c r="D29" i="4"/>
  <c r="D28" i="4"/>
  <c r="Z728" i="4"/>
  <c r="D811" i="4"/>
  <c r="D729" i="4"/>
  <c r="Z729" i="4"/>
  <c r="D693" i="4"/>
  <c r="Z693" i="4"/>
  <c r="Z811" i="4"/>
  <c r="D730" i="4"/>
  <c r="D578" i="4"/>
  <c r="D733" i="4"/>
  <c r="D615" i="4"/>
  <c r="Z774" i="4"/>
  <c r="Z733" i="4"/>
  <c r="Z731" i="4"/>
  <c r="D731" i="4"/>
  <c r="Z730" i="4"/>
  <c r="D721" i="4"/>
  <c r="D719" i="4"/>
  <c r="Z721" i="4"/>
  <c r="Z719" i="4"/>
  <c r="D829" i="4"/>
  <c r="Z829" i="4"/>
  <c r="Z828" i="4"/>
  <c r="Z827" i="4"/>
  <c r="Z727" i="4"/>
  <c r="D727" i="4"/>
  <c r="D723" i="4"/>
  <c r="Z723" i="4"/>
  <c r="D33" i="4"/>
  <c r="Z33" i="4"/>
  <c r="D40" i="4" l="1"/>
  <c r="D39" i="4"/>
  <c r="Z40" i="4"/>
  <c r="D710" i="4"/>
  <c r="D715" i="4"/>
  <c r="D588" i="4"/>
  <c r="D714" i="4"/>
  <c r="Z714" i="4"/>
  <c r="Z710" i="4"/>
  <c r="D214" i="4"/>
  <c r="Z214" i="4"/>
  <c r="D725" i="4" l="1"/>
  <c r="Z725" i="4"/>
  <c r="D68" i="4"/>
  <c r="Z68" i="4"/>
  <c r="D171" i="4" l="1"/>
  <c r="Z171" i="4"/>
  <c r="D724" i="4"/>
  <c r="Z724" i="4"/>
  <c r="D684" i="4" l="1"/>
  <c r="Z684" i="4"/>
  <c r="D32" i="4" l="1"/>
  <c r="Z32" i="4"/>
  <c r="D831" i="4" l="1"/>
  <c r="D716" i="4" l="1"/>
  <c r="D717" i="4"/>
  <c r="Z717" i="4"/>
  <c r="Z715" i="4"/>
  <c r="D722" i="4" l="1"/>
  <c r="D718" i="4"/>
  <c r="Z169" i="4"/>
  <c r="D169" i="4"/>
  <c r="D150" i="4"/>
  <c r="Z150" i="4"/>
  <c r="Z722" i="4"/>
  <c r="Z718" i="4"/>
  <c r="D713" i="4" l="1"/>
  <c r="D712" i="4"/>
  <c r="D711" i="4"/>
  <c r="D709" i="4"/>
  <c r="D706" i="4"/>
  <c r="Z716" i="4"/>
  <c r="Z713" i="4"/>
  <c r="Z712" i="4"/>
  <c r="Z711" i="4"/>
  <c r="Z706" i="4"/>
  <c r="D777" i="4"/>
  <c r="Z699" i="4" l="1"/>
  <c r="D699" i="4"/>
  <c r="D60" i="4"/>
  <c r="Z60" i="4"/>
  <c r="D61" i="4"/>
  <c r="Z61" i="4"/>
  <c r="D708" i="4" l="1"/>
  <c r="D707" i="4"/>
  <c r="Z709" i="4"/>
  <c r="Z708" i="4"/>
  <c r="Z707" i="4"/>
  <c r="D58" i="4"/>
  <c r="Z58" i="4"/>
  <c r="D659" i="4"/>
  <c r="Z659" i="4"/>
  <c r="D162" i="4" l="1"/>
  <c r="D34" i="4"/>
  <c r="D705" i="4"/>
  <c r="Z705" i="4"/>
  <c r="D696" i="4"/>
  <c r="Z696" i="4"/>
  <c r="D698" i="4" l="1"/>
  <c r="D816" i="4"/>
  <c r="Z812" i="4"/>
  <c r="Z813" i="4"/>
  <c r="Z821" i="4"/>
  <c r="D704" i="4"/>
  <c r="Z704" i="4"/>
  <c r="Z701" i="4"/>
  <c r="D701" i="4"/>
  <c r="Z698" i="4"/>
  <c r="Z28" i="4"/>
  <c r="D212" i="4"/>
  <c r="D700" i="4"/>
  <c r="Z700" i="4"/>
  <c r="Z29" i="4"/>
  <c r="D620" i="4" l="1"/>
  <c r="Z620" i="4"/>
  <c r="D690" i="4" l="1"/>
  <c r="D697" i="4"/>
  <c r="Z697" i="4"/>
  <c r="D695" i="4" l="1"/>
  <c r="Z695" i="4"/>
  <c r="D694" i="4"/>
  <c r="Z694" i="4"/>
  <c r="Z690" i="4"/>
  <c r="D686" i="4"/>
  <c r="Z686" i="4"/>
  <c r="Z57" i="4"/>
  <c r="D57" i="4"/>
  <c r="Z34" i="4"/>
  <c r="D681" i="4"/>
  <c r="Z681" i="4"/>
  <c r="D692" i="4" l="1"/>
  <c r="D691" i="4"/>
  <c r="D689" i="4"/>
  <c r="D688" i="4"/>
  <c r="D687" i="4"/>
  <c r="D685" i="4"/>
  <c r="Z692" i="4"/>
  <c r="Z691" i="4"/>
  <c r="Z689" i="4"/>
  <c r="Z688" i="4"/>
  <c r="Z687" i="4"/>
  <c r="Z685" i="4"/>
  <c r="D213" i="4"/>
  <c r="Z213" i="4"/>
  <c r="D59" i="4"/>
  <c r="D56" i="4"/>
  <c r="Z59" i="4"/>
  <c r="Z859" i="4"/>
  <c r="D674" i="4"/>
  <c r="D675" i="4"/>
  <c r="D673" i="4"/>
  <c r="D682" i="4"/>
  <c r="D683" i="4"/>
  <c r="Z683" i="4"/>
  <c r="Z682" i="4"/>
  <c r="Z680" i="4"/>
  <c r="Z679" i="4"/>
  <c r="Z678" i="4"/>
  <c r="Z677" i="4"/>
  <c r="Z674" i="4"/>
  <c r="Z673" i="4"/>
  <c r="Z188" i="4"/>
  <c r="Z186" i="4"/>
  <c r="Z185" i="4"/>
  <c r="Z184" i="4"/>
  <c r="Z182" i="4"/>
  <c r="Z181" i="4"/>
  <c r="D182" i="4"/>
  <c r="D151" i="4"/>
  <c r="Z151" i="4"/>
  <c r="D680" i="4" l="1"/>
  <c r="D679" i="4"/>
  <c r="D678" i="4"/>
  <c r="D668" i="4"/>
  <c r="Z668" i="4"/>
  <c r="D177" i="4" l="1"/>
  <c r="D671" i="4"/>
  <c r="Z671" i="4"/>
  <c r="AA177" i="4"/>
  <c r="D854" i="4" l="1"/>
  <c r="Z854" i="4"/>
  <c r="D677" i="4"/>
  <c r="Z675" i="4"/>
  <c r="D667" i="4"/>
  <c r="Z667" i="4"/>
  <c r="Z212" i="4"/>
  <c r="D36" i="4"/>
  <c r="Z36" i="4"/>
  <c r="Z852" i="4" l="1"/>
  <c r="D852" i="4"/>
  <c r="D672" i="4"/>
  <c r="D670" i="4"/>
  <c r="D669" i="4"/>
  <c r="Z672" i="4"/>
  <c r="Z670" i="4"/>
  <c r="Z669" i="4"/>
  <c r="D832" i="4" l="1"/>
  <c r="D666" i="4"/>
  <c r="Z666" i="4"/>
  <c r="D652" i="4"/>
  <c r="Z652" i="4"/>
  <c r="Z56" i="4"/>
  <c r="D43" i="4" l="1"/>
  <c r="D665" i="4"/>
  <c r="D664" i="4"/>
  <c r="D662" i="4"/>
  <c r="Z665" i="4"/>
  <c r="Z664" i="4"/>
  <c r="Z663" i="4"/>
  <c r="Z662" i="4"/>
  <c r="D628" i="4"/>
  <c r="Z627" i="4"/>
  <c r="Z626" i="4"/>
  <c r="Z628" i="4"/>
  <c r="Z625" i="4"/>
  <c r="Z624" i="4"/>
  <c r="Z52" i="4"/>
  <c r="Z51" i="4"/>
  <c r="Z53" i="4"/>
  <c r="Z55" i="4"/>
  <c r="D55" i="4"/>
  <c r="D53" i="4"/>
  <c r="Z43" i="4"/>
  <c r="B27" i="4"/>
  <c r="B28" i="4" s="1"/>
  <c r="B29" i="4" s="1"/>
  <c r="B30" i="4" s="1"/>
  <c r="B31" i="4" s="1"/>
  <c r="D27" i="4"/>
  <c r="Z27" i="4"/>
  <c r="B32" i="4" l="1"/>
  <c r="D622" i="4"/>
  <c r="D621" i="4"/>
  <c r="D619" i="4"/>
  <c r="Z622" i="4"/>
  <c r="Z621" i="4"/>
  <c r="B33" i="4" l="1"/>
  <c r="B34" i="4" s="1"/>
  <c r="D658" i="4"/>
  <c r="D657" i="4"/>
  <c r="D656" i="4"/>
  <c r="D663" i="4"/>
  <c r="D655" i="4"/>
  <c r="D648" i="4"/>
  <c r="Z658" i="4"/>
  <c r="Z657" i="4"/>
  <c r="Z656" i="4"/>
  <c r="Z655" i="4"/>
  <c r="Z648" i="4"/>
  <c r="D476" i="4"/>
  <c r="D475" i="4"/>
  <c r="D474" i="4"/>
  <c r="Z476" i="4"/>
  <c r="Z475" i="4"/>
  <c r="Z474" i="4"/>
  <c r="Z54" i="4"/>
  <c r="D54" i="4"/>
  <c r="D625" i="4"/>
  <c r="D168" i="4"/>
  <c r="B35" i="4" l="1"/>
  <c r="B36" i="4" s="1"/>
  <c r="B37" i="4" s="1"/>
  <c r="D661" i="4"/>
  <c r="D660" i="4"/>
  <c r="D653" i="4"/>
  <c r="Z661" i="4"/>
  <c r="Z660" i="4"/>
  <c r="Z653" i="4"/>
  <c r="Z46" i="4"/>
  <c r="D46" i="4"/>
  <c r="Z174" i="4"/>
  <c r="Z173" i="4"/>
  <c r="Z168" i="4"/>
  <c r="Z167" i="4"/>
  <c r="Z164" i="4"/>
  <c r="D164" i="4" l="1"/>
  <c r="D651" i="4"/>
  <c r="Z651" i="4"/>
  <c r="D157" i="4"/>
  <c r="Z157" i="4"/>
  <c r="AB165" i="4" l="1"/>
  <c r="D165" i="4"/>
  <c r="AB163" i="4"/>
  <c r="D163" i="4"/>
  <c r="D650" i="4"/>
  <c r="Z650" i="4" l="1"/>
  <c r="D649" i="4" l="1"/>
  <c r="D646" i="4"/>
  <c r="Z649" i="4"/>
  <c r="Z646" i="4"/>
  <c r="D638" i="4"/>
  <c r="Z638" i="4"/>
  <c r="D642" i="4" l="1"/>
  <c r="D639" i="4"/>
  <c r="D635" i="4"/>
  <c r="D634" i="4"/>
  <c r="D647" i="4"/>
  <c r="D645" i="4"/>
  <c r="Z647" i="4"/>
  <c r="Z645" i="4"/>
  <c r="Z642" i="4"/>
  <c r="Z639" i="4"/>
  <c r="Z635" i="4"/>
  <c r="Z644" i="4" l="1"/>
  <c r="Z643" i="4"/>
  <c r="Z641" i="4"/>
  <c r="Z640" i="4"/>
  <c r="D644" i="4"/>
  <c r="D643" i="4"/>
  <c r="D641" i="4"/>
  <c r="D640" i="4"/>
  <c r="Z634" i="4"/>
  <c r="Z636" i="4"/>
  <c r="Z637" i="4"/>
  <c r="D31" i="4"/>
  <c r="Z156" i="4"/>
  <c r="D156" i="4"/>
  <c r="Z31" i="4"/>
  <c r="D637" i="4" l="1"/>
  <c r="D636" i="4"/>
  <c r="D633" i="4"/>
  <c r="Z633" i="4"/>
  <c r="D627" i="4"/>
  <c r="D52" i="4"/>
  <c r="D631" i="4" l="1"/>
  <c r="D630" i="4"/>
  <c r="D147" i="4"/>
  <c r="D149" i="4" l="1"/>
  <c r="D626" i="4"/>
  <c r="Z631" i="4"/>
  <c r="Z630" i="4"/>
  <c r="Z629" i="4"/>
  <c r="Z623" i="4"/>
  <c r="Z619" i="4"/>
  <c r="Z618" i="4"/>
  <c r="Z617" i="4"/>
  <c r="Z616" i="4"/>
  <c r="Z615" i="4"/>
  <c r="Z614" i="4"/>
  <c r="Z613" i="4"/>
  <c r="Z612" i="4"/>
  <c r="Z611" i="4"/>
  <c r="Z610" i="4"/>
  <c r="Z608" i="4"/>
  <c r="Z607" i="4"/>
  <c r="Z606" i="4"/>
  <c r="Z605" i="4"/>
  <c r="Z604" i="4"/>
  <c r="Z603" i="4"/>
  <c r="Z602" i="4"/>
  <c r="Z601" i="4"/>
  <c r="Z600" i="4"/>
  <c r="Z599" i="4"/>
  <c r="Z598" i="4"/>
  <c r="Z597" i="4"/>
  <c r="Z596" i="4"/>
  <c r="Z595" i="4"/>
  <c r="Z594" i="4"/>
  <c r="Z593" i="4"/>
  <c r="Z592" i="4"/>
  <c r="Z591" i="4"/>
  <c r="Z590" i="4"/>
  <c r="Z589" i="4"/>
  <c r="Z588" i="4"/>
  <c r="Z587" i="4"/>
  <c r="Z586" i="4"/>
  <c r="Z585" i="4"/>
  <c r="Z583" i="4"/>
  <c r="Z582" i="4"/>
  <c r="Z581" i="4"/>
  <c r="Z580" i="4"/>
  <c r="Z579" i="4"/>
  <c r="Z578" i="4"/>
  <c r="Z577" i="4"/>
  <c r="Z576" i="4"/>
  <c r="Z575" i="4"/>
  <c r="Z574" i="4"/>
  <c r="Z573" i="4"/>
  <c r="Z572" i="4"/>
  <c r="Z571" i="4"/>
  <c r="Z570" i="4"/>
  <c r="Z569" i="4"/>
  <c r="Z568" i="4"/>
  <c r="Z567" i="4"/>
  <c r="Z566" i="4"/>
  <c r="Z565" i="4"/>
  <c r="Z563" i="4"/>
  <c r="Z562" i="4"/>
  <c r="Z561" i="4"/>
  <c r="Z560" i="4"/>
  <c r="Z559" i="4"/>
  <c r="Z558" i="4"/>
  <c r="Z557" i="4"/>
  <c r="Z556" i="4"/>
  <c r="Z555" i="4"/>
  <c r="Z554" i="4"/>
  <c r="Z553" i="4"/>
  <c r="Z552" i="4"/>
  <c r="Z551" i="4"/>
  <c r="Z550" i="4"/>
  <c r="Z549" i="4"/>
  <c r="Z548" i="4"/>
  <c r="Z547" i="4"/>
  <c r="Z546" i="4"/>
  <c r="Z545" i="4"/>
  <c r="Z544" i="4"/>
  <c r="Z543" i="4"/>
  <c r="Z542" i="4"/>
  <c r="Z541" i="4"/>
  <c r="Z539" i="4"/>
  <c r="Z538" i="4"/>
  <c r="Z537" i="4"/>
  <c r="Z536" i="4"/>
  <c r="Z535" i="4"/>
  <c r="Z534" i="4"/>
  <c r="Z533" i="4"/>
  <c r="Z532" i="4"/>
  <c r="Z531" i="4"/>
  <c r="Z530" i="4"/>
  <c r="Z149" i="4"/>
  <c r="Z147" i="4"/>
  <c r="Z148" i="4"/>
  <c r="D141" i="4"/>
  <c r="AB141" i="4"/>
  <c r="D849" i="4" l="1"/>
  <c r="D148" i="4"/>
  <c r="Z849" i="4"/>
  <c r="D617" i="4"/>
  <c r="D624" i="4" l="1"/>
  <c r="D618" i="4"/>
  <c r="D616" i="4"/>
  <c r="D828" i="4"/>
  <c r="D51" i="4" l="1"/>
  <c r="D623" i="4"/>
  <c r="D601" i="4"/>
  <c r="D45" i="4"/>
  <c r="D821" i="4" l="1"/>
  <c r="D614" i="4"/>
  <c r="D613" i="4"/>
  <c r="D612" i="4" l="1"/>
  <c r="D610" i="4"/>
  <c r="D611" i="4"/>
  <c r="D608" i="4"/>
  <c r="D607" i="4"/>
  <c r="D592" i="4"/>
  <c r="D563" i="4"/>
  <c r="D174" i="4" l="1"/>
  <c r="D606" i="4"/>
  <c r="D587" i="4" l="1"/>
  <c r="D604" i="4" l="1"/>
  <c r="D590" i="4"/>
  <c r="D600" i="4" l="1"/>
  <c r="D605" i="4"/>
  <c r="D603" i="4"/>
  <c r="D602" i="4"/>
  <c r="D599" i="4"/>
  <c r="D598" i="4"/>
  <c r="D597" i="4"/>
  <c r="D596" i="4"/>
  <c r="D595" i="4"/>
  <c r="D594" i="4"/>
  <c r="D593" i="4"/>
  <c r="D589" i="4"/>
  <c r="D591" i="4"/>
  <c r="D579" i="4"/>
  <c r="D155" i="4" l="1"/>
  <c r="D181" i="4"/>
  <c r="D582" i="4" l="1"/>
  <c r="D581" i="4"/>
  <c r="D580" i="4"/>
  <c r="D586" i="4" l="1"/>
  <c r="D585" i="4"/>
  <c r="D583" i="4"/>
  <c r="D173" i="4" l="1"/>
  <c r="D577" i="4" l="1"/>
  <c r="D576" i="4"/>
  <c r="D574" i="4"/>
  <c r="D573" i="4"/>
  <c r="Z154" i="4"/>
  <c r="D154" i="4"/>
  <c r="D473" i="4" l="1"/>
  <c r="D575" i="4" l="1"/>
  <c r="D568" i="4"/>
  <c r="D533" i="4" l="1"/>
  <c r="D569" i="4"/>
  <c r="D572" i="4"/>
  <c r="D532" i="4"/>
  <c r="D531" i="4"/>
  <c r="D813" i="4"/>
  <c r="D570" i="4" l="1"/>
  <c r="D571" i="4"/>
  <c r="D567" i="4"/>
  <c r="D566" i="4"/>
  <c r="D167" i="4"/>
  <c r="D565" i="4" l="1"/>
  <c r="D562" i="4" l="1"/>
  <c r="D132" i="4" l="1"/>
  <c r="D557" i="4"/>
  <c r="D559" i="4"/>
  <c r="D561" i="4"/>
  <c r="D830" i="4" l="1"/>
  <c r="AA132" i="4"/>
  <c r="D560" i="4" l="1"/>
  <c r="D558" i="4" l="1"/>
  <c r="D556" i="4"/>
  <c r="D555" i="4"/>
  <c r="D844" i="4"/>
  <c r="AA839" i="4" l="1"/>
  <c r="AA838" i="4"/>
  <c r="AA837" i="4"/>
  <c r="AA836" i="4"/>
  <c r="AA835" i="4"/>
  <c r="AA834" i="4"/>
  <c r="AA833" i="4"/>
  <c r="AD179" i="4"/>
  <c r="AD178" i="4"/>
  <c r="AA176" i="4"/>
  <c r="AA175" i="4"/>
  <c r="AA131" i="4"/>
  <c r="AA130" i="4"/>
  <c r="AA129" i="4"/>
  <c r="AA128" i="4"/>
  <c r="AA127" i="4"/>
  <c r="AA126" i="4"/>
  <c r="AA125" i="4"/>
  <c r="AA124" i="4"/>
  <c r="AA123" i="4"/>
  <c r="AA122" i="4"/>
  <c r="AA121" i="4"/>
  <c r="AA120" i="4"/>
  <c r="AA119" i="4"/>
  <c r="AA118" i="4"/>
  <c r="AA117" i="4"/>
  <c r="AA116" i="4"/>
  <c r="AA115" i="4"/>
  <c r="AA114" i="4"/>
  <c r="AA113" i="4"/>
  <c r="AA112" i="4"/>
  <c r="AA111" i="4"/>
  <c r="AA110" i="4"/>
  <c r="AA109" i="4"/>
  <c r="AA108" i="4"/>
  <c r="AA107" i="4"/>
  <c r="AA106" i="4"/>
  <c r="AA105" i="4"/>
  <c r="AA104" i="4"/>
  <c r="AA103" i="4"/>
  <c r="AA102" i="4"/>
  <c r="AA101" i="4"/>
  <c r="AA100" i="4"/>
  <c r="AA99" i="4"/>
  <c r="AA98" i="4"/>
  <c r="AA97" i="4"/>
  <c r="AA96" i="4"/>
  <c r="AA95" i="4"/>
  <c r="AA94" i="4"/>
  <c r="AA93" i="4"/>
  <c r="AA92" i="4"/>
  <c r="AA91" i="4"/>
  <c r="AA90" i="4"/>
  <c r="AA89" i="4"/>
  <c r="AA88" i="4"/>
  <c r="AA87" i="4"/>
  <c r="AA86" i="4"/>
  <c r="AA85" i="4"/>
  <c r="AA84" i="4"/>
  <c r="AA83" i="4"/>
  <c r="AA82" i="4"/>
  <c r="AA81" i="4"/>
  <c r="AA80" i="4"/>
  <c r="AA79" i="4"/>
  <c r="AA78" i="4"/>
  <c r="AA77" i="4"/>
  <c r="AA76" i="4"/>
  <c r="AA75" i="4"/>
  <c r="AA74" i="4"/>
  <c r="AA73" i="4"/>
  <c r="AA72" i="4"/>
  <c r="AA71" i="4"/>
  <c r="AA70" i="4"/>
  <c r="AC50" i="4"/>
  <c r="AB868" i="4"/>
  <c r="AB867" i="4"/>
  <c r="AB866" i="4"/>
  <c r="AB865" i="4"/>
  <c r="AB864" i="4"/>
  <c r="AB863" i="4"/>
  <c r="AB862" i="4"/>
  <c r="AB861" i="4"/>
  <c r="AB820" i="4"/>
  <c r="AB819" i="4"/>
  <c r="AB818" i="4"/>
  <c r="AB817" i="4"/>
  <c r="AB207" i="4"/>
  <c r="AB206" i="4"/>
  <c r="AB205" i="4"/>
  <c r="AB204" i="4"/>
  <c r="AB203" i="4"/>
  <c r="AB202" i="4"/>
  <c r="AB201" i="4"/>
  <c r="AB200" i="4"/>
  <c r="AB199" i="4"/>
  <c r="AB198" i="4"/>
  <c r="AB197" i="4"/>
  <c r="AC196" i="4"/>
  <c r="AB195" i="4"/>
  <c r="AB194" i="4"/>
  <c r="AB193" i="4"/>
  <c r="AB192" i="4"/>
  <c r="AB191" i="4"/>
  <c r="AB190" i="4"/>
  <c r="AB189" i="4"/>
  <c r="AB145" i="4"/>
  <c r="AB144" i="4"/>
  <c r="AB143" i="4"/>
  <c r="AB142" i="4"/>
  <c r="AB140" i="4"/>
  <c r="AB139" i="4"/>
  <c r="AB138" i="4"/>
  <c r="AB137" i="4"/>
  <c r="AB136" i="4"/>
  <c r="AB37" i="4"/>
  <c r="AB49" i="4"/>
  <c r="AA39" i="4"/>
  <c r="AA26" i="4"/>
  <c r="D550" i="4"/>
  <c r="AD870" i="4" l="1"/>
  <c r="AD871" i="4"/>
  <c r="AD881" i="4" s="1"/>
  <c r="AC871" i="4"/>
  <c r="AC881" i="4" s="1"/>
  <c r="AB871" i="4"/>
  <c r="AB881" i="4" s="1"/>
  <c r="AB870" i="4"/>
  <c r="AC870" i="4"/>
  <c r="AA871" i="4"/>
  <c r="AA881" i="4" s="1"/>
  <c r="AA870" i="4"/>
  <c r="Y875" i="4" l="1"/>
  <c r="Y876" i="4"/>
  <c r="Y870" i="4"/>
  <c r="Z858" i="4"/>
  <c r="Z857" i="4"/>
  <c r="Z853" i="4"/>
  <c r="Z846" i="4"/>
  <c r="Z841" i="4"/>
  <c r="Z529" i="4"/>
  <c r="Z528" i="4"/>
  <c r="Z527" i="4"/>
  <c r="Z526" i="4"/>
  <c r="Z525" i="4"/>
  <c r="Z524" i="4"/>
  <c r="Z523" i="4"/>
  <c r="Z522" i="4"/>
  <c r="Z521" i="4"/>
  <c r="Z520" i="4"/>
  <c r="Z519" i="4"/>
  <c r="Z518" i="4"/>
  <c r="Z517" i="4"/>
  <c r="Z516" i="4"/>
  <c r="Z515" i="4"/>
  <c r="Z514" i="4"/>
  <c r="Z512" i="4"/>
  <c r="Z511" i="4"/>
  <c r="Z510" i="4"/>
  <c r="Z509" i="4"/>
  <c r="Z508" i="4"/>
  <c r="Z507" i="4"/>
  <c r="Z506" i="4"/>
  <c r="Z505" i="4"/>
  <c r="Z504" i="4"/>
  <c r="Z503" i="4"/>
  <c r="Z502" i="4"/>
  <c r="Z501" i="4"/>
  <c r="Z500" i="4"/>
  <c r="Z499" i="4"/>
  <c r="Z498" i="4"/>
  <c r="Z497" i="4"/>
  <c r="Z496" i="4"/>
  <c r="Z495" i="4"/>
  <c r="Z494" i="4"/>
  <c r="Z493" i="4"/>
  <c r="Z492" i="4"/>
  <c r="Z491" i="4"/>
  <c r="Z490" i="4"/>
  <c r="Z488" i="4"/>
  <c r="Z487" i="4"/>
  <c r="Z486" i="4"/>
  <c r="Z485" i="4"/>
  <c r="Z484" i="4"/>
  <c r="Z483" i="4"/>
  <c r="Z482" i="4"/>
  <c r="Z481" i="4"/>
  <c r="Z480" i="4"/>
  <c r="Z479" i="4"/>
  <c r="Z478" i="4"/>
  <c r="Z477" i="4"/>
  <c r="Z473" i="4"/>
  <c r="Z472" i="4"/>
  <c r="Z466" i="4"/>
  <c r="Z226" i="4"/>
  <c r="Z225" i="4"/>
  <c r="Z162" i="4"/>
  <c r="Z161" i="4"/>
  <c r="Z160" i="4"/>
  <c r="Z153" i="4"/>
  <c r="D551" i="4"/>
  <c r="D544" i="4"/>
  <c r="Y3" i="4" l="1"/>
  <c r="AD3" i="4"/>
  <c r="AC3" i="4"/>
  <c r="AB3" i="4"/>
  <c r="AA3" i="4"/>
  <c r="D554" i="4"/>
  <c r="D553" i="4"/>
  <c r="D552" i="4"/>
  <c r="D543" i="4" l="1"/>
  <c r="D514" i="4" l="1"/>
  <c r="D549" i="4"/>
  <c r="D548" i="4"/>
  <c r="D547" i="4"/>
  <c r="D546" i="4"/>
  <c r="D545" i="4"/>
  <c r="D542" i="4"/>
  <c r="D538" i="4"/>
  <c r="A1" i="4"/>
  <c r="D161" i="4"/>
  <c r="D153" i="4"/>
  <c r="D541" i="4" l="1"/>
  <c r="D539" i="4"/>
  <c r="D537" i="4"/>
  <c r="D447" i="4" l="1"/>
  <c r="D848" i="4"/>
  <c r="Z848" i="4"/>
  <c r="D536" i="4"/>
  <c r="D534" i="4"/>
  <c r="D530" i="4"/>
  <c r="D529" i="4"/>
  <c r="D535" i="4"/>
  <c r="D525" i="4"/>
  <c r="D526" i="4" l="1"/>
  <c r="D520" i="4"/>
  <c r="D524" i="4" l="1"/>
  <c r="D528" i="4"/>
  <c r="D527" i="4"/>
  <c r="D523" i="4" l="1"/>
  <c r="D522" i="4"/>
  <c r="D521" i="4"/>
  <c r="D519" i="4" l="1"/>
  <c r="D518" i="4"/>
  <c r="D843" i="4"/>
  <c r="Z843" i="4"/>
  <c r="D517" i="4" l="1"/>
  <c r="D512" i="4"/>
  <c r="D846" i="4"/>
  <c r="D516" i="4" l="1"/>
  <c r="D515" i="4" l="1"/>
  <c r="D511" i="4"/>
  <c r="D857" i="4"/>
  <c r="D441" i="4" l="1"/>
  <c r="D510" i="4"/>
  <c r="D137" i="4" l="1"/>
  <c r="D509" i="4"/>
  <c r="B880" i="4" l="1"/>
  <c r="D183" i="4"/>
  <c r="Z183" i="4"/>
  <c r="D70" i="4"/>
  <c r="D508" i="4" l="1"/>
  <c r="D502" i="4" l="1"/>
  <c r="D853" i="4"/>
  <c r="D505" i="4" l="1"/>
  <c r="D211" i="4" l="1"/>
  <c r="Z211" i="4"/>
  <c r="D507" i="4" l="1"/>
  <c r="D506" i="4" l="1"/>
  <c r="D160" i="4"/>
  <c r="D504" i="4" l="1"/>
  <c r="D867" i="4" l="1"/>
  <c r="D462" i="4"/>
  <c r="D357" i="4" l="1"/>
  <c r="D301" i="4"/>
  <c r="D244" i="4"/>
  <c r="D122" i="4"/>
  <c r="D503" i="4" l="1"/>
  <c r="D486" i="4" l="1"/>
  <c r="D485" i="4"/>
  <c r="D488" i="4"/>
  <c r="D487" i="4"/>
  <c r="D188" i="4" l="1"/>
  <c r="D186" i="4"/>
  <c r="D423" i="4" l="1"/>
  <c r="D437" i="4" l="1"/>
  <c r="D444" i="4"/>
  <c r="D446" i="4"/>
  <c r="D445" i="4"/>
  <c r="D449" i="4"/>
  <c r="D448" i="4"/>
  <c r="D439" i="4"/>
  <c r="D500" i="4" l="1"/>
  <c r="D501" i="4"/>
  <c r="D499" i="4"/>
  <c r="D498" i="4"/>
  <c r="D463" i="4" l="1"/>
  <c r="D497" i="4" l="1"/>
  <c r="D496" i="4"/>
  <c r="D493" i="4" l="1"/>
  <c r="D492" i="4"/>
  <c r="D490" i="4"/>
  <c r="D491" i="4"/>
  <c r="D866" i="4" l="1"/>
  <c r="D438" i="4"/>
  <c r="D322" i="4" l="1"/>
  <c r="D805" i="4" l="1"/>
  <c r="D804" i="4"/>
  <c r="D803" i="4"/>
  <c r="D800" i="4"/>
  <c r="D797" i="4"/>
  <c r="D362" i="4"/>
  <c r="D384" i="4" l="1"/>
  <c r="D795" i="4"/>
  <c r="D799" i="4"/>
  <c r="D794" i="4"/>
  <c r="D791" i="4"/>
  <c r="D789" i="4" l="1"/>
  <c r="D390" i="4"/>
  <c r="D495" i="4"/>
  <c r="D483" i="4"/>
  <c r="D482" i="4"/>
  <c r="D481" i="4"/>
  <c r="D479" i="4"/>
  <c r="D478" i="4"/>
  <c r="D477" i="4"/>
  <c r="D470" i="4"/>
  <c r="D467" i="4"/>
  <c r="D464" i="4"/>
  <c r="D461" i="4"/>
  <c r="D460" i="4"/>
  <c r="D459" i="4"/>
  <c r="D458" i="4"/>
  <c r="D456" i="4"/>
  <c r="D455" i="4"/>
  <c r="D454" i="4"/>
  <c r="D453" i="4"/>
  <c r="D452" i="4"/>
  <c r="D442" i="4"/>
  <c r="D440" i="4"/>
  <c r="D436" i="4"/>
  <c r="D428" i="4"/>
  <c r="D427" i="4"/>
  <c r="D422" i="4"/>
  <c r="D420" i="4"/>
  <c r="D413" i="4"/>
  <c r="D394" i="4"/>
  <c r="D369" i="4"/>
  <c r="D272" i="4"/>
  <c r="D226" i="4"/>
  <c r="D185" i="4"/>
  <c r="D152" i="4"/>
  <c r="D143" i="4"/>
  <c r="D142" i="4"/>
  <c r="D140" i="4"/>
  <c r="D139" i="4"/>
  <c r="D136" i="4"/>
  <c r="D138" i="4"/>
  <c r="D134" i="4"/>
  <c r="D131" i="4"/>
  <c r="D825" i="4"/>
  <c r="D824" i="4"/>
  <c r="D823" i="4"/>
  <c r="D822" i="4"/>
  <c r="D841" i="4"/>
  <c r="D842" i="4"/>
  <c r="D480" i="4"/>
  <c r="D44" i="4"/>
  <c r="D49" i="4"/>
  <c r="D200" i="4"/>
  <c r="D305" i="4"/>
  <c r="D74" i="4"/>
  <c r="D210" i="4"/>
  <c r="D865" i="4"/>
  <c r="D356" i="4" l="1"/>
  <c r="D245" i="4"/>
  <c r="D194" i="4"/>
  <c r="D193" i="4"/>
  <c r="D192" i="4"/>
  <c r="D191" i="4"/>
  <c r="D190" i="4"/>
  <c r="D189" i="4"/>
  <c r="D451" i="4"/>
  <c r="D249" i="4"/>
  <c r="D435" i="4"/>
  <c r="D434" i="4"/>
  <c r="D431" i="4"/>
  <c r="D383" i="4"/>
  <c r="D366" i="4"/>
  <c r="D293" i="4"/>
  <c r="D276" i="4"/>
  <c r="D274" i="4"/>
  <c r="D240" i="4" l="1"/>
  <c r="D238" i="4"/>
  <c r="D237" i="4"/>
  <c r="D236" i="4"/>
  <c r="D230" i="4"/>
  <c r="D229" i="4"/>
  <c r="D228" i="4"/>
  <c r="D227" i="4"/>
  <c r="D223" i="4"/>
  <c r="D38" i="4"/>
  <c r="D457" i="4"/>
  <c r="D179" i="4"/>
  <c r="D178" i="4"/>
  <c r="D145" i="4" l="1"/>
  <c r="D144" i="4"/>
  <c r="D235" i="4"/>
  <c r="D199" i="4"/>
  <c r="D349" i="4"/>
  <c r="D248" i="4"/>
  <c r="D355" i="4"/>
  <c r="D351" i="4"/>
  <c r="D297" i="4"/>
  <c r="D225" i="4"/>
  <c r="D282" i="4"/>
  <c r="D820" i="4"/>
  <c r="D256" i="4"/>
  <c r="D778" i="4"/>
  <c r="D207" i="4"/>
  <c r="D270" i="4"/>
  <c r="D130" i="4"/>
  <c r="D117" i="4"/>
  <c r="D196" i="4"/>
  <c r="D50" i="4"/>
  <c r="D206" i="4"/>
  <c r="D243" i="4"/>
  <c r="D241" i="4"/>
  <c r="D779" i="4"/>
  <c r="D267" i="4"/>
  <c r="D266" i="4"/>
  <c r="D261" i="4"/>
  <c r="D255" i="4"/>
  <c r="D254" i="4"/>
  <c r="D239" i="4"/>
  <c r="D232" i="4"/>
  <c r="D231" i="4"/>
  <c r="D159" i="4"/>
  <c r="D430" i="4"/>
  <c r="D405" i="4"/>
  <c r="D396" i="4"/>
  <c r="D385" i="4"/>
  <c r="D374" i="4"/>
  <c r="D371" i="4"/>
  <c r="D364" i="4"/>
  <c r="D354" i="4"/>
  <c r="D345" i="4"/>
  <c r="D343" i="4"/>
  <c r="D340" i="4"/>
  <c r="D339" i="4"/>
  <c r="D338" i="4"/>
  <c r="D337" i="4"/>
  <c r="D336" i="4"/>
  <c r="D334" i="4"/>
  <c r="D332" i="4"/>
  <c r="D331" i="4"/>
  <c r="D299" i="4"/>
  <c r="D285" i="4"/>
  <c r="D283" i="4"/>
  <c r="D868" i="4"/>
  <c r="D295" i="4"/>
  <c r="D113" i="4"/>
  <c r="D284" i="4"/>
  <c r="D833" i="4"/>
  <c r="D835" i="4"/>
  <c r="D834" i="4"/>
  <c r="D250" i="4"/>
  <c r="D257" i="4"/>
  <c r="D796" i="4"/>
  <c r="D402" i="4"/>
  <c r="D400" i="4"/>
  <c r="D397" i="4"/>
  <c r="D391" i="4"/>
  <c r="D381" i="4"/>
  <c r="D379" i="4"/>
  <c r="D325" i="4"/>
  <c r="D399" i="4" l="1"/>
  <c r="D321" i="4"/>
  <c r="D319" i="4"/>
  <c r="D315" i="4"/>
  <c r="D314" i="4"/>
  <c r="D309" i="4"/>
  <c r="D110" i="4"/>
  <c r="D109" i="4"/>
  <c r="D107" i="4"/>
  <c r="D37" i="4" l="1"/>
  <c r="D26" i="4"/>
  <c r="D246" i="4" l="1"/>
  <c r="D784" i="4"/>
  <c r="D312" i="4"/>
  <c r="D382" i="4"/>
  <c r="D289" i="4"/>
  <c r="D808" i="4"/>
  <c r="D817" i="4"/>
  <c r="D119" i="4"/>
  <c r="D465" i="4"/>
  <c r="D280" i="4"/>
  <c r="D827" i="4"/>
  <c r="D393" i="4"/>
  <c r="D292" i="4"/>
  <c r="D120" i="4"/>
  <c r="D847" i="4"/>
  <c r="D786" i="4"/>
  <c r="D783" i="4"/>
  <c r="D780" i="4"/>
  <c r="D406" i="4"/>
  <c r="D346" i="4"/>
  <c r="D344" i="4"/>
  <c r="D333" i="4"/>
  <c r="D328" i="4"/>
  <c r="D311" i="4"/>
  <c r="D302" i="4"/>
  <c r="D259" i="4"/>
  <c r="D798" i="4"/>
  <c r="D404" i="4"/>
  <c r="D790" i="4"/>
  <c r="D782" i="4"/>
  <c r="D781" i="4"/>
  <c r="D380" i="4"/>
  <c r="D361" i="4"/>
  <c r="D335" i="4"/>
  <c r="D326" i="4"/>
  <c r="D317" i="4"/>
  <c r="D313" i="4"/>
  <c r="D308" i="4"/>
  <c r="D307" i="4"/>
  <c r="D304" i="4"/>
  <c r="D303" i="4"/>
  <c r="D300" i="4"/>
  <c r="D864" i="4"/>
  <c r="D273" i="4"/>
  <c r="D806" i="4"/>
  <c r="D262" i="4"/>
  <c r="D247" i="4"/>
  <c r="D242" i="4"/>
  <c r="D126" i="4"/>
  <c r="D118" i="4"/>
  <c r="D116" i="4"/>
  <c r="D793" i="4"/>
  <c r="D792" i="4"/>
  <c r="D184" i="4"/>
  <c r="D373" i="4"/>
  <c r="D353" i="4"/>
  <c r="D443" i="4"/>
  <c r="D129" i="4"/>
  <c r="D128" i="4"/>
  <c r="D124" i="4"/>
  <c r="D127" i="4"/>
  <c r="D121" i="4"/>
  <c r="D175" i="4"/>
  <c r="D845" i="4"/>
  <c r="D201" i="4"/>
  <c r="D352" i="4"/>
  <c r="D801" i="4"/>
  <c r="D869" i="4"/>
  <c r="D265" i="4"/>
  <c r="D82" i="4" l="1"/>
  <c r="D78" i="4"/>
  <c r="D75" i="4"/>
  <c r="D83" i="4"/>
  <c r="D209" i="4"/>
  <c r="D372" i="4"/>
  <c r="D807" i="4"/>
  <c r="D294" i="4"/>
  <c r="D287" i="4"/>
  <c r="D278" i="4"/>
  <c r="D268" i="4"/>
  <c r="D264" i="4"/>
  <c r="D263" i="4"/>
  <c r="D260" i="4"/>
  <c r="D258" i="4"/>
  <c r="D251" i="4"/>
  <c r="D359" i="4"/>
  <c r="D277" i="4"/>
  <c r="D176" i="4"/>
  <c r="D863" i="4"/>
  <c r="D862" i="4"/>
  <c r="D861" i="4"/>
  <c r="D787" i="4"/>
  <c r="D327" i="4"/>
  <c r="D323" i="4"/>
  <c r="D320" i="4"/>
  <c r="D310" i="4"/>
  <c r="D306" i="4"/>
  <c r="D253" i="4"/>
  <c r="D826" i="4"/>
  <c r="D271" i="4"/>
  <c r="D802" i="4"/>
  <c r="I877" i="4"/>
  <c r="E877" i="4"/>
  <c r="E888" i="4"/>
  <c r="S3" i="4"/>
  <c r="D494" i="4" l="1"/>
  <c r="D484" i="4"/>
  <c r="D472" i="4"/>
  <c r="D469" i="4"/>
  <c r="D468" i="4"/>
  <c r="D466" i="4"/>
  <c r="D432" i="4"/>
  <c r="D429" i="4"/>
  <c r="D426" i="4"/>
  <c r="D425" i="4"/>
  <c r="D424" i="4"/>
  <c r="D421" i="4"/>
  <c r="D419" i="4"/>
  <c r="D414" i="4"/>
  <c r="D418" i="4"/>
  <c r="D417" i="4"/>
  <c r="D416" i="4"/>
  <c r="D411" i="4"/>
  <c r="D410" i="4"/>
  <c r="D409" i="4"/>
  <c r="D408" i="4"/>
  <c r="D407" i="4"/>
  <c r="D387" i="4"/>
  <c r="D378" i="4"/>
  <c r="D375" i="4"/>
  <c r="D370" i="4"/>
  <c r="D365" i="4"/>
  <c r="D363" i="4"/>
  <c r="D360" i="4"/>
  <c r="D350" i="4"/>
  <c r="D342" i="4"/>
  <c r="D291" i="4"/>
  <c r="D412" i="4"/>
  <c r="D401" i="4"/>
  <c r="D203" i="4"/>
  <c r="D288" i="4"/>
  <c r="D123" i="4"/>
  <c r="D97" i="4"/>
  <c r="D96" i="4"/>
  <c r="D95" i="4"/>
  <c r="D94" i="4"/>
  <c r="D93" i="4"/>
  <c r="D92" i="4"/>
  <c r="D91" i="4"/>
  <c r="D90" i="4"/>
  <c r="D89" i="4"/>
  <c r="D88" i="4"/>
  <c r="D87" i="4"/>
  <c r="D86" i="4"/>
  <c r="D71" i="4"/>
  <c r="D819" i="4"/>
  <c r="D818" i="4"/>
  <c r="D198" i="4"/>
  <c r="D197" i="4"/>
  <c r="D269" i="4"/>
  <c r="D629" i="4"/>
  <c r="D281" i="4"/>
  <c r="D115" i="4"/>
  <c r="D66" i="4"/>
  <c r="D65" i="4"/>
  <c r="D64" i="4"/>
  <c r="D62" i="4"/>
  <c r="D389" i="4"/>
  <c r="D195" i="4"/>
  <c r="D224" i="4" l="1"/>
  <c r="D368" i="4"/>
  <c r="D392" i="4"/>
  <c r="D348" i="4"/>
  <c r="D330" i="4"/>
  <c r="D329" i="4"/>
  <c r="D347" i="4"/>
  <c r="D367" i="4"/>
  <c r="D395" i="4"/>
  <c r="D386" i="4"/>
  <c r="D111" i="4"/>
  <c r="D99" i="4"/>
  <c r="D788" i="4"/>
  <c r="D785" i="4"/>
  <c r="D403" i="4"/>
  <c r="D376" i="4"/>
  <c r="D296" i="4"/>
  <c r="D388" i="4"/>
  <c r="D812" i="4"/>
  <c r="D76" i="4"/>
  <c r="D286" i="4"/>
  <c r="D67" i="4"/>
  <c r="D63" i="4"/>
  <c r="D205" i="4"/>
  <c r="D204" i="4"/>
  <c r="D202" i="4"/>
  <c r="D316" i="4"/>
  <c r="D133" i="4"/>
  <c r="D112" i="4"/>
  <c r="D108" i="4"/>
  <c r="D106" i="4"/>
  <c r="D104" i="4"/>
  <c r="D103" i="4"/>
  <c r="D101" i="4"/>
  <c r="D100" i="4"/>
  <c r="D98" i="4"/>
  <c r="D85" i="4"/>
  <c r="D84" i="4"/>
  <c r="D81" i="4"/>
  <c r="D80" i="4"/>
  <c r="D79" i="4"/>
  <c r="D77" i="4"/>
  <c r="D324" i="4"/>
  <c r="D290" i="4"/>
  <c r="D125" i="4"/>
  <c r="D102" i="4"/>
  <c r="D279" i="4"/>
  <c r="D233" i="4"/>
  <c r="D114" i="4"/>
  <c r="D105" i="4"/>
  <c r="D73" i="4"/>
  <c r="D72" i="4"/>
  <c r="D837" i="4"/>
  <c r="D836" i="4"/>
  <c r="D839" i="4"/>
  <c r="D838" i="4"/>
  <c r="Z842" i="4" l="1"/>
  <c r="Z469" i="4" l="1"/>
  <c r="Z470" i="4"/>
  <c r="Z272" i="4" l="1"/>
  <c r="Z452" i="4"/>
  <c r="Z467" i="4"/>
  <c r="Z465" i="4"/>
  <c r="Z464" i="4"/>
  <c r="Z463" i="4"/>
  <c r="Z462" i="4"/>
  <c r="Z461" i="4"/>
  <c r="Z460" i="4"/>
  <c r="Z459" i="4"/>
  <c r="Z458" i="4"/>
  <c r="Z457" i="4"/>
  <c r="Z456" i="4"/>
  <c r="Z455" i="4" l="1"/>
  <c r="Z454" i="4"/>
  <c r="Z453" i="4"/>
  <c r="Z451" i="4"/>
  <c r="Z449" i="4"/>
  <c r="Z448" i="4"/>
  <c r="Z447" i="4"/>
  <c r="Z446" i="4"/>
  <c r="Z445" i="4"/>
  <c r="Z444" i="4"/>
  <c r="Z443" i="4"/>
  <c r="Z442" i="4"/>
  <c r="Z441" i="4"/>
  <c r="Z439" i="4"/>
  <c r="Z438" i="4"/>
  <c r="Z437" i="4"/>
  <c r="Z435" i="4"/>
  <c r="Z227" i="4"/>
  <c r="Z434" i="4"/>
  <c r="Z432" i="4"/>
  <c r="Z431" i="4"/>
  <c r="Z430" i="4"/>
  <c r="Z426" i="4"/>
  <c r="Z410" i="4"/>
  <c r="W891" i="4"/>
  <c r="Y871" i="4"/>
  <c r="T871" i="4"/>
  <c r="C871" i="4"/>
  <c r="A2" i="4" s="1"/>
  <c r="Z847" i="4"/>
  <c r="Z845" i="4"/>
  <c r="Z826" i="4"/>
  <c r="Z825" i="4"/>
  <c r="Z824" i="4"/>
  <c r="Z823" i="4"/>
  <c r="Z822" i="4"/>
  <c r="Z429" i="4"/>
  <c r="Z428" i="4"/>
  <c r="Z427" i="4"/>
  <c r="Z425" i="4"/>
  <c r="Z424" i="4"/>
  <c r="Z423" i="4"/>
  <c r="Z422" i="4"/>
  <c r="Z421" i="4"/>
  <c r="Z420" i="4"/>
  <c r="Z419" i="4"/>
  <c r="Z418" i="4"/>
  <c r="Z417" i="4"/>
  <c r="Z416" i="4"/>
  <c r="Z414" i="4"/>
  <c r="Z413" i="4"/>
  <c r="Z412" i="4"/>
  <c r="Z411" i="4"/>
  <c r="Z409" i="4"/>
  <c r="Z408" i="4"/>
  <c r="Z407" i="4"/>
  <c r="Z406" i="4"/>
  <c r="Z405" i="4"/>
  <c r="Z404" i="4"/>
  <c r="Z403" i="4"/>
  <c r="Z402" i="4"/>
  <c r="Z401" i="4"/>
  <c r="Z400" i="4"/>
  <c r="Z399" i="4"/>
  <c r="Z397" i="4"/>
  <c r="Z396" i="4"/>
  <c r="Z395" i="4"/>
  <c r="Z394" i="4"/>
  <c r="Z393" i="4"/>
  <c r="Z392" i="4"/>
  <c r="Z391" i="4"/>
  <c r="Z390" i="4"/>
  <c r="Z389" i="4"/>
  <c r="Z388" i="4"/>
  <c r="Z387" i="4"/>
  <c r="Z386" i="4"/>
  <c r="Z385" i="4"/>
  <c r="Z384" i="4"/>
  <c r="Z383" i="4"/>
  <c r="Z382" i="4"/>
  <c r="Z381" i="4"/>
  <c r="Z380" i="4"/>
  <c r="Z379" i="4"/>
  <c r="Z378" i="4"/>
  <c r="Z376" i="4"/>
  <c r="Z375" i="4"/>
  <c r="Z374" i="4"/>
  <c r="Z373" i="4"/>
  <c r="Z372" i="4"/>
  <c r="Z371" i="4"/>
  <c r="Z370" i="4"/>
  <c r="Z369" i="4"/>
  <c r="Z368" i="4"/>
  <c r="Z367" i="4"/>
  <c r="Z366" i="4"/>
  <c r="Z365" i="4"/>
  <c r="Z364" i="4"/>
  <c r="Z363" i="4"/>
  <c r="Z362" i="4"/>
  <c r="Z361" i="4"/>
  <c r="Z360" i="4"/>
  <c r="Z359" i="4"/>
  <c r="Z357" i="4"/>
  <c r="Z356" i="4"/>
  <c r="Z355" i="4"/>
  <c r="Z354" i="4"/>
  <c r="Z353" i="4"/>
  <c r="Z352" i="4"/>
  <c r="Z351" i="4"/>
  <c r="Z350" i="4"/>
  <c r="Z349" i="4"/>
  <c r="Z348" i="4"/>
  <c r="Z347" i="4"/>
  <c r="Z346" i="4"/>
  <c r="Z345" i="4"/>
  <c r="Z344" i="4"/>
  <c r="Z343" i="4"/>
  <c r="Z342" i="4"/>
  <c r="Z340" i="4"/>
  <c r="Z339" i="4"/>
  <c r="Z338" i="4"/>
  <c r="Z337" i="4"/>
  <c r="Z336" i="4"/>
  <c r="Z335" i="4"/>
  <c r="Z334" i="4"/>
  <c r="Z333" i="4"/>
  <c r="Z332" i="4"/>
  <c r="Z331" i="4"/>
  <c r="Z330" i="4"/>
  <c r="Z329" i="4"/>
  <c r="Z328" i="4"/>
  <c r="Z327" i="4"/>
  <c r="Z326" i="4"/>
  <c r="Z325" i="4"/>
  <c r="Z324" i="4"/>
  <c r="Z323" i="4"/>
  <c r="Z322" i="4"/>
  <c r="Z321" i="4"/>
  <c r="Z320" i="4"/>
  <c r="Z319" i="4"/>
  <c r="Z317" i="4"/>
  <c r="Z316" i="4"/>
  <c r="Z315" i="4"/>
  <c r="Z314" i="4"/>
  <c r="Z313" i="4"/>
  <c r="Z312" i="4"/>
  <c r="Z311" i="4"/>
  <c r="Z310" i="4"/>
  <c r="Z309" i="4"/>
  <c r="Z308" i="4"/>
  <c r="Z307" i="4"/>
  <c r="Z306" i="4"/>
  <c r="Z305" i="4"/>
  <c r="Z304" i="4"/>
  <c r="Z303" i="4"/>
  <c r="Z302" i="4"/>
  <c r="Z301" i="4"/>
  <c r="Z300" i="4"/>
  <c r="Z299" i="4"/>
  <c r="Z297" i="4"/>
  <c r="Z296" i="4"/>
  <c r="Z295" i="4"/>
  <c r="Z294" i="4"/>
  <c r="Z293" i="4"/>
  <c r="Z292" i="4"/>
  <c r="Z291" i="4"/>
  <c r="Z290" i="4"/>
  <c r="Z289" i="4"/>
  <c r="Z288" i="4"/>
  <c r="Z287" i="4"/>
  <c r="Z286" i="4"/>
  <c r="Z285" i="4"/>
  <c r="Z284" i="4"/>
  <c r="Z283" i="4"/>
  <c r="Z282" i="4"/>
  <c r="Z281" i="4"/>
  <c r="Z280" i="4"/>
  <c r="Z279" i="4"/>
  <c r="Z278" i="4"/>
  <c r="Z277" i="4"/>
  <c r="Z276" i="4"/>
  <c r="Z274" i="4"/>
  <c r="Z273" i="4"/>
  <c r="Z271" i="4"/>
  <c r="Z270" i="4"/>
  <c r="Z269" i="4"/>
  <c r="Z268" i="4"/>
  <c r="Z267" i="4"/>
  <c r="Z266" i="4"/>
  <c r="Z265" i="4"/>
  <c r="Z264" i="4"/>
  <c r="Z263" i="4"/>
  <c r="Z262" i="4"/>
  <c r="Z261" i="4"/>
  <c r="Z260" i="4"/>
  <c r="Z259" i="4"/>
  <c r="Z258" i="4"/>
  <c r="Z257" i="4"/>
  <c r="Z256" i="4"/>
  <c r="Z255" i="4"/>
  <c r="Z254" i="4"/>
  <c r="Z253" i="4"/>
  <c r="Z251" i="4"/>
  <c r="Z250" i="4"/>
  <c r="Z249" i="4"/>
  <c r="Z248" i="4"/>
  <c r="Z247" i="4"/>
  <c r="Z246" i="4"/>
  <c r="Z245" i="4"/>
  <c r="Z244" i="4"/>
  <c r="Z243" i="4"/>
  <c r="Z242" i="4"/>
  <c r="Z241" i="4"/>
  <c r="Z240" i="4"/>
  <c r="Z239" i="4"/>
  <c r="Z238" i="4"/>
  <c r="Z237" i="4"/>
  <c r="Z236" i="4"/>
  <c r="Z235" i="4"/>
  <c r="Z233" i="4"/>
  <c r="Z232" i="4"/>
  <c r="Z231" i="4"/>
  <c r="Z230" i="4"/>
  <c r="Z229" i="4"/>
  <c r="Z228" i="4"/>
  <c r="Z224" i="4"/>
  <c r="Z223" i="4"/>
  <c r="Z210" i="4"/>
  <c r="Z209" i="4"/>
  <c r="Z159" i="4"/>
  <c r="Z152" i="4"/>
  <c r="Z67" i="4"/>
  <c r="Z66" i="4"/>
  <c r="Z65" i="4"/>
  <c r="Z64" i="4"/>
  <c r="Z63" i="4"/>
  <c r="Z62" i="4"/>
  <c r="Z38" i="4"/>
  <c r="B38" i="4"/>
  <c r="Y881" i="4" l="1"/>
  <c r="Y4" i="4"/>
  <c r="AB4" i="4"/>
  <c r="AD4" i="4"/>
  <c r="AC4" i="4"/>
  <c r="AA4" i="4"/>
  <c r="M871" i="4"/>
  <c r="O871" i="4" s="1"/>
  <c r="Z870" i="4"/>
  <c r="Z871" i="4"/>
  <c r="Z881" i="4" s="1"/>
  <c r="B39" i="4"/>
  <c r="B40" i="4" s="1"/>
  <c r="B41" i="4" l="1"/>
  <c r="B42" i="4" s="1"/>
  <c r="B43" i="4" s="1"/>
  <c r="AE870" i="4"/>
  <c r="Z3" i="4"/>
  <c r="AE871" i="4"/>
  <c r="Z4" i="4"/>
  <c r="AF871" i="4" l="1"/>
  <c r="AE881" i="4"/>
  <c r="AE882" i="4" l="1"/>
  <c r="Y882" i="4"/>
  <c r="AD882" i="4"/>
  <c r="AC882" i="4"/>
  <c r="AB882" i="4"/>
  <c r="AA882" i="4"/>
  <c r="Z882" i="4"/>
  <c r="B44" i="4" l="1"/>
  <c r="B45" i="4" s="1"/>
  <c r="B46" i="4" s="1"/>
  <c r="B47" i="4" l="1"/>
  <c r="B48" i="4" l="1"/>
  <c r="B49" i="4" s="1"/>
  <c r="B50" i="4" s="1"/>
  <c r="B51" i="4" s="1"/>
  <c r="B52" i="4" s="1"/>
  <c r="B53" i="4" s="1"/>
  <c r="B54" i="4" s="1"/>
  <c r="B55" i="4" s="1"/>
  <c r="B56" i="4" s="1"/>
  <c r="B57" i="4" s="1"/>
  <c r="B58" i="4" s="1"/>
  <c r="B59" i="4" s="1"/>
  <c r="B60" i="4" s="1"/>
  <c r="B61" i="4" s="1"/>
  <c r="B62" i="4" s="1"/>
  <c r="B63" i="4" s="1"/>
  <c r="B64" i="4" s="1"/>
  <c r="B65" i="4" s="1"/>
  <c r="B66" i="4" s="1"/>
  <c r="B67" i="4" s="1"/>
  <c r="B68"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6" i="4" s="1"/>
  <c r="B137" i="4" s="1"/>
  <c r="B138" i="4" s="1"/>
  <c r="B139" i="4" s="1"/>
  <c r="B140" i="4" s="1"/>
  <c r="B141" i="4" s="1"/>
  <c r="B142" i="4" s="1"/>
  <c r="B143" i="4" s="1"/>
  <c r="B144" i="4" s="1"/>
  <c r="B145" i="4" s="1"/>
  <c r="B146" i="4" l="1"/>
  <c r="B147" i="4" s="1"/>
  <c r="B148" i="4" s="1"/>
  <c r="B149" i="4" s="1"/>
  <c r="B150" i="4" s="1"/>
  <c r="B151" i="4" s="1"/>
  <c r="B152" i="4" s="1"/>
  <c r="B153" i="4" s="1"/>
  <c r="B154" i="4" s="1"/>
  <c r="B155" i="4" s="1"/>
  <c r="B156" i="4" s="1"/>
  <c r="B157" i="4" s="1"/>
  <c r="B158" i="4" s="1"/>
  <c r="B159" i="4" s="1"/>
  <c r="B160" i="4" s="1"/>
  <c r="B161" i="4" s="1"/>
  <c r="B162" i="4" s="1"/>
  <c r="B163" i="4" s="1"/>
  <c r="B164" i="4" s="1"/>
  <c r="B165" i="4" s="1"/>
  <c r="B167" i="4" l="1"/>
  <c r="B168" i="4" s="1"/>
  <c r="B169" i="4" s="1"/>
  <c r="B170" i="4" s="1"/>
  <c r="B171" i="4" s="1"/>
  <c r="B172" i="4" s="1"/>
  <c r="B173" i="4" s="1"/>
  <c r="B174" i="4" s="1"/>
  <c r="B175" i="4" s="1"/>
  <c r="B176" i="4" s="1"/>
  <c r="B177" i="4" s="1"/>
  <c r="B178" i="4" s="1"/>
  <c r="B179"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5" i="4" s="1"/>
  <c r="B236" i="4" s="1"/>
  <c r="B237" i="4" s="1"/>
  <c r="B238" i="4" s="1"/>
  <c r="B239" i="4" s="1"/>
  <c r="B240" i="4" s="1"/>
  <c r="B241" i="4" s="1"/>
  <c r="B242" i="4" s="1"/>
  <c r="B243" i="4" s="1"/>
  <c r="B244" i="4" s="1"/>
  <c r="B245" i="4" s="1"/>
  <c r="B246" i="4" s="1"/>
  <c r="B247" i="4" s="1"/>
  <c r="B248" i="4" s="1"/>
  <c r="B249" i="4" s="1"/>
  <c r="B250" i="4" s="1"/>
  <c r="B251"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9" i="4" s="1"/>
  <c r="B300" i="4" s="1"/>
  <c r="B301" i="4" s="1"/>
  <c r="B302" i="4" s="1"/>
  <c r="B303" i="4" s="1"/>
  <c r="B304" i="4" s="1"/>
  <c r="B305" i="4" s="1"/>
  <c r="B306" i="4" s="1"/>
  <c r="B307" i="4" s="1"/>
  <c r="B308" i="4" s="1"/>
  <c r="B309" i="4" s="1"/>
  <c r="B310" i="4" s="1"/>
  <c r="B311" i="4" s="1"/>
  <c r="B312" i="4" s="1"/>
  <c r="B313" i="4" s="1"/>
  <c r="B314" i="4" s="1"/>
  <c r="B315" i="4" s="1"/>
  <c r="B316" i="4" s="1"/>
  <c r="B317"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2" i="4" s="1"/>
  <c r="B343" i="4" s="1"/>
  <c r="B344" i="4" s="1"/>
  <c r="B345" i="4" s="1"/>
  <c r="B346" i="4" s="1"/>
  <c r="B347" i="4" s="1"/>
  <c r="B348" i="4" s="1"/>
  <c r="B349" i="4" s="1"/>
  <c r="B350" i="4" s="1"/>
  <c r="B351" i="4" s="1"/>
  <c r="B352" i="4" s="1"/>
  <c r="B353" i="4" s="1"/>
  <c r="B354" i="4" s="1"/>
  <c r="B355" i="4" s="1"/>
  <c r="B356" i="4" s="1"/>
  <c r="B357" i="4" s="1"/>
  <c r="B359" i="4" s="1"/>
  <c r="B360" i="4" s="1"/>
  <c r="B361" i="4" s="1"/>
  <c r="B362" i="4" s="1"/>
  <c r="B363" i="4" s="1"/>
  <c r="B364" i="4" s="1"/>
  <c r="B365" i="4" s="1"/>
  <c r="B366" i="4" s="1"/>
  <c r="B367" i="4" s="1"/>
  <c r="B368" i="4" s="1"/>
  <c r="B369" i="4" s="1"/>
  <c r="B370" i="4" s="1"/>
  <c r="B371" i="4" s="1"/>
  <c r="B372" i="4" s="1"/>
  <c r="B373" i="4" s="1"/>
  <c r="B374" i="4" s="1"/>
  <c r="B375" i="4" s="1"/>
  <c r="B376" i="4" s="1"/>
  <c r="B378" i="4" s="1"/>
  <c r="B379" i="4" s="1"/>
  <c r="B380" i="4" s="1"/>
  <c r="B381" i="4" s="1"/>
  <c r="B382" i="4" s="1"/>
  <c r="B383" i="4" s="1"/>
  <c r="B384" i="4" s="1"/>
  <c r="B385" i="4" s="1"/>
  <c r="B386" i="4" s="1"/>
  <c r="B387" i="4" s="1"/>
  <c r="B388" i="4" s="1"/>
  <c r="B389" i="4" s="1"/>
  <c r="B390" i="4" s="1"/>
  <c r="B391" i="4" s="1"/>
  <c r="B392" i="4" s="1"/>
  <c r="B393" i="4" s="1"/>
  <c r="B394" i="4" s="1"/>
  <c r="B395" i="4" s="1"/>
  <c r="B396" i="4" s="1"/>
  <c r="B397" i="4" s="1"/>
  <c r="B399" i="4" s="1"/>
  <c r="B400" i="4" s="1"/>
  <c r="B401" i="4" s="1"/>
  <c r="B402" i="4" s="1"/>
  <c r="B403" i="4" s="1"/>
  <c r="B404" i="4" s="1"/>
  <c r="B405" i="4" s="1"/>
  <c r="B406" i="4" s="1"/>
  <c r="B407" i="4" s="1"/>
  <c r="B408" i="4" s="1"/>
  <c r="B409" i="4" s="1"/>
  <c r="B410" i="4" s="1"/>
  <c r="B411" i="4" s="1"/>
  <c r="B412" i="4" s="1"/>
  <c r="B413" i="4" s="1"/>
  <c r="B414" i="4" s="1"/>
  <c r="B416" i="4" s="1"/>
  <c r="B417" i="4" s="1"/>
  <c r="B418" i="4" s="1"/>
  <c r="B419" i="4" s="1"/>
  <c r="B420" i="4" s="1"/>
  <c r="B421" i="4" s="1"/>
  <c r="B422" i="4" s="1"/>
  <c r="B423" i="4" s="1"/>
  <c r="B424" i="4" s="1"/>
  <c r="B425" i="4" s="1"/>
  <c r="B426" i="4" s="1"/>
  <c r="B427" i="4" s="1"/>
  <c r="B428" i="4" s="1"/>
  <c r="B429" i="4" s="1"/>
  <c r="B430" i="4" s="1"/>
  <c r="B431" i="4" s="1"/>
  <c r="B432" i="4" s="1"/>
  <c r="B434" i="4" s="1"/>
  <c r="B435" i="4" s="1"/>
  <c r="B436" i="4" s="1"/>
  <c r="B437" i="4" s="1"/>
  <c r="B438" i="4" s="1"/>
  <c r="B439" i="4" s="1"/>
  <c r="B440" i="4" s="1"/>
  <c r="B441" i="4" s="1"/>
  <c r="B442" i="4" s="1"/>
  <c r="B443" i="4" s="1"/>
  <c r="B444" i="4" s="1"/>
  <c r="B445" i="4" s="1"/>
  <c r="B446" i="4" s="1"/>
  <c r="B447" i="4" s="1"/>
  <c r="B448" i="4" s="1"/>
  <c r="B449" i="4" s="1"/>
  <c r="B451" i="4" s="1"/>
  <c r="B452" i="4" s="1"/>
  <c r="B453" i="4" s="1"/>
  <c r="B454" i="4" s="1"/>
  <c r="B455" i="4" s="1"/>
  <c r="B456" i="4" s="1"/>
  <c r="B457" i="4" s="1"/>
  <c r="B458" i="4" s="1"/>
  <c r="B459" i="4" s="1"/>
  <c r="B460" i="4" s="1"/>
  <c r="B461" i="4" s="1"/>
  <c r="B462" i="4" s="1"/>
  <c r="B463" i="4" s="1"/>
  <c r="B464" i="4" s="1"/>
  <c r="B465" i="4" s="1"/>
  <c r="B466" i="4" s="1"/>
  <c r="B467" i="4" s="1"/>
  <c r="B468" i="4" s="1"/>
  <c r="B469" i="4" s="1"/>
  <c r="B470" i="4" s="1"/>
  <c r="B472" i="4" s="1"/>
  <c r="B473" i="4" s="1"/>
  <c r="B474" i="4" s="1"/>
  <c r="B475" i="4" s="1"/>
  <c r="B476" i="4" s="1"/>
  <c r="B477" i="4" s="1"/>
  <c r="B478" i="4" s="1"/>
  <c r="B479" i="4" s="1"/>
  <c r="B480" i="4" s="1"/>
  <c r="B481" i="4" s="1"/>
  <c r="B482" i="4" s="1"/>
  <c r="B483" i="4" s="1"/>
  <c r="B484" i="4" s="1"/>
  <c r="B485" i="4" s="1"/>
  <c r="B486" i="4" s="1"/>
  <c r="B487" i="4" s="1"/>
  <c r="B488" i="4" s="1"/>
  <c r="B490" i="4" s="1"/>
  <c r="B491" i="4" s="1"/>
  <c r="B492" i="4" s="1"/>
  <c r="B493" i="4" s="1"/>
  <c r="B494" i="4" s="1"/>
  <c r="B495" i="4" s="1"/>
  <c r="B496" i="4" s="1"/>
  <c r="B497" i="4" s="1"/>
  <c r="B498" i="4" s="1"/>
  <c r="B499" i="4" s="1"/>
  <c r="B500" i="4" s="1"/>
  <c r="B501" i="4" s="1"/>
  <c r="B502" i="4" s="1"/>
  <c r="B503" i="4" s="1"/>
  <c r="B504" i="4" s="1"/>
  <c r="B505" i="4" s="1"/>
  <c r="B506" i="4" s="1"/>
  <c r="B507" i="4" s="1"/>
  <c r="B508" i="4" s="1"/>
  <c r="B509" i="4" s="1"/>
  <c r="B510" i="4" s="1"/>
  <c r="B511" i="4" s="1"/>
  <c r="B512" i="4" s="1"/>
  <c r="B514" i="4" s="1"/>
  <c r="B515" i="4" s="1"/>
  <c r="B516" i="4" s="1"/>
  <c r="B517" i="4" s="1"/>
  <c r="B518" i="4" s="1"/>
  <c r="B519" i="4" s="1"/>
  <c r="B520" i="4" s="1"/>
  <c r="B521" i="4" s="1"/>
  <c r="B522" i="4" s="1"/>
  <c r="B523" i="4" s="1"/>
  <c r="B524" i="4" s="1"/>
  <c r="B525" i="4" s="1"/>
  <c r="B526" i="4" s="1"/>
  <c r="B527" i="4" s="1"/>
  <c r="B528" i="4" s="1"/>
  <c r="B529" i="4" s="1"/>
  <c r="B530" i="4" s="1"/>
  <c r="B531" i="4" s="1"/>
  <c r="B532" i="4" s="1"/>
  <c r="B533" i="4" s="1"/>
  <c r="B534" i="4" s="1"/>
  <c r="B535" i="4" s="1"/>
  <c r="B536" i="4" s="1"/>
  <c r="B537" i="4" s="1"/>
  <c r="B538" i="4" s="1"/>
  <c r="B539" i="4" s="1"/>
  <c r="B541" i="4" s="1"/>
  <c r="B542" i="4" s="1"/>
  <c r="B543" i="4" s="1"/>
  <c r="B544" i="4" s="1"/>
  <c r="B545" i="4" s="1"/>
  <c r="B546" i="4" s="1"/>
  <c r="B547" i="4" s="1"/>
  <c r="B548" i="4" s="1"/>
  <c r="B549" i="4" s="1"/>
  <c r="B550" i="4" s="1"/>
  <c r="B551" i="4" s="1"/>
  <c r="B552" i="4" s="1"/>
  <c r="B553" i="4" s="1"/>
  <c r="B554" i="4" s="1"/>
  <c r="B555" i="4" s="1"/>
  <c r="B556" i="4" s="1"/>
  <c r="B557" i="4" s="1"/>
  <c r="B558" i="4" s="1"/>
  <c r="B559" i="4" s="1"/>
  <c r="B560" i="4" s="1"/>
  <c r="B561" i="4" s="1"/>
  <c r="B562" i="4" s="1"/>
  <c r="B563" i="4" s="1"/>
  <c r="B565" i="4" s="1"/>
  <c r="B566" i="4" s="1"/>
  <c r="B567" i="4" s="1"/>
  <c r="B568" i="4" s="1"/>
  <c r="B569" i="4" s="1"/>
  <c r="B570" i="4" s="1"/>
  <c r="B571" i="4" s="1"/>
  <c r="B572" i="4" s="1"/>
  <c r="B573" i="4" s="1"/>
  <c r="B574" i="4" s="1"/>
  <c r="B575" i="4" s="1"/>
  <c r="B576" i="4" s="1"/>
  <c r="B577" i="4" s="1"/>
  <c r="B578" i="4" s="1"/>
  <c r="B579" i="4" s="1"/>
  <c r="B580" i="4" s="1"/>
  <c r="B581" i="4" s="1"/>
  <c r="B582" i="4" s="1"/>
  <c r="B583" i="4" s="1"/>
  <c r="B585" i="4" s="1"/>
  <c r="B586" i="4" s="1"/>
  <c r="B587" i="4" s="1"/>
  <c r="B588" i="4" s="1"/>
  <c r="B589" i="4" s="1"/>
  <c r="B590" i="4" s="1"/>
  <c r="B591" i="4" s="1"/>
  <c r="B592" i="4" s="1"/>
  <c r="B593" i="4" s="1"/>
  <c r="B594" i="4" s="1"/>
  <c r="B595" i="4" s="1"/>
  <c r="B596" i="4" s="1"/>
  <c r="B597" i="4" s="1"/>
  <c r="B598" i="4" s="1"/>
  <c r="B599" i="4" s="1"/>
  <c r="B600" i="4" s="1"/>
  <c r="B601" i="4" s="1"/>
  <c r="B602" i="4" s="1"/>
  <c r="B603" i="4" s="1"/>
  <c r="B604" i="4" s="1"/>
  <c r="B605" i="4" s="1"/>
  <c r="B606" i="4" s="1"/>
  <c r="B607" i="4" s="1"/>
  <c r="B608" i="4" s="1"/>
  <c r="B610" i="4" s="1"/>
  <c r="B611" i="4" s="1"/>
  <c r="B612" i="4" s="1"/>
  <c r="B613" i="4" s="1"/>
  <c r="B614" i="4" s="1"/>
  <c r="B615" i="4" s="1"/>
  <c r="B616" i="4" s="1"/>
  <c r="B617" i="4" s="1"/>
  <c r="B618" i="4" s="1"/>
  <c r="B619" i="4" s="1"/>
  <c r="B166" i="4"/>
  <c r="B621" i="4" l="1"/>
  <c r="B622" i="4" s="1"/>
  <c r="B623" i="4" s="1"/>
  <c r="B624" i="4" s="1"/>
  <c r="B625" i="4" s="1"/>
  <c r="B626" i="4" s="1"/>
  <c r="B627" i="4" s="1"/>
  <c r="B628" i="4" s="1"/>
  <c r="B629" i="4" s="1"/>
  <c r="B630" i="4" s="1"/>
  <c r="B631" i="4" s="1"/>
  <c r="B633" i="4" s="1"/>
  <c r="B634" i="4" s="1"/>
  <c r="B635" i="4" s="1"/>
  <c r="B636" i="4" s="1"/>
  <c r="B637" i="4" s="1"/>
  <c r="B638" i="4" s="1"/>
  <c r="B639" i="4" s="1"/>
  <c r="B640" i="4" s="1"/>
  <c r="B641" i="4" s="1"/>
  <c r="B642" i="4" s="1"/>
  <c r="B643" i="4" s="1"/>
  <c r="B644" i="4" s="1"/>
  <c r="B645" i="4" s="1"/>
  <c r="B646" i="4" s="1"/>
  <c r="B647" i="4" s="1"/>
  <c r="B648" i="4" s="1"/>
  <c r="B649" i="4" s="1"/>
  <c r="B650" i="4" s="1"/>
  <c r="B651" i="4" s="1"/>
  <c r="B652" i="4" s="1"/>
  <c r="B653" i="4" s="1"/>
  <c r="B655" i="4" s="1"/>
  <c r="B656" i="4" s="1"/>
  <c r="B657" i="4" s="1"/>
  <c r="B658" i="4" s="1"/>
  <c r="B659" i="4" s="1"/>
  <c r="B660" i="4" s="1"/>
  <c r="B661" i="4" s="1"/>
  <c r="B662" i="4" s="1"/>
  <c r="B663" i="4" s="1"/>
  <c r="B664" i="4" s="1"/>
  <c r="B665" i="4" s="1"/>
  <c r="B666" i="4" s="1"/>
  <c r="B667" i="4" s="1"/>
  <c r="B668" i="4" s="1"/>
  <c r="B669" i="4" s="1"/>
  <c r="B670" i="4" s="1"/>
  <c r="B671" i="4" s="1"/>
  <c r="B672" i="4" s="1"/>
  <c r="B673" i="4" s="1"/>
  <c r="B674" i="4" s="1"/>
  <c r="B675" i="4" s="1"/>
  <c r="B677" i="4" s="1"/>
  <c r="B678" i="4" s="1"/>
  <c r="B679" i="4" s="1"/>
  <c r="B680" i="4" s="1"/>
  <c r="B681" i="4" s="1"/>
  <c r="B682" i="4" s="1"/>
  <c r="B683" i="4" s="1"/>
  <c r="B684" i="4" s="1"/>
  <c r="B685" i="4" s="1"/>
  <c r="B686" i="4" s="1"/>
  <c r="B687" i="4" s="1"/>
  <c r="B688" i="4" s="1"/>
  <c r="B689" i="4" s="1"/>
  <c r="B690" i="4" s="1"/>
  <c r="B691" i="4" s="1"/>
  <c r="B692" i="4" s="1"/>
  <c r="B693" i="4" s="1"/>
  <c r="B694" i="4" s="1"/>
  <c r="B695" i="4" s="1"/>
  <c r="B696" i="4" s="1"/>
  <c r="B697" i="4" s="1"/>
  <c r="B698" i="4" s="1"/>
  <c r="B700" i="4" s="1"/>
  <c r="B701" i="4" s="1"/>
  <c r="B704" i="4" s="1"/>
  <c r="B705" i="4" s="1"/>
  <c r="B706" i="4" s="1"/>
  <c r="B707" i="4" s="1"/>
  <c r="B708" i="4" s="1"/>
  <c r="B709" i="4" s="1"/>
  <c r="B710" i="4" s="1"/>
  <c r="B711" i="4" s="1"/>
  <c r="B712" i="4" s="1"/>
  <c r="B713" i="4" s="1"/>
  <c r="B714" i="4" s="1"/>
  <c r="B715" i="4" s="1"/>
  <c r="B716" i="4" s="1"/>
  <c r="B717" i="4" s="1"/>
  <c r="B718" i="4" s="1"/>
  <c r="B719" i="4" s="1"/>
  <c r="B720" i="4" s="1"/>
  <c r="B721" i="4" s="1"/>
  <c r="B722" i="4" s="1"/>
  <c r="B723" i="4" s="1"/>
  <c r="B724" i="4" s="1"/>
  <c r="B725" i="4" s="1"/>
  <c r="B726" i="4" s="1"/>
  <c r="B727" i="4" s="1"/>
  <c r="B728" i="4" s="1"/>
  <c r="B729" i="4" s="1"/>
  <c r="B730" i="4" s="1"/>
  <c r="B731" i="4" s="1"/>
  <c r="B733" i="4" s="1"/>
  <c r="B734" i="4" s="1"/>
  <c r="B735" i="4" s="1"/>
  <c r="B736" i="4" s="1"/>
  <c r="B737" i="4" s="1"/>
  <c r="B738" i="4" s="1"/>
  <c r="B739" i="4" s="1"/>
  <c r="B740" i="4" s="1"/>
  <c r="B741" i="4" s="1"/>
  <c r="B742" i="4" s="1"/>
  <c r="B743" i="4" s="1"/>
  <c r="B620" i="4"/>
  <c r="B744" i="4" l="1"/>
  <c r="B745" i="4" s="1"/>
  <c r="B746" i="4" s="1"/>
  <c r="B747" i="4" s="1"/>
  <c r="B748" i="4" s="1"/>
  <c r="B749" i="4" s="1"/>
  <c r="B750" i="4" s="1"/>
  <c r="B751" i="4" s="1"/>
  <c r="B752" i="4" s="1"/>
  <c r="B699" i="4"/>
  <c r="B753" i="4" l="1"/>
  <c r="B754" i="4" s="1"/>
  <c r="B755" i="4" s="1"/>
  <c r="B756" i="4" s="1"/>
  <c r="B757" i="4" s="1"/>
  <c r="B758" i="4" s="1"/>
  <c r="B759" i="4" s="1"/>
  <c r="B760" i="4" s="1"/>
  <c r="B761" i="4" s="1"/>
  <c r="B762" i="4" s="1"/>
  <c r="B763" i="4" s="1"/>
  <c r="B764" i="4" s="1"/>
  <c r="B765" i="4" s="1"/>
  <c r="B766" i="4" s="1"/>
  <c r="B767" i="4" s="1"/>
  <c r="B768" i="4" s="1"/>
  <c r="B769" i="4" s="1"/>
  <c r="B770" i="4" s="1"/>
  <c r="B771" i="4" s="1"/>
  <c r="B772" i="4" s="1"/>
  <c r="B773" i="4" s="1"/>
  <c r="B777" i="4" l="1"/>
  <c r="B778" i="4" s="1"/>
  <c r="B779" i="4" s="1"/>
  <c r="B780" i="4" s="1"/>
  <c r="B781" i="4" s="1"/>
  <c r="B782" i="4" s="1"/>
  <c r="B783" i="4" s="1"/>
  <c r="B784" i="4" s="1"/>
  <c r="B785" i="4" s="1"/>
  <c r="B786" i="4" s="1"/>
  <c r="B787" i="4" s="1"/>
  <c r="B788" i="4" s="1"/>
  <c r="B789" i="4" s="1"/>
  <c r="B790" i="4" s="1"/>
  <c r="B791" i="4" s="1"/>
  <c r="B792" i="4" s="1"/>
  <c r="B793" i="4" s="1"/>
  <c r="B794" i="4" s="1"/>
  <c r="B795" i="4" s="1"/>
  <c r="B796" i="4" s="1"/>
  <c r="B797" i="4" s="1"/>
  <c r="B798" i="4" s="1"/>
  <c r="B799" i="4" s="1"/>
  <c r="B800" i="4" s="1"/>
  <c r="B801" i="4" s="1"/>
  <c r="B802" i="4" s="1"/>
  <c r="B803" i="4" s="1"/>
  <c r="B804" i="4" s="1"/>
  <c r="B805" i="4" s="1"/>
  <c r="B806" i="4" s="1"/>
  <c r="B807" i="4" s="1"/>
  <c r="B808" i="4" s="1"/>
  <c r="B812" i="4" s="1"/>
  <c r="B813" i="4" s="1"/>
  <c r="B814" i="4" l="1"/>
  <c r="B811" i="4"/>
  <c r="B815" i="4" l="1"/>
  <c r="B816" i="4" s="1"/>
  <c r="B817" i="4" s="1"/>
  <c r="B818" i="4" s="1"/>
  <c r="B819" i="4" s="1"/>
  <c r="B820" i="4" s="1"/>
  <c r="B821" i="4" s="1"/>
  <c r="B822" i="4" s="1"/>
  <c r="B823" i="4" s="1"/>
  <c r="B824" i="4" s="1"/>
  <c r="B825" i="4" s="1"/>
  <c r="B826" i="4" s="1"/>
  <c r="B827" i="4" s="1"/>
  <c r="B828" i="4" s="1"/>
  <c r="B829" i="4" s="1"/>
  <c r="B830" i="4" s="1"/>
  <c r="B831" i="4" s="1"/>
  <c r="B832" i="4" s="1"/>
  <c r="B833" i="4" s="1"/>
  <c r="B834" i="4" s="1"/>
  <c r="B835" i="4" s="1"/>
  <c r="B836" i="4" s="1"/>
  <c r="B837" i="4" s="1"/>
  <c r="B838" i="4" s="1"/>
  <c r="B839" i="4" s="1"/>
  <c r="B841" i="4" s="1"/>
  <c r="B842" i="4" s="1"/>
  <c r="B843" i="4" s="1"/>
  <c r="B844" i="4" s="1"/>
  <c r="B845" i="4" s="1"/>
  <c r="B846" i="4" s="1"/>
  <c r="B847" i="4" s="1"/>
  <c r="B848" i="4" s="1"/>
  <c r="B849" i="4" s="1"/>
  <c r="B850" i="4" s="1"/>
  <c r="B851" i="4" s="1"/>
  <c r="B852" i="4" s="1"/>
  <c r="B853" i="4" s="1"/>
  <c r="B854" i="4" s="1"/>
  <c r="B855" i="4" s="1"/>
  <c r="B856" i="4" s="1"/>
  <c r="B857" i="4" s="1"/>
  <c r="B858" i="4" s="1"/>
  <c r="B859" i="4" s="1"/>
  <c r="B860" i="4" l="1"/>
  <c r="B861" i="4" s="1"/>
  <c r="B862" i="4" s="1"/>
  <c r="B863" i="4" s="1"/>
  <c r="B864" i="4" s="1"/>
  <c r="B865" i="4" s="1"/>
  <c r="B866" i="4" s="1"/>
  <c r="B867" i="4" s="1"/>
  <c r="B868" i="4" s="1"/>
  <c r="B869" i="4" s="1"/>
  <c r="Y872" i="4" l="1"/>
  <c r="Y873" i="4" s="1"/>
</calcChain>
</file>

<file path=xl/sharedStrings.xml><?xml version="1.0" encoding="utf-8"?>
<sst xmlns="http://schemas.openxmlformats.org/spreadsheetml/2006/main" count="3863" uniqueCount="1863">
  <si>
    <t>an up-to-date (and subject to frequent change) </t>
  </si>
  <si>
    <t>individual stones listed in alphanumeric order</t>
  </si>
  <si>
    <t>The list contains only those meteorites that have been announced in The Meteoritical Bulletin, described elsewhere in the scientific literature, or that I've studied myself and know to be of lunar origin.</t>
  </si>
  <si>
    <t>Go To:</t>
  </si>
  <si>
    <t>  </t>
  </si>
  <si>
    <t>WU</t>
  </si>
  <si>
    <t>feldspathic breccia</t>
  </si>
  <si>
    <t>NWA 773, 2700, 2727, 2977, 3186, 3160, 3333</t>
  </si>
  <si>
    <t>mare basalt, unbrecciated</t>
  </si>
  <si>
    <t>301, 304, 308</t>
  </si>
  <si>
    <t>457-468, 1669</t>
  </si>
  <si>
    <t>280, 910, 1224</t>
  </si>
  <si>
    <t>Dhofar 490</t>
  </si>
  <si>
    <t>Dhofar 733</t>
  </si>
  <si>
    <t>Dhofar 925</t>
  </si>
  <si>
    <t>Dhofar 1436</t>
  </si>
  <si>
    <t>Dhofar 1627</t>
  </si>
  <si>
    <t>Dhofar 1673</t>
  </si>
  <si>
    <t>1983, 1984</t>
  </si>
  <si>
    <t>?</t>
  </si>
  <si>
    <t>Dhofar 1436/1443 ?</t>
  </si>
  <si>
    <t>LaPaz Icefield 02205</t>
  </si>
  <si>
    <t>02224, 02226, 02436, 03632, 04841</t>
  </si>
  <si>
    <t>Miller Range 090034</t>
  </si>
  <si>
    <t>NWA 7022?</t>
  </si>
  <si>
    <t> 1</t>
  </si>
  <si>
    <t>Northwest Africa 2995</t>
  </si>
  <si>
    <t>Northwest Africa 3163</t>
  </si>
  <si>
    <t>Northwest Africa 4472</t>
  </si>
  <si>
    <t>Northwest Africa 4936</t>
  </si>
  <si>
    <t>Northwest Africa 5744</t>
  </si>
  <si>
    <t>MIL 090036?</t>
  </si>
  <si>
    <t>Northwest Africa 7611</t>
  </si>
  <si>
    <t>Northwest Africa 7834</t>
  </si>
  <si>
    <t>Northwest Africa 8022</t>
  </si>
  <si>
    <t>Northwest Africa 8455</t>
  </si>
  <si>
    <t>5744 &amp; pairs</t>
  </si>
  <si>
    <t>Northwest Africa 8641</t>
  </si>
  <si>
    <t>Northwest Africa 8673</t>
  </si>
  <si>
    <t>Dho 925 &amp; pairs?; Dho 1629? SaU 449?</t>
  </si>
  <si>
    <t>unnamed 64</t>
  </si>
  <si>
    <t>Northwest Africa 10172</t>
  </si>
  <si>
    <t>~2007</t>
  </si>
  <si>
    <t>~2005</t>
  </si>
  <si>
    <t>MIL 07006?</t>
  </si>
  <si>
    <t>82193, 86032</t>
  </si>
  <si>
    <t>82192, 86032</t>
  </si>
  <si>
    <t>82193, 82193</t>
  </si>
  <si>
    <t>back to:</t>
  </si>
  <si>
    <t>list of lunar meteorites</t>
  </si>
  <si>
    <t>Meteoritical Bulletin Database</t>
  </si>
  <si>
    <t>AaU</t>
  </si>
  <si>
    <t>ALH</t>
  </si>
  <si>
    <t>Asu</t>
  </si>
  <si>
    <t>DaG</t>
  </si>
  <si>
    <t>DEW</t>
  </si>
  <si>
    <t>Dho</t>
  </si>
  <si>
    <t>EET</t>
  </si>
  <si>
    <t>GRA</t>
  </si>
  <si>
    <t>Kal</t>
  </si>
  <si>
    <t>LAP</t>
  </si>
  <si>
    <t>LAR</t>
  </si>
  <si>
    <t>MAC</t>
  </si>
  <si>
    <t>MET</t>
  </si>
  <si>
    <t>NEA</t>
  </si>
  <si>
    <t>NWA</t>
  </si>
  <si>
    <t>PCA</t>
  </si>
  <si>
    <t>QUE</t>
  </si>
  <si>
    <t>SaU</t>
  </si>
  <si>
    <t>Shi</t>
  </si>
  <si>
    <t>1058 </t>
  </si>
  <si>
    <t>Dhofar 1428? </t>
  </si>
  <si>
    <t> ~50:50 feldspathic-basaltic breccia</t>
  </si>
  <si>
    <t>QUE 94821; EET 87/96; NWA 4884, 7611, 8277; DEW 12007</t>
  </si>
  <si>
    <t>303 et al.?</t>
  </si>
  <si>
    <t>303 &amp; pairs</t>
  </si>
  <si>
    <t>773 &amp; pairs</t>
  </si>
  <si>
    <t>2995 &amp; pairs</t>
  </si>
  <si>
    <t>2995 &amp; pairs?</t>
  </si>
  <si>
    <t>4936 &amp; pairs</t>
  </si>
  <si>
    <t>8455 &amp; pairs</t>
  </si>
  <si>
    <t>8641 &amp; pairs</t>
  </si>
  <si>
    <t>8673 &amp; pairs</t>
  </si>
  <si>
    <t>NWA 4734, NWA 032/479</t>
  </si>
  <si>
    <t>009</t>
  </si>
  <si>
    <t>008</t>
  </si>
  <si>
    <t>Want a list of martian meteorites? </t>
  </si>
  <si>
    <t>Washington University in St. Louis</t>
  </si>
  <si>
    <t xml:space="preserve">3300
27 pieces </t>
  </si>
  <si>
    <t>1279.3
3 pieces</t>
  </si>
  <si>
    <t>54.2
many pieces</t>
  </si>
  <si>
    <t>352.3
61 pieces</t>
  </si>
  <si>
    <t>27.5
24 pieces</t>
  </si>
  <si>
    <t>51
6 pieces</t>
  </si>
  <si>
    <t>562.5
5 pieces</t>
  </si>
  <si>
    <t>413
5 pieces</t>
  </si>
  <si>
    <t>124
2 pieces</t>
  </si>
  <si>
    <t>633
3 pieces</t>
  </si>
  <si>
    <t>191.2
4 pieces</t>
  </si>
  <si>
    <t>34
3 pieces</t>
  </si>
  <si>
    <t>179
2 pieces</t>
  </si>
  <si>
    <t>281
6 pieces</t>
  </si>
  <si>
    <t>432.5
2 pieces</t>
  </si>
  <si>
    <t>Lyn</t>
  </si>
  <si>
    <t>Maps:</t>
  </si>
  <si>
    <t>Ano</t>
  </si>
  <si>
    <t>JaH</t>
  </si>
  <si>
    <t>MIL</t>
  </si>
  <si>
    <t>Yam</t>
  </si>
  <si>
    <t>Yan</t>
  </si>
  <si>
    <t>122.78
2 pieces</t>
  </si>
  <si>
    <t>245
9 pieces</t>
  </si>
  <si>
    <t>194
9 pieces</t>
  </si>
  <si>
    <t>197
4 pieces</t>
  </si>
  <si>
    <t>36.7
4 pieces</t>
  </si>
  <si>
    <t>106.5
5 pieces</t>
  </si>
  <si>
    <t>23.5
6 pieces</t>
  </si>
  <si>
    <t>208
12 pieces</t>
  </si>
  <si>
    <t>42.4
2 pieces</t>
  </si>
  <si>
    <t>181
16 pieces</t>
  </si>
  <si>
    <t>5.28
3 pieces</t>
  </si>
  <si>
    <t>503
6 pieces</t>
  </si>
  <si>
    <t>5.2
3 pieces</t>
  </si>
  <si>
    <t>2015</t>
  </si>
  <si>
    <t>996, 1042, 1048</t>
  </si>
  <si>
    <t>262, 1042, 1048</t>
  </si>
  <si>
    <t>262, 996, 1048</t>
  </si>
  <si>
    <t>262, 996, 1042</t>
  </si>
  <si>
    <t>305, 306, 307, 309, 310, 311, 489, 730, 731, 908, 909, 911, 950, 1085</t>
  </si>
  <si>
    <t>303 pairs</t>
  </si>
  <si>
    <t>2995 pairs</t>
  </si>
  <si>
    <t>4483, 4881, 6275</t>
  </si>
  <si>
    <t>5406, 6221, 6355, 6470, 6570 , 7190, 7986, 8181</t>
  </si>
  <si>
    <t>960, 961</t>
  </si>
  <si>
    <t>090034, 090070</t>
  </si>
  <si>
    <t>Y-791197?</t>
  </si>
  <si>
    <t>032</t>
  </si>
  <si>
    <t>Asuka 881757; Y-793274; MIL 05035</t>
  </si>
  <si>
    <t>Y-793169; MET 01210; MIL 05035</t>
  </si>
  <si>
    <t>DON'T DELETE</t>
  </si>
  <si>
    <t>7834 &amp; pairs</t>
  </si>
  <si>
    <t>[192]</t>
  </si>
  <si>
    <t>[691]</t>
  </si>
  <si>
    <r>
      <t> </t>
    </r>
    <r>
      <rPr>
        <i/>
        <sz val="10"/>
        <color theme="1"/>
        <rFont val="Lucida Sans Unicode"/>
        <family val="2"/>
      </rPr>
      <t>[26]</t>
    </r>
  </si>
  <si>
    <t>[168]</t>
  </si>
  <si>
    <t>[117]</t>
  </si>
  <si>
    <t>[598]</t>
  </si>
  <si>
    <t>[442]</t>
  </si>
  <si>
    <t>[140]</t>
  </si>
  <si>
    <t>[158]</t>
  </si>
  <si>
    <t>[40.04]</t>
  </si>
  <si>
    <t>monomict basaltic breccia</t>
  </si>
  <si>
    <t>081 &amp; pairs</t>
  </si>
  <si>
    <t>025 &amp; pairs</t>
  </si>
  <si>
    <t>925 &amp; pairs</t>
  </si>
  <si>
    <t>1673 &amp; pairs</t>
  </si>
  <si>
    <t>026 &amp; pairs</t>
  </si>
  <si>
    <t>NWA 2998 &amp; 7262?</t>
  </si>
  <si>
    <t>1015
2 pieces</t>
  </si>
  <si>
    <t>NWA 7262</t>
  </si>
  <si>
    <t>U.S. Antarctic
(ANSMET)</t>
  </si>
  <si>
    <t>Abar al' Uj 012</t>
  </si>
  <si>
    <t>Allan Hills A81005</t>
  </si>
  <si>
    <t>Anoual</t>
  </si>
  <si>
    <t>Asuka 881757</t>
  </si>
  <si>
    <t>Calcalong Creek</t>
  </si>
  <si>
    <t>Dar al Gani 262</t>
  </si>
  <si>
    <t>Dar al Gani 400</t>
  </si>
  <si>
    <t>Dar al Gani 996</t>
  </si>
  <si>
    <t>Dar al Gani 1042</t>
  </si>
  <si>
    <t>Dar al Gani 1048</t>
  </si>
  <si>
    <t>Dar al Gani 1058</t>
  </si>
  <si>
    <t>Dhofar 025</t>
  </si>
  <si>
    <t>Dhofar 026</t>
  </si>
  <si>
    <t>Dhofar 081</t>
  </si>
  <si>
    <t>Dhofar 280</t>
  </si>
  <si>
    <t>Dhofar 287</t>
  </si>
  <si>
    <t>Dhofar 301</t>
  </si>
  <si>
    <t>Dhofar 302</t>
  </si>
  <si>
    <t>Dhofar 303</t>
  </si>
  <si>
    <t>Dhofar 304</t>
  </si>
  <si>
    <t>Dhofar 305</t>
  </si>
  <si>
    <t>Dhofar 306</t>
  </si>
  <si>
    <t>Dhofar 307</t>
  </si>
  <si>
    <t>Dhofar 308</t>
  </si>
  <si>
    <t>Dhofar 309</t>
  </si>
  <si>
    <t>Dhofar 310</t>
  </si>
  <si>
    <t>Dhofar 311</t>
  </si>
  <si>
    <t>Dhofar 457</t>
  </si>
  <si>
    <t>Dhofar 458</t>
  </si>
  <si>
    <t>Dhofar 459</t>
  </si>
  <si>
    <t>Dhofar 460</t>
  </si>
  <si>
    <t>Dhofar 461</t>
  </si>
  <si>
    <t>Dhofar 462</t>
  </si>
  <si>
    <t>Dhofar 463</t>
  </si>
  <si>
    <t>Dhofar 464</t>
  </si>
  <si>
    <t>Dhofar 465</t>
  </si>
  <si>
    <t>Dhofar 466</t>
  </si>
  <si>
    <t>Dhofar 467</t>
  </si>
  <si>
    <t>Dhofar 468</t>
  </si>
  <si>
    <t>Dhofar 489</t>
  </si>
  <si>
    <t>Dhofar 730</t>
  </si>
  <si>
    <t>Dhofar 731</t>
  </si>
  <si>
    <t>Dhofar 908</t>
  </si>
  <si>
    <t>Dhofar 909</t>
  </si>
  <si>
    <t>Dhofar 910</t>
  </si>
  <si>
    <t>Dhofar 911</t>
  </si>
  <si>
    <t>Dhofar 950</t>
  </si>
  <si>
    <t>Dhofar 960</t>
  </si>
  <si>
    <t>Dhofar 1084</t>
  </si>
  <si>
    <t>Dhofar 961</t>
  </si>
  <si>
    <t>Dhofar 1085</t>
  </si>
  <si>
    <t>Dhofar 1180</t>
  </si>
  <si>
    <t>Dhofar 1224</t>
  </si>
  <si>
    <t>Dhofar 1428</t>
  </si>
  <si>
    <t>Dhofar 1442</t>
  </si>
  <si>
    <t>Dhofar 1443</t>
  </si>
  <si>
    <t>Dhofar 1527</t>
  </si>
  <si>
    <t>Dhofar 1528</t>
  </si>
  <si>
    <t>Dhofar 1629</t>
  </si>
  <si>
    <t>Dhofar 1669</t>
  </si>
  <si>
    <t>Dhofar 1766</t>
  </si>
  <si>
    <t>Dhofar 1769</t>
  </si>
  <si>
    <t>Dhofar 1980</t>
  </si>
  <si>
    <t>Dhofar 1983</t>
  </si>
  <si>
    <t>[unnamed 28]</t>
  </si>
  <si>
    <t>[unnamed 96]</t>
  </si>
  <si>
    <t>Elephant Moraine 87521</t>
  </si>
  <si>
    <t>Elephant Moraine 96008</t>
  </si>
  <si>
    <t>Jiddat al Harasis 348</t>
  </si>
  <si>
    <t>Jiddat al Harasis 838</t>
  </si>
  <si>
    <t>Kalahari 008</t>
  </si>
  <si>
    <t>Kalahari 009</t>
  </si>
  <si>
    <t>2205 &amp; pairs</t>
  </si>
  <si>
    <t>LaPaz Icefield 02224</t>
  </si>
  <si>
    <t>LaPaz Icefield 02226</t>
  </si>
  <si>
    <t>LaPaz Icefield 02436</t>
  </si>
  <si>
    <t>LaPaz Icefield 03632</t>
  </si>
  <si>
    <t>LaPaz Icefield 04841</t>
  </si>
  <si>
    <t>Lynch 002</t>
  </si>
  <si>
    <t>MacAlpine Hills 88104</t>
  </si>
  <si>
    <t>MacAlpine Hills 88105</t>
  </si>
  <si>
    <t>Meteorite Hills 01210</t>
  </si>
  <si>
    <t>Miller Range 05035</t>
  </si>
  <si>
    <t>Miller Range 07006</t>
  </si>
  <si>
    <t>Miller Range 090036</t>
  </si>
  <si>
    <t>Miller Range 090070</t>
  </si>
  <si>
    <t>Miller Range 090075</t>
  </si>
  <si>
    <t>Miller Range 13317</t>
  </si>
  <si>
    <t>Mount DeWitt 12007</t>
  </si>
  <si>
    <t>Northeast Africa 001</t>
  </si>
  <si>
    <t>Northeast Africa 003</t>
  </si>
  <si>
    <t>Northwest Africa 032</t>
  </si>
  <si>
    <t>Northwest Africa 479</t>
  </si>
  <si>
    <t>Northwest Africa 482</t>
  </si>
  <si>
    <t>Northwest Africa 773</t>
  </si>
  <si>
    <t>Northwest Africa 2200</t>
  </si>
  <si>
    <t>Northwest Africa 2700</t>
  </si>
  <si>
    <t>Northwest Africa 2727</t>
  </si>
  <si>
    <t>Northwest Africa 2977</t>
  </si>
  <si>
    <t>Northwest Africa 2996</t>
  </si>
  <si>
    <t>Northwest Africa 2998</t>
  </si>
  <si>
    <t>Northwest Africa 3136</t>
  </si>
  <si>
    <t>Northwest Africa 3160</t>
  </si>
  <si>
    <t>Northwest Africa 3170</t>
  </si>
  <si>
    <t>Northwest Africa 3190</t>
  </si>
  <si>
    <t>Northwest Africa 3333</t>
  </si>
  <si>
    <t>Northwest Africa 4483</t>
  </si>
  <si>
    <t>Northwest Africa 4485</t>
  </si>
  <si>
    <t>Northwest Africa 4503</t>
  </si>
  <si>
    <t>Northwest Africa 4734</t>
  </si>
  <si>
    <t>Northwest Africa 4819</t>
  </si>
  <si>
    <t>Northwest Africa 4881</t>
  </si>
  <si>
    <t>Northwest Africa 4884</t>
  </si>
  <si>
    <t>Northwest Africa 4898</t>
  </si>
  <si>
    <t>Northwest Africa 4932</t>
  </si>
  <si>
    <t>Northwest Africa 5000</t>
  </si>
  <si>
    <t>Northwest Africa 5151</t>
  </si>
  <si>
    <t>Northwest Africa 5152</t>
  </si>
  <si>
    <t>Northwest Africa 5153</t>
  </si>
  <si>
    <t>Northwest Africa 5207</t>
  </si>
  <si>
    <t>Northwest Africa 5406</t>
  </si>
  <si>
    <t>Northwest Africa 6221</t>
  </si>
  <si>
    <t>Northwest Africa 6252</t>
  </si>
  <si>
    <t>Northwest Africa 6275</t>
  </si>
  <si>
    <t>Northwest Africa 6355</t>
  </si>
  <si>
    <t>Northwest Africa 6470</t>
  </si>
  <si>
    <t>Northwest Africa 6481</t>
  </si>
  <si>
    <t>Northwest Africa 6554</t>
  </si>
  <si>
    <t>Northwest Africa 6555</t>
  </si>
  <si>
    <t>Northwest Africa 6570</t>
  </si>
  <si>
    <t>Northwest Africa 6578</t>
  </si>
  <si>
    <t>Northwest Africa 6687</t>
  </si>
  <si>
    <t>Northwest Africa 6721</t>
  </si>
  <si>
    <t>Northwest Africa 6888</t>
  </si>
  <si>
    <t>Northwest Africa 6950</t>
  </si>
  <si>
    <t>Northwest Africa 7007</t>
  </si>
  <si>
    <t>Northwest Africa 7022</t>
  </si>
  <si>
    <t>Northwest Africa 7190</t>
  </si>
  <si>
    <t>Northwest Africa 7262</t>
  </si>
  <si>
    <t>Northwest Africa 7274</t>
  </si>
  <si>
    <t>Northwest Africa 7493</t>
  </si>
  <si>
    <t>Northwest Africa 7931</t>
  </si>
  <si>
    <t>Northwest Africa 7948</t>
  </si>
  <si>
    <t>Northwest Africa 7959</t>
  </si>
  <si>
    <t>Northwest Africa 7986</t>
  </si>
  <si>
    <t>Northwest Africa 8001</t>
  </si>
  <si>
    <t>Northwest Africa 8010</t>
  </si>
  <si>
    <t>Northwest Africa 8046</t>
  </si>
  <si>
    <t>Northwest Africa 8055</t>
  </si>
  <si>
    <t>Northwest Africa 8127</t>
  </si>
  <si>
    <t>Northwest Africa 8181</t>
  </si>
  <si>
    <t>Northwest Africa 8182</t>
  </si>
  <si>
    <t>Northwest Africa 8222</t>
  </si>
  <si>
    <t>Northwest Africa 8277</t>
  </si>
  <si>
    <t>Northwest Africa 8306</t>
  </si>
  <si>
    <t>Northwest Africa 8586</t>
  </si>
  <si>
    <t>Northwest Africa 8599</t>
  </si>
  <si>
    <t>Northwest Africa 8607</t>
  </si>
  <si>
    <t>Northwest Africa 8609</t>
  </si>
  <si>
    <t>Northwest Africa 8632</t>
  </si>
  <si>
    <t>Northwest Africa 8651</t>
  </si>
  <si>
    <t>Northwest Africa 8668</t>
  </si>
  <si>
    <t xml:space="preserve">Northwest Africa 8682 </t>
  </si>
  <si>
    <t xml:space="preserve">Northwest Africa 8687 </t>
  </si>
  <si>
    <t>Northwest Africa 8701</t>
  </si>
  <si>
    <t>Northwest Africa 8727</t>
  </si>
  <si>
    <t>Northwest Africa 8733</t>
  </si>
  <si>
    <t>Northwest Africa 8746</t>
  </si>
  <si>
    <t>Northwest Africa 8753</t>
  </si>
  <si>
    <t>Northwest Africa 8783</t>
  </si>
  <si>
    <t>Northwest Africa 10048</t>
  </si>
  <si>
    <t>Northwest Africa 10049</t>
  </si>
  <si>
    <t>Northwest Africa 10065</t>
  </si>
  <si>
    <t>Northwest Africa 10073</t>
  </si>
  <si>
    <t>Northwest Africa 10077</t>
  </si>
  <si>
    <t>Northwest Africa 10082</t>
  </si>
  <si>
    <t>Northwest Africa 10123</t>
  </si>
  <si>
    <t>Northwest Africa 10130</t>
  </si>
  <si>
    <t>Northwest Africa 10133</t>
  </si>
  <si>
    <t>Northwest Africa 10140</t>
  </si>
  <si>
    <t>Northwest Africa 10141</t>
  </si>
  <si>
    <t>Northwest Africa 10142</t>
  </si>
  <si>
    <t>Northwest Africa 10149</t>
  </si>
  <si>
    <t>Northwest Africa 10178</t>
  </si>
  <si>
    <t>Northwest Africa 10203</t>
  </si>
  <si>
    <t>Northwest Africa 10228</t>
  </si>
  <si>
    <t>Northwest Africa 10253</t>
  </si>
  <si>
    <t>Northwest Africa 10258</t>
  </si>
  <si>
    <t>Northwest Africa 10263</t>
  </si>
  <si>
    <t>Northwest Africa 10272</t>
  </si>
  <si>
    <t>Northwest Africa 10291</t>
  </si>
  <si>
    <t>Northwest Africa 10309</t>
  </si>
  <si>
    <t>Northwest Africa 10317</t>
  </si>
  <si>
    <t>Northwest Africa 10318</t>
  </si>
  <si>
    <t>[unnamed 3]</t>
  </si>
  <si>
    <t>[unnamed 4]</t>
  </si>
  <si>
    <t>[unnamed 12]</t>
  </si>
  <si>
    <t>[unnamed 58] MA154</t>
  </si>
  <si>
    <t>[unnamed 59] MA155</t>
  </si>
  <si>
    <t>[unnamed 60] MA164</t>
  </si>
  <si>
    <t>[unnamed 64] RC58-6</t>
  </si>
  <si>
    <t>[unnamed 77] RC56.2</t>
  </si>
  <si>
    <t>[unnamed 87] AA15-1</t>
  </si>
  <si>
    <t>[unnamed 93] MAC 137</t>
  </si>
  <si>
    <t>[unnamed 95] RC192</t>
  </si>
  <si>
    <t>[unnamed]
("specimen 1153")</t>
  </si>
  <si>
    <t>Oued Awlitis 001</t>
  </si>
  <si>
    <t>Pecora Escarpment 02007</t>
  </si>
  <si>
    <t>Queen Alexandra Range 93069</t>
  </si>
  <si>
    <t>Queen Alexandra Range 94269</t>
  </si>
  <si>
    <t>Queen Alexandra Range 94281</t>
  </si>
  <si>
    <t>Sayh al Uhaymir 169</t>
  </si>
  <si>
    <t>Sayh al Uhaymir 300</t>
  </si>
  <si>
    <t>Sayh al Uhaymir 449</t>
  </si>
  <si>
    <t>Shişr 160</t>
  </si>
  <si>
    <t>Shişr 161</t>
  </si>
  <si>
    <t>Shişr 162</t>
  </si>
  <si>
    <t>Shişr 166</t>
  </si>
  <si>
    <t>Yamato 791197</t>
  </si>
  <si>
    <t>Yamato 793169</t>
  </si>
  <si>
    <t>Yamato 793274</t>
  </si>
  <si>
    <t>Yamato 82192</t>
  </si>
  <si>
    <t>Yamato 82193</t>
  </si>
  <si>
    <t>Yamato 86032</t>
  </si>
  <si>
    <t>Yamato 981031</t>
  </si>
  <si>
    <t>Yamato 983885</t>
  </si>
  <si>
    <t>Dhofar 1984</t>
  </si>
  <si>
    <t>NWA 4932 </t>
  </si>
  <si>
    <t>Northwest Africa 10376</t>
  </si>
  <si>
    <t>[unnamed 65] SH25</t>
  </si>
  <si>
    <t>[unnamed 68] YAE(14)1</t>
  </si>
  <si>
    <t>Northwest Africa 10415</t>
  </si>
  <si>
    <t>164
3 pieces</t>
  </si>
  <si>
    <t>7611 &amp; pairs</t>
  </si>
  <si>
    <t>[157]</t>
  </si>
  <si>
    <t>olivine gabbro</t>
  </si>
  <si>
    <t>Northwest Africa 10404</t>
  </si>
  <si>
    <t>[unnamed 55] RC49.1</t>
  </si>
  <si>
    <t>[unnamed 99] MA180</t>
  </si>
  <si>
    <t>D</t>
  </si>
  <si>
    <t>Graves Nunataks 06157</t>
  </si>
  <si>
    <t>S/N</t>
  </si>
  <si>
    <t>number of approved names</t>
  </si>
  <si>
    <t>Northwest Africa 10401</t>
  </si>
  <si>
    <t>354
2 pieces</t>
  </si>
  <si>
    <t>Northwest Africa 10447</t>
  </si>
  <si>
    <t>feldspathic, nearly monomict breccia</t>
  </si>
  <si>
    <t>Northwest Africa 10461</t>
  </si>
  <si>
    <t>285.75
2 pieces</t>
  </si>
  <si>
    <t>Northwest Africa 10480</t>
  </si>
  <si>
    <t>[unnamed 101] MA188</t>
  </si>
  <si>
    <t>[unnamed 102] MA189</t>
  </si>
  <si>
    <t>[499]</t>
  </si>
  <si>
    <t>[1051]</t>
  </si>
  <si>
    <t>Northwest Africa 10495</t>
  </si>
  <si>
    <t>2996, 3190, 4503, 5151, 5152, 6252, 6554, 6555, unn. 3, unn. 12</t>
  </si>
  <si>
    <t>Larkman Nunatak 06638</t>
  </si>
  <si>
    <t>Asuka 881757; MET 01210, MIL 05035</t>
  </si>
  <si>
    <t>Dho 925 &amp; pairs; unn. 66?</t>
  </si>
  <si>
    <t>SaU 449; Dho 1629?, NWA 8673 &amp; pairs?</t>
  </si>
  <si>
    <t>Dho 925 &amp; pairs?; SaU 449?; NWA 8673 &amp; pairs</t>
  </si>
  <si>
    <t>JaH 348; Dho 1673</t>
  </si>
  <si>
    <t>Dho 1436/1443?; JaH 348?</t>
  </si>
  <si>
    <t>min</t>
  </si>
  <si>
    <t>max</t>
  </si>
  <si>
    <t>Northwest Africa 10509</t>
  </si>
  <si>
    <t>Northwest Africa 10546</t>
  </si>
  <si>
    <t>Northwest Africa 10597</t>
  </si>
  <si>
    <t>Northwest Africa 10599</t>
  </si>
  <si>
    <t>Northwest Africa 10621</t>
  </si>
  <si>
    <t>Northwest Africa 10626</t>
  </si>
  <si>
    <t>Northwest Africa 10608</t>
  </si>
  <si>
    <t>Northwest Africa 10609</t>
  </si>
  <si>
    <t>Northwest Africa 10649</t>
  </si>
  <si>
    <t>Northwest Africa 10656</t>
  </si>
  <si>
    <t>Dhofar 2047</t>
  </si>
  <si>
    <t>La'gad</t>
  </si>
  <si>
    <t>Lag</t>
  </si>
  <si>
    <t>337.74
3 pieces</t>
  </si>
  <si>
    <t>Galb Inal</t>
  </si>
  <si>
    <t>Northwest Africa 10643</t>
  </si>
  <si>
    <t>Northwest Africa 10644</t>
  </si>
  <si>
    <t>[unnamed 107] MA190</t>
  </si>
  <si>
    <t>mafic breccia</t>
  </si>
  <si>
    <t>[332]</t>
  </si>
  <si>
    <t>[unnamed 106] SH88</t>
  </si>
  <si>
    <t>[600]</t>
  </si>
  <si>
    <t>Northwest Africa 10566</t>
  </si>
  <si>
    <t>Northwest Africa 10678</t>
  </si>
  <si>
    <t>Northwest Africa 10665</t>
  </si>
  <si>
    <t>Northwest Africa 10713</t>
  </si>
  <si>
    <t>[unnamed 110] AJ-46A</t>
  </si>
  <si>
    <t>10626?</t>
  </si>
  <si>
    <t>NWA 8455 &amp; pairs</t>
  </si>
  <si>
    <t>[unnamed 109] AJ16-7</t>
  </si>
  <si>
    <t>10665?</t>
  </si>
  <si>
    <t>7959?</t>
  </si>
  <si>
    <t>Northwest Africa 10756</t>
  </si>
  <si>
    <t>Northwest Africa 10810</t>
  </si>
  <si>
    <t>402.4
2 pieces</t>
  </si>
  <si>
    <t>Northwest Africa 10822</t>
  </si>
  <si>
    <t>Northwest Africa 10823</t>
  </si>
  <si>
    <t>202
2 pieces</t>
  </si>
  <si>
    <t>Northwest Africa 10798</t>
  </si>
  <si>
    <t>318.6
6+ pieces</t>
  </si>
  <si>
    <t>8046 &amp; pairs</t>
  </si>
  <si>
    <t>10509 &amp; pairs?</t>
  </si>
  <si>
    <t>Northwest Africa 10782</t>
  </si>
  <si>
    <t>Northwest Africa 10783</t>
  </si>
  <si>
    <t>Northwest Africa 10901</t>
  </si>
  <si>
    <t>Northwest Africa 10902</t>
  </si>
  <si>
    <t>[unnamed 111] RC78.1</t>
  </si>
  <si>
    <t>[9000]</t>
  </si>
  <si>
    <t>Northwest Africa 10964</t>
  </si>
  <si>
    <t>Northwest Africa 10973</t>
  </si>
  <si>
    <t>Northwest Africa 10985</t>
  </si>
  <si>
    <t>Northwest Africa 10986</t>
  </si>
  <si>
    <t>Northwest Africa 10989</t>
  </si>
  <si>
    <t>Northwest Africa 11029</t>
  </si>
  <si>
    <t>Northwest Africa 10953</t>
  </si>
  <si>
    <t>[unnamed 115] AB#41</t>
  </si>
  <si>
    <t>[unnamed 116] OU_B</t>
  </si>
  <si>
    <t>[35]</t>
  </si>
  <si>
    <t>[19.6]</t>
  </si>
  <si>
    <t>26
4 pieces</t>
  </si>
  <si>
    <t>Northwest Africa 11006</t>
  </si>
  <si>
    <t>8222 &amp; pairs</t>
  </si>
  <si>
    <t>Northwest Africa 11061</t>
  </si>
  <si>
    <t>Northwest Africa 11077</t>
  </si>
  <si>
    <t>Rabt Sbayta 002</t>
  </si>
  <si>
    <t>Northwest Africa 11109</t>
  </si>
  <si>
    <t>Northwest Africa 11110</t>
  </si>
  <si>
    <t>Northwest Africa 11111</t>
  </si>
  <si>
    <t>111
2 pieces</t>
  </si>
  <si>
    <t>OA</t>
  </si>
  <si>
    <t>Northwest Africa 11127</t>
  </si>
  <si>
    <t>77
10 pieces</t>
  </si>
  <si>
    <t>62
10 pieces</t>
  </si>
  <si>
    <t>[unnamed 130] M1984</t>
  </si>
  <si>
    <t>Northwest Africa 11159</t>
  </si>
  <si>
    <t>Rabt Sbayta 004</t>
  </si>
  <si>
    <t>Northwest Africa 11185</t>
  </si>
  <si>
    <t>Northwest Africa 11193</t>
  </si>
  <si>
    <t>[180]</t>
  </si>
  <si>
    <t>Northwest Africa 11182</t>
  </si>
  <si>
    <t>Tich</t>
  </si>
  <si>
    <t>Rabt</t>
  </si>
  <si>
    <t>94.02
4 pieces</t>
  </si>
  <si>
    <t>Northwest Africa 11212</t>
  </si>
  <si>
    <t>Northwest Africa 11216</t>
  </si>
  <si>
    <t>197.5
several</t>
  </si>
  <si>
    <t>Rabt Sbayta 005</t>
  </si>
  <si>
    <t>20.78
4 pieces</t>
  </si>
  <si>
    <t>222.34
many pieces</t>
  </si>
  <si>
    <t>9354
2 pieces</t>
  </si>
  <si>
    <t>Northwest Africa 11223</t>
  </si>
  <si>
    <t>Northwest Africa 11228</t>
  </si>
  <si>
    <t>Northwest Africa 11237</t>
  </si>
  <si>
    <t>10823, 11212, 11237, Rabt Sbayta 002, 004, 005, unn 106, unn 115</t>
  </si>
  <si>
    <t>Northwest Africa 11243</t>
  </si>
  <si>
    <t>Northwest Africa 11249</t>
  </si>
  <si>
    <t>Northwest Africa 11252</t>
  </si>
  <si>
    <t>[unnamed 131] SH17-1</t>
  </si>
  <si>
    <t>[unnamed 133] RC91.1</t>
  </si>
  <si>
    <t>Northwest Africa 11266</t>
  </si>
  <si>
    <t>Northwest Africa 11269</t>
  </si>
  <si>
    <t>1017
many pieces</t>
  </si>
  <si>
    <t>Northwest Africa 11331</t>
  </si>
  <si>
    <t>Northwest Africa 11352</t>
  </si>
  <si>
    <t>4810
2 pieces</t>
  </si>
  <si>
    <t>Rabt Sbayta 006</t>
  </si>
  <si>
    <t>? (not analyzed)</t>
  </si>
  <si>
    <t>Rabt Sbayta 007</t>
  </si>
  <si>
    <t>Rabt Sbayta 008</t>
  </si>
  <si>
    <t>Tal</t>
  </si>
  <si>
    <t>Northwest Africa 11379</t>
  </si>
  <si>
    <t>5.92
5 pieces</t>
  </si>
  <si>
    <t>4050
2 pieces</t>
  </si>
  <si>
    <t>1372
2 pieces</t>
  </si>
  <si>
    <t>1.3
5 pieces</t>
  </si>
  <si>
    <t>82
several</t>
  </si>
  <si>
    <t>788
several</t>
  </si>
  <si>
    <t>10.01
3 pieces</t>
  </si>
  <si>
    <t>22
2 pieces</t>
  </si>
  <si>
    <t>Tichiya</t>
  </si>
  <si>
    <t>10509 &amp; pairs</t>
  </si>
  <si>
    <t>Northwest Africa 11407</t>
  </si>
  <si>
    <t>Talhat Lihoudi</t>
  </si>
  <si>
    <t>Northwest Africa 11421</t>
  </si>
  <si>
    <t>912
many pieces</t>
  </si>
  <si>
    <t>Northwest Africa 11273</t>
  </si>
  <si>
    <t>2808
many pieces</t>
  </si>
  <si>
    <t>Northwest Africa 11367</t>
  </si>
  <si>
    <t>Northwest Africa 11428</t>
  </si>
  <si>
    <t>305
2 pieces</t>
  </si>
  <si>
    <t>Northwest Africa 11457</t>
  </si>
  <si>
    <t>1323
~200 pieces</t>
  </si>
  <si>
    <t>Northwest Africa 11444</t>
  </si>
  <si>
    <t>273
7 pieces</t>
  </si>
  <si>
    <t>10141 &amp; pairs</t>
  </si>
  <si>
    <t>Northwest Africa 11460</t>
  </si>
  <si>
    <t>basaltic breccia</t>
  </si>
  <si>
    <t>anorthositic-troctolite breccia</t>
  </si>
  <si>
    <t>olivine diabase</t>
  </si>
  <si>
    <t xml:space="preserve"> </t>
  </si>
  <si>
    <t>Northwest Africa 11472</t>
  </si>
  <si>
    <t>Northwest Africa 11474</t>
  </si>
  <si>
    <t>Northwest Africa 11479</t>
  </si>
  <si>
    <t>586
many pieces</t>
  </si>
  <si>
    <t>330
many pieces</t>
  </si>
  <si>
    <t>8046 &amp; pairs? (not analyzed)</t>
  </si>
  <si>
    <t>Northwest Africa 11515</t>
  </si>
  <si>
    <t>Northwest Africa 11523</t>
  </si>
  <si>
    <t>Northwest Africa 11524</t>
  </si>
  <si>
    <t>Northwest Africa 11532</t>
  </si>
  <si>
    <t>Northwest Africa 11563</t>
  </si>
  <si>
    <t>Err</t>
  </si>
  <si>
    <t>Errachidia</t>
  </si>
  <si>
    <t>Ari</t>
  </si>
  <si>
    <t>Aridal 017</t>
  </si>
  <si>
    <t>Northwest Africa 11616</t>
  </si>
  <si>
    <t>773 and pairs</t>
  </si>
  <si>
    <t>basaltic breccia with olivine gabbro and basalt clasts</t>
  </si>
  <si>
    <t>Northwest Africa 11303</t>
  </si>
  <si>
    <t>6000
many pieces</t>
  </si>
  <si>
    <t>Northwest Africa 11517</t>
  </si>
  <si>
    <t>88
4 pieces</t>
  </si>
  <si>
    <t>8682, 10049, 10077, 10133, unn. 77</t>
  </si>
  <si>
    <t>Northwest Africa 11695</t>
  </si>
  <si>
    <t>Northwest Africa 11703</t>
  </si>
  <si>
    <t>350
many pieces</t>
  </si>
  <si>
    <t>NWA 10608?</t>
  </si>
  <si>
    <t>Northwest Africa 2425</t>
  </si>
  <si>
    <t>Northwest Africa 11767</t>
  </si>
  <si>
    <t>15
many pieces</t>
  </si>
  <si>
    <t>10141 &amp; pairs? (not analyzed)</t>
  </si>
  <si>
    <t>10142?, 10415, 11111</t>
  </si>
  <si>
    <t>Northwest Africa 11783</t>
  </si>
  <si>
    <t>Northwest Africa 11787</t>
  </si>
  <si>
    <t>Northwest Africa 11788</t>
  </si>
  <si>
    <t>Northwest Africa 11789</t>
  </si>
  <si>
    <t>Northwest Africa 11809</t>
  </si>
  <si>
    <t>? not analyzed</t>
  </si>
  <si>
    <t>23,500
many pieces</t>
  </si>
  <si>
    <t>5492
9 pieces</t>
  </si>
  <si>
    <t>Northwest Africa 11801</t>
  </si>
  <si>
    <t>5340
many pieces</t>
  </si>
  <si>
    <t>Northwest Africa 11828</t>
  </si>
  <si>
    <t>Northwest Africa 11851</t>
  </si>
  <si>
    <t>Northwest Africa 11871</t>
  </si>
  <si>
    <t>Northwest Africa 11886</t>
  </si>
  <si>
    <t>[169.2]</t>
  </si>
  <si>
    <t>[391.3]</t>
  </si>
  <si>
    <t>[unnamed 142] LO18-T</t>
  </si>
  <si>
    <t>[unnamed 143] LO18-1</t>
  </si>
  <si>
    <t>unnamed 143</t>
  </si>
  <si>
    <t>Northwest Africa 11898</t>
  </si>
  <si>
    <t xml:space="preserve">8733, 8746, 10048, 10065, 10123, 10902, 10964, 11110, 11193, 11216, 11228, 11788, unn. 109 </t>
  </si>
  <si>
    <t>unnamed 111</t>
  </si>
  <si>
    <t>Northwest Africa 11962</t>
  </si>
  <si>
    <t>Northwest Africa 11966</t>
  </si>
  <si>
    <t>Northwest Africa 11968</t>
  </si>
  <si>
    <t>mare basalt</t>
  </si>
  <si>
    <t>Northwest Africa 12008</t>
  </si>
  <si>
    <t>Northwest Africa 12248</t>
  </si>
  <si>
    <t>Northwest Africa 12270</t>
  </si>
  <si>
    <t>LAP basalts</t>
  </si>
  <si>
    <t>QUE 94281; Y-793274, 981031; NWA 4884, 7611, 8277; DEW 12007</t>
  </si>
  <si>
    <t>QUE 94281, EET 87521, 96008; Y-793274, 981031; NWA 4884, 7611, 8277</t>
  </si>
  <si>
    <t>NWA 7611, 8277, 10272; QUE 94281; Y-79274, 981031; EET 87/96; DEW 12007</t>
  </si>
  <si>
    <t>NWA 4884, QUE 94281; Y-91274, 981031; EET 87/96; DEW 12007</t>
  </si>
  <si>
    <t>EET 87/96; Y-793274, 981031; NWA 4884, 7611, 8277; DEW 12007</t>
  </si>
  <si>
    <t>Northwest Africa 12368</t>
  </si>
  <si>
    <t>Northwest Africa 12279</t>
  </si>
  <si>
    <t>Northwest Africa 12216</t>
  </si>
  <si>
    <t>12,168
several</t>
  </si>
  <si>
    <t>Lah</t>
  </si>
  <si>
    <t>Northwest Africa 12393</t>
  </si>
  <si>
    <t>Northwest Africa 12422</t>
  </si>
  <si>
    <t>olivine gabbbronorite</t>
  </si>
  <si>
    <t>42.8
2 pieces</t>
  </si>
  <si>
    <t>Northwest Africa 12427</t>
  </si>
  <si>
    <t>Northwest Africa 12428</t>
  </si>
  <si>
    <t>8641?</t>
  </si>
  <si>
    <t>5000?</t>
  </si>
  <si>
    <t>8455 &amp; pairs? (not analyzed)</t>
  </si>
  <si>
    <t>Aridal 017? (not analyzed)</t>
  </si>
  <si>
    <t>244
2 pieces</t>
  </si>
  <si>
    <t>Northwest Africa 12384</t>
  </si>
  <si>
    <t>Northwest Africa 6831</t>
  </si>
  <si>
    <t>La'gad 003</t>
  </si>
  <si>
    <t>27,249
many</t>
  </si>
  <si>
    <t>NWA 10509 and pairs</t>
  </si>
  <si>
    <t>AP</t>
  </si>
  <si>
    <t>Arabian Peninsula 007</t>
  </si>
  <si>
    <t>Northwest Africa 12604</t>
  </si>
  <si>
    <t>47
4 pieces</t>
  </si>
  <si>
    <t>Northwest Africa 12592</t>
  </si>
  <si>
    <t>Northwest Africa 12593</t>
  </si>
  <si>
    <t>Northwest Africa 12603</t>
  </si>
  <si>
    <t>Northwest Africa 12643</t>
  </si>
  <si>
    <t>Northwest Africa 12697</t>
  </si>
  <si>
    <t>Northwest Africa 12695</t>
  </si>
  <si>
    <t>140
many pieces</t>
  </si>
  <si>
    <t>Lahmada 046</t>
  </si>
  <si>
    <t>[unnamed 136] MVCH 270-1</t>
  </si>
  <si>
    <t>[unnamed 138] MVCH 270-A2</t>
  </si>
  <si>
    <t>[unnamed 139] TB17-1</t>
  </si>
  <si>
    <t>Northwest Africa 12760</t>
  </si>
  <si>
    <t>Northwest Africa 12765</t>
  </si>
  <si>
    <t>DOM</t>
  </si>
  <si>
    <t>Dominion Range 18262</t>
  </si>
  <si>
    <t>Dominion Range 18509</t>
  </si>
  <si>
    <t>Dominion Range 18543</t>
  </si>
  <si>
    <t>Dominion Range 18666</t>
  </si>
  <si>
    <t>Dominion Range 18678</t>
  </si>
  <si>
    <t>18262 &amp; pairs</t>
  </si>
  <si>
    <t>Dhofar 2101</t>
  </si>
  <si>
    <t>Northwest Africa 12691</t>
  </si>
  <si>
    <t>Northwest Africa 12826</t>
  </si>
  <si>
    <t>Northwest Africa 12870</t>
  </si>
  <si>
    <t>Northwest Africa 12830</t>
  </si>
  <si>
    <t>Northwest Africa 12630</t>
  </si>
  <si>
    <t>Northwest Africa 12831</t>
  </si>
  <si>
    <t>Northwest Africa 12839</t>
  </si>
  <si>
    <t>diabase</t>
  </si>
  <si>
    <t>gabbro</t>
  </si>
  <si>
    <t>233
2 pieces</t>
  </si>
  <si>
    <t>150.8
9 pieces</t>
  </si>
  <si>
    <t>2602
6 pieces</t>
  </si>
  <si>
    <t>Swa</t>
  </si>
  <si>
    <t>Sue</t>
  </si>
  <si>
    <t>7611 &amp; pairs?</t>
  </si>
  <si>
    <t>Northwest Africa 2402</t>
  </si>
  <si>
    <t>Northwest Africa 2420</t>
  </si>
  <si>
    <t>Northwest Africa 12909</t>
  </si>
  <si>
    <t>Northwest Africa 12952</t>
  </si>
  <si>
    <t>Sueilila 005</t>
  </si>
  <si>
    <t>F 1982-01-18</t>
  </si>
  <si>
    <t>F 2006-05-03</t>
  </si>
  <si>
    <t>F 2017-11-01</t>
  </si>
  <si>
    <t>F 2012-01-31</t>
  </si>
  <si>
    <t>F 1988-12-20</t>
  </si>
  <si>
    <t>F before 1991</t>
  </si>
  <si>
    <t>F 1997-03-23</t>
  </si>
  <si>
    <t>F 1998-03-10</t>
  </si>
  <si>
    <t>F 1999-05-14</t>
  </si>
  <si>
    <t>F 1999</t>
  </si>
  <si>
    <t>F 2001-06-28 </t>
  </si>
  <si>
    <t>F 1998-09-09</t>
  </si>
  <si>
    <t>F 2000-03-05</t>
  </si>
  <si>
    <t>F 2000-03-06</t>
  </si>
  <si>
    <t>F 1999-11-29</t>
  </si>
  <si>
    <t>F 2001-04-14</t>
  </si>
  <si>
    <t>F 2001-01-14</t>
  </si>
  <si>
    <t>F 2001-04-13</t>
  </si>
  <si>
    <t>F 2001-06-28</t>
  </si>
  <si>
    <t>F 2001-06-29</t>
  </si>
  <si>
    <t>F 2002-01-14</t>
  </si>
  <si>
    <t>F 2001-04-03</t>
  </si>
  <si>
    <t>F 2001-04-10</t>
  </si>
  <si>
    <t>F 2001-04-22</t>
  </si>
  <si>
    <t>F 2001-04-23</t>
  </si>
  <si>
    <t>F 2001-04-26</t>
  </si>
  <si>
    <t>F 2001-07-11</t>
  </si>
  <si>
    <t>F 2001-07-12</t>
  </si>
  <si>
    <t>F 2001-08-11</t>
  </si>
  <si>
    <t>F 2001-03-17</t>
  </si>
  <si>
    <t>F 2002-11-09</t>
  </si>
  <si>
    <t>F 2002-11-11</t>
  </si>
  <si>
    <t>F 2002-11-12</t>
  </si>
  <si>
    <t>F 2003-01</t>
  </si>
  <si>
    <t>F 2003-02-02</t>
  </si>
  <si>
    <t>F 2003-02-06</t>
  </si>
  <si>
    <t>F 2003-11-11</t>
  </si>
  <si>
    <t>F 2003-11-16</t>
  </si>
  <si>
    <t>F 2003-11-12</t>
  </si>
  <si>
    <t>F 2003-04-10</t>
  </si>
  <si>
    <t>F 2003-10-01</t>
  </si>
  <si>
    <t>F 2005-01</t>
  </si>
  <si>
    <t>F 2003-09-28</t>
  </si>
  <si>
    <t>F 2006-03</t>
  </si>
  <si>
    <t>F 2004-12-08</t>
  </si>
  <si>
    <t>F 2005</t>
  </si>
  <si>
    <t>F 2009-03</t>
  </si>
  <si>
    <t>F 2009-06</t>
  </si>
  <si>
    <t>F 2010</t>
  </si>
  <si>
    <t>F 2007-03-02</t>
  </si>
  <si>
    <t>F 2010-11-19</t>
  </si>
  <si>
    <t>F 2011-01-07</t>
  </si>
  <si>
    <t>F 2011-12-09</t>
  </si>
  <si>
    <t>F 2012-10-28</t>
  </si>
  <si>
    <t>F 2012-12</t>
  </si>
  <si>
    <t>F 2014-03-12</t>
  </si>
  <si>
    <t>F 2004</t>
  </si>
  <si>
    <t>F 2015?</t>
  </si>
  <si>
    <t>F 2018</t>
  </si>
  <si>
    <t>F 1996-12-14</t>
  </si>
  <si>
    <t>F 2016-04</t>
  </si>
  <si>
    <t>F 1987-12-20</t>
  </si>
  <si>
    <t>F 2011-01</t>
  </si>
  <si>
    <t>F 2007-01-08</t>
  </si>
  <si>
    <t>F 2006-03-06</t>
  </si>
  <si>
    <t>F 2003-02-28</t>
  </si>
  <si>
    <t>F 1999-09</t>
  </si>
  <si>
    <t>F 2015-03-27</t>
  </si>
  <si>
    <t>F 2018-11</t>
  </si>
  <si>
    <t>F 2018-10</t>
  </si>
  <si>
    <t>F 2002-12-18</t>
  </si>
  <si>
    <t>F 2002-12-12</t>
  </si>
  <si>
    <t>F 2002-12-13</t>
  </si>
  <si>
    <t>F 2004-01-01</t>
  </si>
  <si>
    <t>F 2005-01-03</t>
  </si>
  <si>
    <t>F 2007-01-03</t>
  </si>
  <si>
    <t>F 2010-09-25</t>
  </si>
  <si>
    <t>F 1989-01-13</t>
  </si>
  <si>
    <t>F 2001-12-23</t>
  </si>
  <si>
    <t>F 2005-12-11</t>
  </si>
  <si>
    <t>F 2007-12-31</t>
  </si>
  <si>
    <t>F 2009-12-18</t>
  </si>
  <si>
    <t>F 2009-12-22</t>
  </si>
  <si>
    <t>F 2009-12-20</t>
  </si>
  <si>
    <t>F 2014-01-18</t>
  </si>
  <si>
    <t>F 2013-01-03</t>
  </si>
  <si>
    <t>F 2002-04</t>
  </si>
  <si>
    <t>F 2000-11
2001-12</t>
  </si>
  <si>
    <t>F 2014-07-06</t>
  </si>
  <si>
    <t>F 2003-01-05</t>
  </si>
  <si>
    <t>F 1993-12-11</t>
  </si>
  <si>
    <t>F 1994-12-10</t>
  </si>
  <si>
    <t>F 1994-12-12</t>
  </si>
  <si>
    <t>F 2016-10</t>
  </si>
  <si>
    <t>F 2016-08</t>
  </si>
  <si>
    <t>F 2016</t>
  </si>
  <si>
    <t>F 2016-11</t>
  </si>
  <si>
    <t>F 2002-01-16</t>
  </si>
  <si>
    <t>F 2004-02-21</t>
  </si>
  <si>
    <t>F 2006-03-19</t>
  </si>
  <si>
    <t>F 2008-01-15</t>
  </si>
  <si>
    <t>F 2008-01</t>
  </si>
  <si>
    <t>F 2006-02-17</t>
  </si>
  <si>
    <t>F 2008-04-10</t>
  </si>
  <si>
    <t>P 2018-11</t>
  </si>
  <si>
    <t>P 2016-09</t>
  </si>
  <si>
    <t>F 1979-11-20</t>
  </si>
  <si>
    <t>F 1979-12-08</t>
  </si>
  <si>
    <t>F 1980-01-03</t>
  </si>
  <si>
    <t>F 1983-01-13</t>
  </si>
  <si>
    <t>F 1986-12-10</t>
  </si>
  <si>
    <t>F 1998-12 or
1999-01</t>
  </si>
  <si>
    <t>F before 2000</t>
  </si>
  <si>
    <t>F 1999-10</t>
  </si>
  <si>
    <t>F 2000-11</t>
  </si>
  <si>
    <t>F 2001-01-10</t>
  </si>
  <si>
    <t>P  2017-05</t>
  </si>
  <si>
    <t>P 2017-01</t>
  </si>
  <si>
    <t>P 2004-11</t>
  </si>
  <si>
    <t>P 2016</t>
  </si>
  <si>
    <t>P 2004-04</t>
  </si>
  <si>
    <t>P 2005-07</t>
  </si>
  <si>
    <t>P 2005-08</t>
  </si>
  <si>
    <t>P 2007-04</t>
  </si>
  <si>
    <t>P 2006-12</t>
  </si>
  <si>
    <t>P 2005-05</t>
  </si>
  <si>
    <t>P 2006-07</t>
  </si>
  <si>
    <t>P 2006-09</t>
  </si>
  <si>
    <t>P 2007-01</t>
  </si>
  <si>
    <t>P 2007</t>
  </si>
  <si>
    <t>P 2007-07</t>
  </si>
  <si>
    <t>P 2007</t>
  </si>
  <si>
    <t>P 2007-10</t>
  </si>
  <si>
    <t>P 2007-09</t>
  </si>
  <si>
    <t>F 2007-07</t>
  </si>
  <si>
    <t>F 2006</t>
  </si>
  <si>
    <t>F 2006 or 2007</t>
  </si>
  <si>
    <t>P 2008-07</t>
  </si>
  <si>
    <t>F 2009-02</t>
  </si>
  <si>
    <t>P 2010-04</t>
  </si>
  <si>
    <t>F 2009</t>
  </si>
  <si>
    <t>F 2010-08</t>
  </si>
  <si>
    <t>P 2010</t>
  </si>
  <si>
    <t>F 2010-11</t>
  </si>
  <si>
    <t>P 2009</t>
  </si>
  <si>
    <t>F 2011-05-28</t>
  </si>
  <si>
    <t>F 2011-06</t>
  </si>
  <si>
    <t>F 2011-09</t>
  </si>
  <si>
    <t>F 2011-02</t>
  </si>
  <si>
    <t>F 2011-08</t>
  </si>
  <si>
    <t>P 2012-02</t>
  </si>
  <si>
    <t>F 2011-07</t>
  </si>
  <si>
    <t>F 2012-05</t>
  </si>
  <si>
    <t>P 2013-02</t>
  </si>
  <si>
    <t>P 2013-05</t>
  </si>
  <si>
    <t>P 2013-04</t>
  </si>
  <si>
    <t>P 2013-06</t>
  </si>
  <si>
    <t>F 2013</t>
  </si>
  <si>
    <t>P 2012-12</t>
  </si>
  <si>
    <t>P 2013-09</t>
  </si>
  <si>
    <t>P 2012-03</t>
  </si>
  <si>
    <t>F 2014-04</t>
  </si>
  <si>
    <t>F 2015</t>
  </si>
  <si>
    <t>F 2017</t>
  </si>
  <si>
    <t>F 2017-03</t>
  </si>
  <si>
    <t>F 2017-10</t>
  </si>
  <si>
    <t>F 2017-01</t>
  </si>
  <si>
    <t>F 2017-04</t>
  </si>
  <si>
    <t>F 2011</t>
  </si>
  <si>
    <t>P 2019-05</t>
  </si>
  <si>
    <t>P 2013</t>
  </si>
  <si>
    <t>P 2013-12</t>
  </si>
  <si>
    <t>P 2014-02</t>
  </si>
  <si>
    <t>P 2014</t>
  </si>
  <si>
    <t>P 2014-06</t>
  </si>
  <si>
    <t>P 2014-05</t>
  </si>
  <si>
    <t>P 2014-04</t>
  </si>
  <si>
    <t>P 2014-08</t>
  </si>
  <si>
    <t>P 2014-09</t>
  </si>
  <si>
    <t>P 2014-07</t>
  </si>
  <si>
    <t>P 2015-01</t>
  </si>
  <si>
    <t>P 2015-02</t>
  </si>
  <si>
    <t>P 2015-04</t>
  </si>
  <si>
    <t>P 2015-03</t>
  </si>
  <si>
    <t>P 2015</t>
  </si>
  <si>
    <t>P 2015-05</t>
  </si>
  <si>
    <t>P 2015-08</t>
  </si>
  <si>
    <t>P 2016</t>
  </si>
  <si>
    <t>P 2015-09</t>
  </si>
  <si>
    <t>P 2016-05</t>
  </si>
  <si>
    <t>P 2016-11</t>
  </si>
  <si>
    <t>P 2016-12</t>
  </si>
  <si>
    <t>P 2016-04</t>
  </si>
  <si>
    <t>P 2017</t>
  </si>
  <si>
    <t>P 2016-06</t>
  </si>
  <si>
    <t>P 2017-02</t>
  </si>
  <si>
    <t>P 2017-03-20</t>
  </si>
  <si>
    <t>P 2016-02</t>
  </si>
  <si>
    <t>P 2017-01</t>
  </si>
  <si>
    <t>P 2017-04</t>
  </si>
  <si>
    <t>P 2017-03</t>
  </si>
  <si>
    <t>P 2017-05</t>
  </si>
  <si>
    <t>P 2017-07</t>
  </si>
  <si>
    <t>P 2017-06</t>
  </si>
  <si>
    <t>P 2012</t>
  </si>
  <si>
    <t>P 2014-09-20</t>
  </si>
  <si>
    <t>P 2016-05-01</t>
  </si>
  <si>
    <t>P 2017-09</t>
  </si>
  <si>
    <t>P 2018</t>
  </si>
  <si>
    <t>P 2016-02-22</t>
  </si>
  <si>
    <t>P 2018-12</t>
  </si>
  <si>
    <t>P 2019-02</t>
  </si>
  <si>
    <t>P 2018-06</t>
  </si>
  <si>
    <t>P 2019-03</t>
  </si>
  <si>
    <t>P 2019</t>
  </si>
  <si>
    <t>P 2019-06</t>
  </si>
  <si>
    <t>Meteorite Stone Name</t>
  </si>
  <si>
    <t>Likely or Possibly 
Paired with</t>
  </si>
  <si>
    <t>Likely or Possibly
from Same Crater as</t>
  </si>
  <si>
    <t>Mass (g)</t>
  </si>
  <si>
    <t>Date Found or Purchased</t>
  </si>
  <si>
    <t>Lunar Rock Type</t>
  </si>
  <si>
    <t>P 2016-09-01</t>
  </si>
  <si>
    <t>F 2002-01-15</t>
  </si>
  <si>
    <t>F &lt;2004</t>
  </si>
  <si>
    <t>Lahmada 020</t>
  </si>
  <si>
    <t>P 2004-08</t>
  </si>
  <si>
    <t>P 2005-06</t>
  </si>
  <si>
    <t>P 2005-11</t>
  </si>
  <si>
    <t>P 2006-11</t>
  </si>
  <si>
    <t>P 2006-05</t>
  </si>
  <si>
    <t>F 2005</t>
  </si>
  <si>
    <t>F 2014-12</t>
  </si>
  <si>
    <t>P 2015-07-06</t>
  </si>
  <si>
    <t>P 2015-04-22</t>
  </si>
  <si>
    <t>P 2015-11</t>
  </si>
  <si>
    <t>F 2014-08</t>
  </si>
  <si>
    <t>P 2015-12</t>
  </si>
  <si>
    <t>P 2016-01</t>
  </si>
  <si>
    <t>P 2016-03</t>
  </si>
  <si>
    <t>F 2015-11</t>
  </si>
  <si>
    <t>P 2015-05-01</t>
  </si>
  <si>
    <t>F 2015-11-15</t>
  </si>
  <si>
    <t>P 2017-05-10</t>
  </si>
  <si>
    <t>P 2018-03</t>
  </si>
  <si>
    <t>P 2018-05</t>
  </si>
  <si>
    <t>P 2015-04-27</t>
  </si>
  <si>
    <t>P 2018-08</t>
  </si>
  <si>
    <t>F 2016-10-10</t>
  </si>
  <si>
    <t>F 2017-09</t>
  </si>
  <si>
    <t>P 2017-10-29</t>
  </si>
  <si>
    <t>F 2015-04</t>
  </si>
  <si>
    <t>Swayyah 001</t>
  </si>
  <si>
    <t>F 1999-01-11</t>
  </si>
  <si>
    <t>F 2001-04-12</t>
  </si>
  <si>
    <t>P 2006-10</t>
  </si>
  <si>
    <t>Lahmada 047</t>
  </si>
  <si>
    <t>Northwest Africa 12966</t>
  </si>
  <si>
    <t>Northwest Africa 12971</t>
  </si>
  <si>
    <t>Northwest Africa 12980</t>
  </si>
  <si>
    <t>Northwest Africa 12985</t>
  </si>
  <si>
    <t>Northwest Africa 12997</t>
  </si>
  <si>
    <t>troctolitic melt rock</t>
  </si>
  <si>
    <t>troctolite</t>
  </si>
  <si>
    <t>8599, 8687, 10140, 10178, 10318, 10401, 11252, 12997?, unn. 55, unn. 60, unn. 68</t>
  </si>
  <si>
    <t>Northwest Africa 13120</t>
  </si>
  <si>
    <t>Northwest Africa 13138</t>
  </si>
  <si>
    <t>Dominion Range 18244</t>
  </si>
  <si>
    <t>090070, 090075</t>
  </si>
  <si>
    <t>Prepared by:</t>
  </si>
  <si>
    <t>last update:</t>
  </si>
  <si>
    <t>3163 &amp; pairs</t>
  </si>
  <si>
    <t>8673?, not analyzed</t>
  </si>
  <si>
    <t>090034, 090075</t>
  </si>
  <si>
    <t>1627 &amp; 1980? (not analyzed)</t>
  </si>
  <si>
    <t>unnamed 96</t>
  </si>
  <si>
    <t>7948, 8306, 10149, 10172, 10203, 10253, 10258, 10263, 10272, 10291, 10317, 10376, 10546, 10599, 10644, 10782, 10810, 10989, 11109, 11185, 11249, 11563, Galb Inal, [unnamed 93]</t>
  </si>
  <si>
    <t>2402, 8277, 10480, 10566 &amp; unn. 107</t>
  </si>
  <si>
    <t>10509 clan</t>
  </si>
  <si>
    <t>10798, 10986, La'gad 003, unnamed 101, unnamed 102</t>
  </si>
  <si>
    <t>unn. 110</t>
  </si>
  <si>
    <t>other sheet</t>
  </si>
  <si>
    <t>Northwest Africa 13036</t>
  </si>
  <si>
    <t>Northwest Africa 13101</t>
  </si>
  <si>
    <t>Northwest Africa 13112</t>
  </si>
  <si>
    <t>Northwest Africa 13119</t>
  </si>
  <si>
    <t>P 2019-10</t>
  </si>
  <si>
    <t>7000
3 pieces</t>
  </si>
  <si>
    <t>P 2019-08</t>
  </si>
  <si>
    <t>Northwest Africa 13185</t>
  </si>
  <si>
    <t>Northwest Africa 13191</t>
  </si>
  <si>
    <t>Northwest Africa 13216</t>
  </si>
  <si>
    <t>Northwest Africa 13225</t>
  </si>
  <si>
    <t>P 2018-10-26</t>
  </si>
  <si>
    <t>Northwest Africa 13256</t>
  </si>
  <si>
    <t>Northwest Africa 13259</t>
  </si>
  <si>
    <t>Some Meteorite Information</t>
  </si>
  <si>
    <t>Identifying Meteorites</t>
  </si>
  <si>
    <t>1300
6 pieces</t>
  </si>
  <si>
    <t>103,770
many pieces</t>
  </si>
  <si>
    <t>25
many pieces</t>
  </si>
  <si>
    <t>60
many pieces</t>
  </si>
  <si>
    <t>100.15
18 pieces</t>
  </si>
  <si>
    <t>30,000
10 pieces</t>
  </si>
  <si>
    <t>1780
many pieces</t>
  </si>
  <si>
    <t>Northwest Africa 13306</t>
  </si>
  <si>
    <t>P 2020-01</t>
  </si>
  <si>
    <t>Tiss</t>
  </si>
  <si>
    <t>Tisserlitine 001</t>
  </si>
  <si>
    <t>F 2019-12</t>
  </si>
  <si>
    <t>57,410
many pieces</t>
  </si>
  <si>
    <t>8607?, 8609, 8651, 8668, 8727, 8783, 10130, 10228, 10621, La'gad, unn. 58, unn. 59, unn 95</t>
  </si>
  <si>
    <t>Northwest Africa 13346</t>
  </si>
  <si>
    <t>P 2020-05</t>
  </si>
  <si>
    <t>Ghadduwah 001</t>
  </si>
  <si>
    <t>F 2020-01-07</t>
  </si>
  <si>
    <t>ferroan anorthosite, unbrecciated</t>
  </si>
  <si>
    <t>Northwest Africa 13408</t>
  </si>
  <si>
    <t>Northwest Africa 13426</t>
  </si>
  <si>
    <t>P 2020-03</t>
  </si>
  <si>
    <t>2000
many pieces</t>
  </si>
  <si>
    <t>137.3
12 pieces</t>
  </si>
  <si>
    <t>Northeast Africa 014</t>
  </si>
  <si>
    <t>P 2020-08</t>
  </si>
  <si>
    <t>1627 and pair</t>
  </si>
  <si>
    <t>1980, 2101?</t>
  </si>
  <si>
    <t>Northwest Africa 13390</t>
  </si>
  <si>
    <t>P 2017-04-13</t>
  </si>
  <si>
    <t>Touat 004</t>
  </si>
  <si>
    <t>F 2019-03</t>
  </si>
  <si>
    <t>Northwest Africa 13283</t>
  </si>
  <si>
    <t>P 2019-07</t>
  </si>
  <si>
    <t>200.4
4 pieces</t>
  </si>
  <si>
    <t>Northwest Africa 13450</t>
  </si>
  <si>
    <t>P 2020-06</t>
  </si>
  <si>
    <t>Order*</t>
  </si>
  <si>
    <t>% of Apollo collection**</t>
  </si>
  <si>
    <t>** Rocks, soils, and cores</t>
  </si>
  <si>
    <t>P 2020-09</t>
  </si>
  <si>
    <t>Northwest Africa 13478</t>
  </si>
  <si>
    <t>Dominion Range 18242</t>
  </si>
  <si>
    <t>unn. 131</t>
  </si>
  <si>
    <t>Northwest Africa 13484</t>
  </si>
  <si>
    <t>240
many</t>
  </si>
  <si>
    <t>Northwest Africa 13531</t>
  </si>
  <si>
    <t>Northwest Africa 13582</t>
  </si>
  <si>
    <t>Touat 005</t>
  </si>
  <si>
    <t>F 2020</t>
  </si>
  <si>
    <t>3710
2 pieces</t>
  </si>
  <si>
    <t>Northwest Africa 13568</t>
  </si>
  <si>
    <t>Northwest Africa 13621</t>
  </si>
  <si>
    <t>825
51 pieces</t>
  </si>
  <si>
    <t>P 2020</t>
  </si>
  <si>
    <t>NWA 13621</t>
  </si>
  <si>
    <t>NWA 10495</t>
  </si>
  <si>
    <t>1608
50 pieces</t>
  </si>
  <si>
    <t>P 2020-01, 09</t>
  </si>
  <si>
    <t>Tata</t>
  </si>
  <si>
    <t>Tata 001</t>
  </si>
  <si>
    <t>F 2019</t>
  </si>
  <si>
    <t>Northwest Africa 13546</t>
  </si>
  <si>
    <t>Northwest Africa 13625</t>
  </si>
  <si>
    <t>2300
many</t>
  </si>
  <si>
    <t>Swayyah 003</t>
  </si>
  <si>
    <t>F 2020-02</t>
  </si>
  <si>
    <t>Northwest Africa 13637</t>
  </si>
  <si>
    <t>Northwest Africa 13638</t>
  </si>
  <si>
    <t>P 2020-10</t>
  </si>
  <si>
    <t>P 2020-04</t>
  </si>
  <si>
    <t>Northwest Africa 13714</t>
  </si>
  <si>
    <t>Northwest Africa 13715</t>
  </si>
  <si>
    <t>176.6
16 pieces</t>
  </si>
  <si>
    <t>8673 &amp; pairs? (not analyzed)</t>
  </si>
  <si>
    <t>Northwest Africa 13739</t>
  </si>
  <si>
    <t>Northwest Africa 13785</t>
  </si>
  <si>
    <t>Northwest Africa 13788</t>
  </si>
  <si>
    <t>P 2020-11</t>
  </si>
  <si>
    <t>P 2021</t>
  </si>
  <si>
    <t>P 2020-12</t>
  </si>
  <si>
    <t>Northwest Africa 13717</t>
  </si>
  <si>
    <t>Northwest Africa 13676</t>
  </si>
  <si>
    <t>Northwest Africa 13779</t>
  </si>
  <si>
    <t>Northwest Africa 13757</t>
  </si>
  <si>
    <t>Northwest Africa 13837</t>
  </si>
  <si>
    <t>Northwest Africa 13908</t>
  </si>
  <si>
    <t>16,974
many pieces</t>
  </si>
  <si>
    <t>20.31
7 pieces</t>
  </si>
  <si>
    <t>10,441
many pieces</t>
  </si>
  <si>
    <t>Ghardaïa 001</t>
  </si>
  <si>
    <t>760
many pieces</t>
  </si>
  <si>
    <t>Northwest Africa 13859</t>
  </si>
  <si>
    <t>Northwest Africa 13907</t>
  </si>
  <si>
    <t>Northwest Africa 13916</t>
  </si>
  <si>
    <t>anorthosite</t>
  </si>
  <si>
    <t>P 2021-03</t>
  </si>
  <si>
    <t>Tichiya 003</t>
  </si>
  <si>
    <t>F 2020-11-14</t>
  </si>
  <si>
    <t>861
20 pieces</t>
  </si>
  <si>
    <t>4485 &amp; 11962</t>
  </si>
  <si>
    <t>4472 &amp; 11962</t>
  </si>
  <si>
    <t>4472 &amp; 4485</t>
  </si>
  <si>
    <t>Northwest Africa 13930</t>
  </si>
  <si>
    <t>Northwest Africa 13942</t>
  </si>
  <si>
    <t>Northwest Africa 13951</t>
  </si>
  <si>
    <t>4302
2 pieces</t>
  </si>
  <si>
    <t>Northwest Africa 13957</t>
  </si>
  <si>
    <t>190
2 pieces</t>
  </si>
  <si>
    <t>712
3 pieces</t>
  </si>
  <si>
    <t>P 2021-01</t>
  </si>
  <si>
    <t>Ghardaïa 002</t>
  </si>
  <si>
    <t>Gad</t>
  </si>
  <si>
    <t>Galb</t>
  </si>
  <si>
    <t>Ghad</t>
  </si>
  <si>
    <t>Ghar</t>
  </si>
  <si>
    <t>Gadamis 002</t>
  </si>
  <si>
    <t>Northwest Africa 13937</t>
  </si>
  <si>
    <t>Northwest Africa 13974</t>
  </si>
  <si>
    <t>Northwest Africa 13979</t>
  </si>
  <si>
    <t>Northwest Africa 13989</t>
  </si>
  <si>
    <t>Northwest Africa 13992</t>
  </si>
  <si>
    <t>Northwest Africa 14005</t>
  </si>
  <si>
    <t>1000
11 pieces</t>
  </si>
  <si>
    <t>7940
many pieces</t>
  </si>
  <si>
    <t>P 2013, 2020</t>
  </si>
  <si>
    <t>polymict breccia</t>
  </si>
  <si>
    <t>15
3 pieces</t>
  </si>
  <si>
    <t>Northwest Africa 13964</t>
  </si>
  <si>
    <t>6500
2 pieces</t>
  </si>
  <si>
    <t>Northwest Africa 14035</t>
  </si>
  <si>
    <t>Northwest Africa 14041</t>
  </si>
  <si>
    <t>Northwest Africa 14050</t>
  </si>
  <si>
    <t>F 2021</t>
  </si>
  <si>
    <t>Northwest Africa 13967</t>
  </si>
  <si>
    <t>Northwest Africa 14019</t>
  </si>
  <si>
    <t>P 2018-04</t>
  </si>
  <si>
    <t>mass all</t>
  </si>
  <si>
    <t>mass No Africa</t>
  </si>
  <si>
    <t>3121
many pieces</t>
  </si>
  <si>
    <t>Northwest Africa 14012</t>
  </si>
  <si>
    <t>mass Antarctica</t>
  </si>
  <si>
    <t>mass AP</t>
  </si>
  <si>
    <t>mass Australia</t>
  </si>
  <si>
    <t>count</t>
  </si>
  <si>
    <t>mass Botswana</t>
  </si>
  <si>
    <t>count fraction</t>
  </si>
  <si>
    <t>mass fraction</t>
  </si>
  <si>
    <t>basalt</t>
  </si>
  <si>
    <t>Swayyah 004</t>
  </si>
  <si>
    <t>Northwest Africa 14063</t>
  </si>
  <si>
    <t>Northwest Africa 14064</t>
  </si>
  <si>
    <t>Northwest Africa 14088</t>
  </si>
  <si>
    <t>79
many pieces</t>
  </si>
  <si>
    <t>anorthositic troctolite</t>
  </si>
  <si>
    <t>5744 &amp; pairs? (not analyzed)</t>
  </si>
  <si>
    <t>F 2019-01</t>
  </si>
  <si>
    <t>5744 &amp; pairs?; not analyzed</t>
  </si>
  <si>
    <t>Northwest Africa 14137</t>
  </si>
  <si>
    <t>Dhofar 2122</t>
  </si>
  <si>
    <t>F 2018-02-10</t>
  </si>
  <si>
    <t>RaFa</t>
  </si>
  <si>
    <t>Ramlat Fasad 532</t>
  </si>
  <si>
    <t>F 2018-02-02</t>
  </si>
  <si>
    <t>62.843
3 pieces</t>
  </si>
  <si>
    <t>Northwest Africa 14071</t>
  </si>
  <si>
    <t>Northwest Africa 14134</t>
  </si>
  <si>
    <t>Northwest Africa 14140</t>
  </si>
  <si>
    <t>P 2021-04</t>
  </si>
  <si>
    <t>Northwest Africa 14178</t>
  </si>
  <si>
    <t>Northwest Africa 14202</t>
  </si>
  <si>
    <t>HaTo</t>
  </si>
  <si>
    <t>Hassi Touil 001</t>
  </si>
  <si>
    <t>F 2020-11-04</t>
  </si>
  <si>
    <t>221
many pieces</t>
  </si>
  <si>
    <t>Northwest Africa 14258</t>
  </si>
  <si>
    <t>Northwest Africa 14280</t>
  </si>
  <si>
    <t>Northwest Africa 14340</t>
  </si>
  <si>
    <t>Northwest Africa 14341</t>
  </si>
  <si>
    <t>P 2021-06</t>
  </si>
  <si>
    <t>F 2020-11</t>
  </si>
  <si>
    <t>Oua</t>
  </si>
  <si>
    <t>Ouargla 004</t>
  </si>
  <si>
    <t>1046
4 pieces</t>
  </si>
  <si>
    <t>Northwest Africa 13892</t>
  </si>
  <si>
    <t>Northwest Africa 13896</t>
  </si>
  <si>
    <t>Northwest Africa 13899</t>
  </si>
  <si>
    <t>P 2019-11</t>
  </si>
  <si>
    <t>Northwest Africa 14358</t>
  </si>
  <si>
    <t>299.98
10 pieces</t>
  </si>
  <si>
    <t>P 2021-02</t>
  </si>
  <si>
    <t>Northwest Africa 14338</t>
  </si>
  <si>
    <t>gabbroic breccia</t>
  </si>
  <si>
    <t>See also alternate list in alumina-concentration order.</t>
  </si>
  <si>
    <t>Northwest Africa 14446</t>
  </si>
  <si>
    <t>Northwest Africa 14323</t>
  </si>
  <si>
    <t>troctolitic breccia</t>
  </si>
  <si>
    <t>P 2021-05</t>
  </si>
  <si>
    <t>P 2021-09-14</t>
  </si>
  <si>
    <t>10309, 10461, 10609, 10643, 10649, 10756, 10822, 10901, 11029, 11266, 11269, 11273, 11303, 11379, 11428, 11460, 11479, 11515, 12691, 13426, unn 116, 136, 138, 139, and possibly-to-probably 2425, 11331, 11407, 11421, 11444, 11517, 11532, 11695, 11783, 11789, 11898, 11966, 11968, 12630, 12760, 12695, 12966, 13101, 13120, 13390</t>
  </si>
  <si>
    <t>Gadamis 003</t>
  </si>
  <si>
    <t>1270
2 pieces</t>
  </si>
  <si>
    <t>Northwest Africa 14372</t>
  </si>
  <si>
    <t>Northwest Africa 14415</t>
  </si>
  <si>
    <t>Northwest Africa 14523</t>
  </si>
  <si>
    <t>Northwest Africa 14524</t>
  </si>
  <si>
    <t>Northwest Africa 14526</t>
  </si>
  <si>
    <t>2525
many pieces</t>
  </si>
  <si>
    <t>2800
80 pieces</t>
  </si>
  <si>
    <t>2000
20 pieces</t>
  </si>
  <si>
    <t>P 2021-09</t>
  </si>
  <si>
    <t>InI</t>
  </si>
  <si>
    <t>Issaouane-n-Irrararene 001</t>
  </si>
  <si>
    <t>F 2021-04</t>
  </si>
  <si>
    <t>mafic melt rock</t>
  </si>
  <si>
    <t>Use my SaveAs button</t>
  </si>
  <si>
    <t>save as .htm</t>
  </si>
  <si>
    <t>select range all</t>
  </si>
  <si>
    <t>Save lower right</t>
  </si>
  <si>
    <t>check destnation folder</t>
  </si>
  <si>
    <t>Northwest Africa 14576</t>
  </si>
  <si>
    <t>Northwest Africa 14577</t>
  </si>
  <si>
    <t>Northwest Africa 14594</t>
  </si>
  <si>
    <t>10,050
3 pieces</t>
  </si>
  <si>
    <t>1008
2 pieces</t>
  </si>
  <si>
    <t>Cho</t>
  </si>
  <si>
    <t>Choum 001</t>
  </si>
  <si>
    <t>F 2021-03-28</t>
  </si>
  <si>
    <t>feldspathic impact-melt rock</t>
  </si>
  <si>
    <t>P 2021-08</t>
  </si>
  <si>
    <t>Northwest Africa 14531</t>
  </si>
  <si>
    <t>Northwest Africa 14532</t>
  </si>
  <si>
    <t>Northwest Africa 14540</t>
  </si>
  <si>
    <t>14532? not analyzed</t>
  </si>
  <si>
    <t>14531? not analyzed</t>
  </si>
  <si>
    <t>17.7
3 pieces</t>
  </si>
  <si>
    <t>Laây</t>
  </si>
  <si>
    <t>Laâyoune 002</t>
  </si>
  <si>
    <t>5148
2 pieces</t>
  </si>
  <si>
    <t>F 2022-01</t>
  </si>
  <si>
    <t>P 2022-01</t>
  </si>
  <si>
    <t>002 and pairs (not analyzed)</t>
  </si>
  <si>
    <t>Gadamis 004</t>
  </si>
  <si>
    <t>Northwest Africa 14527</t>
  </si>
  <si>
    <t>Northwest Africa 14685</t>
  </si>
  <si>
    <t>Northwest Africa 14686</t>
  </si>
  <si>
    <t>Northwest Africa 14687</t>
  </si>
  <si>
    <t>Northwest Africa 14703</t>
  </si>
  <si>
    <t>Northwest Africa 14704</t>
  </si>
  <si>
    <t>Northwest Africa 14705</t>
  </si>
  <si>
    <t>Northwest Africa 14706</t>
  </si>
  <si>
    <t>Northwest Africa 14727</t>
  </si>
  <si>
    <t>Northwest Africa 14729</t>
  </si>
  <si>
    <t>Northwest Africa 14730</t>
  </si>
  <si>
    <t>Northwest Africa 14731</t>
  </si>
  <si>
    <t>Northwest Africa 14747</t>
  </si>
  <si>
    <t>Northwest Africa 14755</t>
  </si>
  <si>
    <t>Northwest Africa 14761</t>
  </si>
  <si>
    <t>Northwest Africa 14769</t>
  </si>
  <si>
    <t>14704? not analyzed</t>
  </si>
  <si>
    <t>14705? not analyzed</t>
  </si>
  <si>
    <t>8000
3 pieces</t>
  </si>
  <si>
    <t>breccia</t>
  </si>
  <si>
    <t>14686? not analyzed</t>
  </si>
  <si>
    <t>252
6 pieces</t>
  </si>
  <si>
    <t>F 2018-07</t>
  </si>
  <si>
    <t>45
many pieces</t>
  </si>
  <si>
    <t>14731? not analyzed</t>
  </si>
  <si>
    <t>14730? not analyzed</t>
  </si>
  <si>
    <t>anorthositic gabbronorite breccia</t>
  </si>
  <si>
    <t>386
many pieces</t>
  </si>
  <si>
    <t>196
many pieces</t>
  </si>
  <si>
    <t>14761? not analyzed</t>
  </si>
  <si>
    <t>14755? not analyzed</t>
  </si>
  <si>
    <t>14685? not analyzed</t>
  </si>
  <si>
    <t>Northwest Africa 14657</t>
  </si>
  <si>
    <t>8046? not analyzed</t>
  </si>
  <si>
    <t>Northwest Africa 14798</t>
  </si>
  <si>
    <t>355.6
23 pieces</t>
  </si>
  <si>
    <t>Istifane 007</t>
  </si>
  <si>
    <t>512
many pieces</t>
  </si>
  <si>
    <t>Northwest Africa 14884</t>
  </si>
  <si>
    <t>Northwest Africa 14900</t>
  </si>
  <si>
    <t>Northwest Africa 14905</t>
  </si>
  <si>
    <t>Northwest Africa 14908</t>
  </si>
  <si>
    <t>Northwest Africa 14188</t>
  </si>
  <si>
    <t>Northwest Africa 14695</t>
  </si>
  <si>
    <t>Northwest Africa 14836</t>
  </si>
  <si>
    <t>o</t>
  </si>
  <si>
    <t>P 2021-11</t>
  </si>
  <si>
    <t>510
72 pieces</t>
  </si>
  <si>
    <t>90
4 pieces</t>
  </si>
  <si>
    <t>P 2022-03-13</t>
  </si>
  <si>
    <t>277
8 pieces</t>
  </si>
  <si>
    <t>2928
4 pieces</t>
  </si>
  <si>
    <t>Qued</t>
  </si>
  <si>
    <t>Qued Mya 004</t>
  </si>
  <si>
    <t>F 2021-01</t>
  </si>
  <si>
    <t>Northwest Africa 14969</t>
  </si>
  <si>
    <t>Northwest Africa 14977</t>
  </si>
  <si>
    <t>P 2022-02</t>
  </si>
  <si>
    <t>849
45 pieces</t>
  </si>
  <si>
    <t>Bech</t>
  </si>
  <si>
    <t>Aridal 019</t>
  </si>
  <si>
    <t>1084
many pieces</t>
  </si>
  <si>
    <t>Bechar 003</t>
  </si>
  <si>
    <t>F 2022-03-22</t>
  </si>
  <si>
    <t>1368
5 pieces</t>
  </si>
  <si>
    <t>F 2022-02</t>
  </si>
  <si>
    <t>Northwest Africa 14741</t>
  </si>
  <si>
    <t>Northwest Africa 15052</t>
  </si>
  <si>
    <t>Northwest Africa 15069</t>
  </si>
  <si>
    <t>P 2022-05</t>
  </si>
  <si>
    <t>Rafs</t>
  </si>
  <si>
    <t>Rafsa 002</t>
  </si>
  <si>
    <t>P 2022</t>
  </si>
  <si>
    <t>Northwest Africa 14992</t>
  </si>
  <si>
    <t>Northwest Africa 15018</t>
  </si>
  <si>
    <t>Northwest Africa 15051</t>
  </si>
  <si>
    <t>Northwest Africa 15099</t>
  </si>
  <si>
    <t>1200
many pieces</t>
  </si>
  <si>
    <t>P 2022-04</t>
  </si>
  <si>
    <t>Tifa</t>
  </si>
  <si>
    <t>ElM</t>
  </si>
  <si>
    <t>El Milhas 001</t>
  </si>
  <si>
    <t>feldspathia breccia</t>
  </si>
  <si>
    <t>F 2022-04</t>
  </si>
  <si>
    <t>385.3
2 pieces</t>
  </si>
  <si>
    <t>Northwest Africa 15026</t>
  </si>
  <si>
    <t>anorthositic troctolite breccia</t>
  </si>
  <si>
    <t>Tifariti 002</t>
  </si>
  <si>
    <t>5800
many pieces</t>
  </si>
  <si>
    <t>Toua</t>
  </si>
  <si>
    <t>Isti</t>
  </si>
  <si>
    <t>Northwest Africa 15216</t>
  </si>
  <si>
    <t>Dominion Range 18545</t>
  </si>
  <si>
    <t>18242, 18244, 18509, 18543, 18545, 18666, &amp; 18678</t>
  </si>
  <si>
    <t>ElH</t>
  </si>
  <si>
    <t>El Hareicha 001</t>
  </si>
  <si>
    <t>basaltic/gabbroic breccia</t>
  </si>
  <si>
    <t>F 2022-03</t>
  </si>
  <si>
    <t>El Milhas 002</t>
  </si>
  <si>
    <t>F 2022</t>
  </si>
  <si>
    <t>9853
many pieces</t>
  </si>
  <si>
    <t>Northwest Africa 14681</t>
  </si>
  <si>
    <t>troctolitic anorthosite breccia</t>
  </si>
  <si>
    <t>Northwest Africa 15172</t>
  </si>
  <si>
    <t>38
2 pieces</t>
  </si>
  <si>
    <t>12971?; not analyzed</t>
  </si>
  <si>
    <t>Northwest Africa 15286</t>
  </si>
  <si>
    <t>Northwest Africa 15288</t>
  </si>
  <si>
    <t>7208
100's pieces</t>
  </si>
  <si>
    <t>Bechar 006</t>
  </si>
  <si>
    <t>Northwest Africa 15173</t>
  </si>
  <si>
    <t>69
2 pieces</t>
  </si>
  <si>
    <t>15173? not analyzed</t>
  </si>
  <si>
    <t>15172? not analyzed</t>
  </si>
  <si>
    <t>Northwest Africa 15300</t>
  </si>
  <si>
    <t>Northwest Africa 15348</t>
  </si>
  <si>
    <t>Northwest Africa 15349</t>
  </si>
  <si>
    <t>905
4 pieces</t>
  </si>
  <si>
    <t>365
3 pieces</t>
  </si>
  <si>
    <t>AeF</t>
  </si>
  <si>
    <t>Agator el Feroua 001</t>
  </si>
  <si>
    <t>F 2022-04-14</t>
  </si>
  <si>
    <t>Gadamis 005</t>
  </si>
  <si>
    <t>Grove Mountains 150357</t>
  </si>
  <si>
    <t>F 2015-12-29</t>
  </si>
  <si>
    <t>Northwest Africa 15312</t>
  </si>
  <si>
    <t>Northwest Africa 15368</t>
  </si>
  <si>
    <t>Northwest Africa 15373</t>
  </si>
  <si>
    <t>Northwest Africa 15375</t>
  </si>
  <si>
    <t>Northwest Africa 15377</t>
  </si>
  <si>
    <t>425
many pieces</t>
  </si>
  <si>
    <t>1670
many pieces</t>
  </si>
  <si>
    <t>45,000
many pieces</t>
  </si>
  <si>
    <t>209
3 pieces</t>
  </si>
  <si>
    <t>Northwest Africa 15343</t>
  </si>
  <si>
    <t>Northwest Africa 15433</t>
  </si>
  <si>
    <t>Northwest Africa 15431</t>
  </si>
  <si>
    <t>Northwest Africa 15367</t>
  </si>
  <si>
    <t>Northwest Africa 15374</t>
  </si>
  <si>
    <t>4016
55 pieces</t>
  </si>
  <si>
    <t>F 2021-11</t>
  </si>
  <si>
    <t>P 2022-06</t>
  </si>
  <si>
    <t>13757?, 13908?, 15352?; not analyzed</t>
  </si>
  <si>
    <t>13676 &amp; pairs? (not analyzed)</t>
  </si>
  <si>
    <t>13676? &amp; pairs? (not analyzed)</t>
  </si>
  <si>
    <t>Northwest Africa 15352</t>
  </si>
  <si>
    <t>4125
82 pieces</t>
  </si>
  <si>
    <t>Northwest Africa 15432</t>
  </si>
  <si>
    <t>Northwest Africa 15483</t>
  </si>
  <si>
    <t>P 2022-10</t>
  </si>
  <si>
    <t>Northwest Africa 15500</t>
  </si>
  <si>
    <t>feldspathic breccia &amp; troctolitic melt rock</t>
  </si>
  <si>
    <t>kg</t>
  </si>
  <si>
    <t>GRM</t>
  </si>
  <si>
    <t>Calc</t>
  </si>
  <si>
    <t>003, 004, 005, 006 (not analyzed)</t>
  </si>
  <si>
    <t>Gadamis 006</t>
  </si>
  <si>
    <t>Northwest Africa 15528</t>
  </si>
  <si>
    <t>P 2022-03</t>
  </si>
  <si>
    <t>27
2 pieces</t>
  </si>
  <si>
    <t>79.56
4 pieces</t>
  </si>
  <si>
    <t>Grizim 002</t>
  </si>
  <si>
    <t>Griz</t>
  </si>
  <si>
    <t>HeB</t>
  </si>
  <si>
    <t>Hassi el Biod 004</t>
  </si>
  <si>
    <t>P 2022-11</t>
  </si>
  <si>
    <t>Aridal 020</t>
  </si>
  <si>
    <t>Aridal 020? (not analyzed)</t>
  </si>
  <si>
    <t>Aridal 019? (not analyzed)</t>
  </si>
  <si>
    <t>Northwest Africa 15169</t>
  </si>
  <si>
    <t>anorthosite breccia</t>
  </si>
  <si>
    <t>Northwest Africa 15583</t>
  </si>
  <si>
    <t>Northwest Africa 15644</t>
  </si>
  <si>
    <t>Northwest Africa 15655</t>
  </si>
  <si>
    <t>NWA 773 clan</t>
  </si>
  <si>
    <t>446.5
3 pieces</t>
  </si>
  <si>
    <t>2700, 2727, 2977, 3160, 3170, 3333, 6950, 7007, 8127, 10656, 10985, 11616, 11703, 11767, 15644, Anoual, unn. 99</t>
  </si>
  <si>
    <t>342
several</t>
  </si>
  <si>
    <t>Bechar 009</t>
  </si>
  <si>
    <t>F 2021-12</t>
  </si>
  <si>
    <t>Bechar 003 clan</t>
  </si>
  <si>
    <t>Northwest Africa 12788</t>
  </si>
  <si>
    <t>Northwest Africa 12789</t>
  </si>
  <si>
    <t>Northwest Africa 12790</t>
  </si>
  <si>
    <t>P 2019-04</t>
  </si>
  <si>
    <t>22
4 pieces</t>
  </si>
  <si>
    <t>17.6
7 pieces</t>
  </si>
  <si>
    <t>Northwest Africa 15482</t>
  </si>
  <si>
    <t>Northwest Africa 15603</t>
  </si>
  <si>
    <t>Northwest Africa 15604</t>
  </si>
  <si>
    <t>Northwest Africa 15605</t>
  </si>
  <si>
    <t>Northwest Africa 15612</t>
  </si>
  <si>
    <t>Northwest Africa 15714</t>
  </si>
  <si>
    <t>P 2022-09</t>
  </si>
  <si>
    <t>troctolitic anorthositic breccia</t>
  </si>
  <si>
    <t>2300
many pieces</t>
  </si>
  <si>
    <t>P 2022-08</t>
  </si>
  <si>
    <t>1000
many pieces</t>
  </si>
  <si>
    <t>90
6 pieces</t>
  </si>
  <si>
    <t>mass sum (approved names, kg):</t>
  </si>
  <si>
    <t>Northwest Africa 15062</t>
  </si>
  <si>
    <t>P 2018-07</t>
  </si>
  <si>
    <t>Northwest Africa 15063</t>
  </si>
  <si>
    <t>15062? not analyzed</t>
  </si>
  <si>
    <t>15063? not analyzed</t>
  </si>
  <si>
    <t>How Do We Know That It's a Rock from the Moon?</t>
  </si>
  <si>
    <t>Arg</t>
  </si>
  <si>
    <t>Adr</t>
  </si>
  <si>
    <t>Adrar 012</t>
  </si>
  <si>
    <t>941.3
57 pieces</t>
  </si>
  <si>
    <t>1146
many pieces</t>
  </si>
  <si>
    <t>P 2021-12</t>
  </si>
  <si>
    <t>norite, unbrecciated</t>
  </si>
  <si>
    <t>Bechar 007</t>
  </si>
  <si>
    <t>Bechar 010</t>
  </si>
  <si>
    <t>F 2022-06</t>
  </si>
  <si>
    <t>4000
many pieces</t>
  </si>
  <si>
    <t>Northwest Africa 15192</t>
  </si>
  <si>
    <t>Northwest Africa 15686</t>
  </si>
  <si>
    <t>Northwest Africa 15782</t>
  </si>
  <si>
    <t>Northwest Africa 15800</t>
  </si>
  <si>
    <t>P 2023-01</t>
  </si>
  <si>
    <t>681
several</t>
  </si>
  <si>
    <t>6674.1
several</t>
  </si>
  <si>
    <t>16,518
several</t>
  </si>
  <si>
    <t>15,600 several</t>
  </si>
  <si>
    <t>108.2
several</t>
  </si>
  <si>
    <t>318
several</t>
  </si>
  <si>
    <t>700
several</t>
  </si>
  <si>
    <t>783.39
several</t>
  </si>
  <si>
    <t>286
several</t>
  </si>
  <si>
    <t>70
several</t>
  </si>
  <si>
    <t>65
several</t>
  </si>
  <si>
    <t>767.8
several</t>
  </si>
  <si>
    <t>68,796
several</t>
  </si>
  <si>
    <t>300
several</t>
  </si>
  <si>
    <t>2045
several</t>
  </si>
  <si>
    <t>158
several</t>
  </si>
  <si>
    <t>1035
several</t>
  </si>
  <si>
    <t>24.5
several</t>
  </si>
  <si>
    <t>Arguin 002</t>
  </si>
  <si>
    <t>Bechar 011</t>
  </si>
  <si>
    <t>P 2022-06-19</t>
  </si>
  <si>
    <t>354.18
52 pieces</t>
  </si>
  <si>
    <t>Northwest Africa 15533</t>
  </si>
  <si>
    <t>641
18 pieces</t>
  </si>
  <si>
    <t>Northwest Africa 15806</t>
  </si>
  <si>
    <t>F 2021-05</t>
  </si>
  <si>
    <t>Ramlat Fasad 600</t>
  </si>
  <si>
    <t>F 2020-02-05</t>
  </si>
  <si>
    <t>Northwest Africa 15945</t>
  </si>
  <si>
    <t>Northwest Africa 15952</t>
  </si>
  <si>
    <t>Northwest Africa 15963</t>
  </si>
  <si>
    <t>476
3 pieces</t>
  </si>
  <si>
    <t>P 2023-02</t>
  </si>
  <si>
    <t>P 2023</t>
  </si>
  <si>
    <t>56
2 pieces</t>
  </si>
  <si>
    <t>Tiris</t>
  </si>
  <si>
    <t>Tiris 001</t>
  </si>
  <si>
    <t>AlAw</t>
  </si>
  <si>
    <t>Al ’Aweinat</t>
  </si>
  <si>
    <t>Northeast Africa 039</t>
  </si>
  <si>
    <t>P 2023-03</t>
  </si>
  <si>
    <t>Northwest Africa 15807</t>
  </si>
  <si>
    <t>F 2021-02</t>
  </si>
  <si>
    <t>Northwest Africa 16095</t>
  </si>
  <si>
    <t>Northwest Africa 16106</t>
  </si>
  <si>
    <t>4568
3 pieces</t>
  </si>
  <si>
    <t>Tisserlitine 003</t>
  </si>
  <si>
    <t>24,000
several pieces</t>
  </si>
  <si>
    <t>Jiddat al Harasis 1118</t>
  </si>
  <si>
    <t>F 2009-12</t>
  </si>
  <si>
    <t>Northwest Africa 15954</t>
  </si>
  <si>
    <t>944
3 pieces</t>
  </si>
  <si>
    <t>Northwest Africa 15859</t>
  </si>
  <si>
    <t>F 2021-03-01</t>
  </si>
  <si>
    <t>Northwest Africa 16132</t>
  </si>
  <si>
    <t>Northwest Africa 16134</t>
  </si>
  <si>
    <t>Northwest Africa 16173</t>
  </si>
  <si>
    <t>7.4
2 pieces</t>
  </si>
  <si>
    <t>EA</t>
  </si>
  <si>
    <t>Erg Atouila 005</t>
  </si>
  <si>
    <t>Laâyoune 003</t>
  </si>
  <si>
    <t>Laâyoune 003; (not analyzed)</t>
  </si>
  <si>
    <t>Laâyoune 002; (not analyzed)</t>
  </si>
  <si>
    <t>F 2022-07-16</t>
  </si>
  <si>
    <t>340.38
many pieces</t>
  </si>
  <si>
    <t>Northwest Africa 16002</t>
  </si>
  <si>
    <t>Northwest Africa 16008</t>
  </si>
  <si>
    <t>Northwest Africa 16200</t>
  </si>
  <si>
    <t>Northwest Africa 16238</t>
  </si>
  <si>
    <t>troctolitic anothosite breccia</t>
  </si>
  <si>
    <t>660
4 pieces</t>
  </si>
  <si>
    <t>251
4 pieces</t>
  </si>
  <si>
    <t>F 2023</t>
  </si>
  <si>
    <t>10
2 pieces</t>
  </si>
  <si>
    <t>Touat 008</t>
  </si>
  <si>
    <t>troctoliticic breccia</t>
  </si>
  <si>
    <t>F 2023-02</t>
  </si>
  <si>
    <t>2955
many pieces</t>
  </si>
  <si>
    <t>BiG</t>
  </si>
  <si>
    <t>Bir Moghrein 003</t>
  </si>
  <si>
    <t>1400
many pieces</t>
  </si>
  <si>
    <t>Northeast Africa 042</t>
  </si>
  <si>
    <t>482
3 pieces</t>
  </si>
  <si>
    <t>Northwest Africa 16267</t>
  </si>
  <si>
    <t>Northwest Africa 16282</t>
  </si>
  <si>
    <t>Northwest Africa 16283</t>
  </si>
  <si>
    <t>Northwest Africa 16292</t>
  </si>
  <si>
    <t>Northwest Africa 16278</t>
  </si>
  <si>
    <t>Northwest Africa 16294</t>
  </si>
  <si>
    <t>P 2023-09</t>
  </si>
  <si>
    <t>394
several</t>
  </si>
  <si>
    <t>Northwest Africa 16189</t>
  </si>
  <si>
    <t>troctolitic anorthosite</t>
  </si>
  <si>
    <t>6829
4 pieces</t>
  </si>
  <si>
    <t>Ajd</t>
  </si>
  <si>
    <t>Ajdabiya 001</t>
  </si>
  <si>
    <t>28,800
several</t>
  </si>
  <si>
    <t>Bechar 012</t>
  </si>
  <si>
    <t>Northwest Africa 16277</t>
  </si>
  <si>
    <t>Northwest Africa 16286</t>
  </si>
  <si>
    <t>311
3 pieces</t>
  </si>
  <si>
    <t>Northwest Africa 16349</t>
  </si>
  <si>
    <t>basaltic and gabbroic breccia</t>
  </si>
  <si>
    <t>Northwest Africa 16366</t>
  </si>
  <si>
    <t>Northwest Africa 16400</t>
  </si>
  <si>
    <t>497
many pieces</t>
  </si>
  <si>
    <t>? not analyzed; 16400?</t>
  </si>
  <si>
    <t>Northwest Africa 15059</t>
  </si>
  <si>
    <t>Adrar 014</t>
  </si>
  <si>
    <t>212
many pieces</t>
  </si>
  <si>
    <t>Northwest Africa 16470</t>
  </si>
  <si>
    <t>basalt-bearing feldspathic breccia</t>
  </si>
  <si>
    <t>mafic breccia with large basalt clast</t>
  </si>
  <si>
    <t>KREEP-rich mafic breccia</t>
  </si>
  <si>
    <t>basalt-bearing breccia</t>
  </si>
  <si>
    <t>anorthosite-bearing basaltic breccia</t>
  </si>
  <si>
    <t>basaltic breccia with large mare basalt clast</t>
  </si>
  <si>
    <t>basaltic breccia with large olivine-gabbro clast</t>
  </si>
  <si>
    <t>basaltic breccia with large basalt and gabbro clasts</t>
  </si>
  <si>
    <t>mafic, KREEP-bearing breccia</t>
  </si>
  <si>
    <t>gabbro- and troctilite-bearing feldspathic breccia</t>
  </si>
  <si>
    <t>KREEP-rich, basaltic breccia</t>
  </si>
  <si>
    <t>basaltic breccia with basalt and gabbro clasts</t>
  </si>
  <si>
    <t>anorthosite-bearing basalt breccia</t>
  </si>
  <si>
    <t>anorthositic norite breccia</t>
  </si>
  <si>
    <t xml:space="preserve">mafic rbreccia with large KREEP-rich breccia clast </t>
  </si>
  <si>
    <t>anorthositic-norite breccia</t>
  </si>
  <si>
    <t>basalticbreccia</t>
  </si>
  <si>
    <t>feldspathic breccia with large impact-melt breccia clast</t>
  </si>
  <si>
    <t>* Order of first announcement in scientific literature or the Meteoritical Bulletin Database</t>
  </si>
  <si>
    <t>NWA 4734 clan? NWA 032? LAP basalts?</t>
  </si>
  <si>
    <t>Pake</t>
  </si>
  <si>
    <t>Adrar 013</t>
  </si>
  <si>
    <t>3150
several pieces</t>
  </si>
  <si>
    <t>Northwest Africa 16460</t>
  </si>
  <si>
    <t>Northwest Africa 16471</t>
  </si>
  <si>
    <t>Northwest Africa 16484</t>
  </si>
  <si>
    <t>Pakepake 005</t>
  </si>
  <si>
    <t>F 2024-01-22</t>
  </si>
  <si>
    <t>Northwest Africa 16372</t>
  </si>
  <si>
    <t>Northwest Africa 16507</t>
  </si>
  <si>
    <t>002? (not analyzed)</t>
  </si>
  <si>
    <t>001? (not analyzed)</t>
  </si>
  <si>
    <t>Northwest Africa 15629</t>
  </si>
  <si>
    <t>3400
2 pieces</t>
  </si>
  <si>
    <t>Bechar 013</t>
  </si>
  <si>
    <t>F 2022-08</t>
  </si>
  <si>
    <t>211
several</t>
  </si>
  <si>
    <t>Northwest Africa 16535</t>
  </si>
  <si>
    <t>1700
2 pieces</t>
  </si>
  <si>
    <t>200.6
8 pieces</t>
  </si>
  <si>
    <t>1360
8 pieces</t>
  </si>
  <si>
    <t>450
3 pieces</t>
  </si>
  <si>
    <t>292
2 pieces</t>
  </si>
  <si>
    <t>165
5 pieces</t>
  </si>
  <si>
    <t>Northwest Africa 16530</t>
  </si>
  <si>
    <t>Northwest Africa 16531</t>
  </si>
  <si>
    <t>840
many pieces</t>
  </si>
  <si>
    <t>470
many pieces</t>
  </si>
  <si>
    <t>Bechar clan?; not analyzed</t>
  </si>
  <si>
    <t>15500 ?; not analyzed</t>
  </si>
  <si>
    <t>Bechar 006, 007, 009, 010, 011, 0112, 013, NWA 16530? (not analyzed)</t>
  </si>
  <si>
    <t>Laâyoune clan?; not analyzed</t>
  </si>
  <si>
    <t>BiOu</t>
  </si>
  <si>
    <t>Bir Ounane 005</t>
  </si>
  <si>
    <t>20
2 pieces</t>
  </si>
  <si>
    <t>Northwest Africa 16469</t>
  </si>
  <si>
    <t>16470 clan?; not analyzed</t>
  </si>
  <si>
    <t>14469, 16471; not analyzed</t>
  </si>
  <si>
    <t>Department of Earth, Environmental, and Planetary Sciences</t>
  </si>
  <si>
    <t>Randy L. Korotev, retired</t>
  </si>
  <si>
    <t>Northwest Africa 16520</t>
  </si>
  <si>
    <t>Northwest Africa 16625</t>
  </si>
  <si>
    <t>Northwest Africa 16626</t>
  </si>
  <si>
    <t>Northwest Africa 16657</t>
  </si>
  <si>
    <t>Northwest Africa 16684</t>
  </si>
  <si>
    <t>875
many pieces</t>
  </si>
  <si>
    <t>P 2023-11</t>
  </si>
  <si>
    <t>P 2024-03</t>
  </si>
  <si>
    <t>82
3 pieces</t>
  </si>
  <si>
    <t>14041?, not analyzed</t>
  </si>
  <si>
    <t>9200
many pieces</t>
  </si>
  <si>
    <t>16694??, not analyzed</t>
  </si>
  <si>
    <t>feldspathic (basaltic?) breccia</t>
  </si>
  <si>
    <t>Northwest Africa 16716</t>
  </si>
  <si>
    <t>Northwest Africa 16727</t>
  </si>
  <si>
    <t>P 2024-04</t>
  </si>
  <si>
    <t xml:space="preserve">	391.6</t>
  </si>
  <si>
    <t>P 2023-12</t>
  </si>
  <si>
    <t>El Milhas 007</t>
  </si>
  <si>
    <t>004; (not analyzed)</t>
  </si>
  <si>
    <t>Hassi el Biod 005</t>
  </si>
  <si>
    <t>1351
many pieces</t>
  </si>
  <si>
    <t>Northwest Africa 16683</t>
  </si>
  <si>
    <t>Northwest Africa 16690</t>
  </si>
  <si>
    <t>Ramlat Fasad 535</t>
  </si>
  <si>
    <t>F 2019-01-30</t>
  </si>
  <si>
    <t>AgM</t>
  </si>
  <si>
    <t xml:space="preserve">Aguelt Mahba 001 </t>
  </si>
  <si>
    <t>Northwest Africa 16256</t>
  </si>
  <si>
    <t>P 2023-06</t>
  </si>
  <si>
    <t>2490
many</t>
  </si>
  <si>
    <t>Asuka 881757; MIL 05035; NWA 16256?</t>
  </si>
  <si>
    <t>Asuka 881757?; MIL 05035?; Ramlat Fasad 532?</t>
  </si>
  <si>
    <t>Asuka 881757; Y-793274; MET 01210; Ramlat Fasad 532; NWA 16256?</t>
  </si>
  <si>
    <t>Northwest Africa 16761</t>
  </si>
  <si>
    <t>Hassi Zerara 001</t>
  </si>
  <si>
    <t>F 2023-12-12</t>
  </si>
  <si>
    <t>HaZ</t>
  </si>
  <si>
    <t>DeA</t>
  </si>
  <si>
    <t>Dayet el Aam 003</t>
  </si>
  <si>
    <t>Northwest Africa 16784</t>
  </si>
  <si>
    <t>650
many pieces</t>
  </si>
  <si>
    <t>P 2024-01</t>
  </si>
  <si>
    <t>? not analyzed; 16784?</t>
  </si>
  <si>
    <t>? not analyzed; 8222 &amp; pairs?</t>
  </si>
  <si>
    <t>? not analyzed; Swayyah 004?</t>
  </si>
  <si>
    <t>? not analyzed; Swayyah 001?</t>
  </si>
  <si>
    <t>? not analyzed; not Swayyah 001</t>
  </si>
  <si>
    <t>? not analyzed; Touat 008?</t>
  </si>
  <si>
    <t>Northeast Africa 063</t>
  </si>
  <si>
    <t>Northwest Africa 16557</t>
  </si>
  <si>
    <t>P 2023-10</t>
  </si>
  <si>
    <t>2643
many pieces</t>
  </si>
  <si>
    <t>Northwest Africa 16660</t>
  </si>
  <si>
    <t>16557?; not analyzed</t>
  </si>
  <si>
    <t>16683?; not analyzed</t>
  </si>
  <si>
    <t>AQS</t>
  </si>
  <si>
    <t>Al Qaryah al Sharqiyah 001</t>
  </si>
  <si>
    <t>11,700
5 pieces</t>
  </si>
  <si>
    <t>12,000
8 pieces</t>
  </si>
  <si>
    <t>10,201
2 pieces</t>
  </si>
  <si>
    <t>Aguelt Mahba 002</t>
  </si>
  <si>
    <t>anorthositIC troctolite</t>
  </si>
  <si>
    <t>10,500
7 pieces</t>
  </si>
  <si>
    <t>Aguelt Mahba 002?</t>
  </si>
  <si>
    <t>Aguelt Mahba 001?</t>
  </si>
  <si>
    <t>Northwest Africa 16760</t>
  </si>
  <si>
    <t>Northwest Africa 16882</t>
  </si>
  <si>
    <t>P 2024</t>
  </si>
  <si>
    <t>62,000
several</t>
  </si>
  <si>
    <t>Regg</t>
  </si>
  <si>
    <t>Reggane 007</t>
  </si>
  <si>
    <t>Northwest Africa 16717</t>
  </si>
  <si>
    <t>21,350
1 piece</t>
  </si>
  <si>
    <t>Northwest Africa 16720</t>
  </si>
  <si>
    <t>feldspathic melt rock</t>
  </si>
  <si>
    <t>9390
1 piece</t>
  </si>
  <si>
    <t>Northwest Africa 16914</t>
  </si>
  <si>
    <t>Northwest Africa 16974</t>
  </si>
  <si>
    <t>Northwest Africa 17021</t>
  </si>
  <si>
    <t>P 2024-06</t>
  </si>
  <si>
    <t>423
3 pieces</t>
  </si>
  <si>
    <t>589
14 pieces</t>
  </si>
  <si>
    <t>14526 (not analyzed)</t>
  </si>
  <si>
    <t>OEH</t>
  </si>
  <si>
    <t>Oued El Hamim 001</t>
  </si>
  <si>
    <t>F 2024</t>
  </si>
  <si>
    <t>Northwest Africa 16315</t>
  </si>
  <si>
    <t>Northwest Africa 16894</t>
  </si>
  <si>
    <t>the list</t>
  </si>
  <si>
    <t>P 2023-04</t>
  </si>
  <si>
    <t>1230
many pieces</t>
  </si>
  <si>
    <t>33,180
4 pieces</t>
  </si>
  <si>
    <t>Northwest Africa 16888</t>
  </si>
  <si>
    <t>50
5 pieces</t>
  </si>
  <si>
    <t>Adrar 014; NWA 16535? 16888?</t>
  </si>
  <si>
    <t>Adrar 013; NWA 16535? 16888?</t>
  </si>
  <si>
    <t>Adrar 013?; NWA 16535?; not analyzed</t>
  </si>
  <si>
    <t>Adrar 013?; NWA 16888?; not analyzed</t>
  </si>
  <si>
    <t>F 2018-11-08</t>
  </si>
  <si>
    <t>2631.53
5 pieces</t>
  </si>
  <si>
    <t>Lamada 020 &amp; pairs; not analyzed</t>
  </si>
  <si>
    <t>Lahmada 051</t>
  </si>
  <si>
    <t>046, 047, 051; not analyzed</t>
  </si>
  <si>
    <t>Northwest Africa 16881</t>
  </si>
  <si>
    <t>P 2024-05</t>
  </si>
  <si>
    <t>anorthositic norite or gabbro breccia</t>
  </si>
  <si>
    <t>Northwest Africa 17060</t>
  </si>
  <si>
    <t>Northwest Africa 17061</t>
  </si>
  <si>
    <t>Northwest Africa 17209</t>
  </si>
  <si>
    <t>Northwest Africa 17217</t>
  </si>
  <si>
    <t>Northeast Africa 075</t>
  </si>
  <si>
    <t>Northwest Africa 17241</t>
  </si>
  <si>
    <t>Northwest Africa 17294</t>
  </si>
  <si>
    <t>Northwest Africa 16718</t>
  </si>
  <si>
    <t>Northwest Africa 17295</t>
  </si>
  <si>
    <t>Northwest Africa 17351</t>
  </si>
  <si>
    <t>P 2024-08</t>
  </si>
  <si>
    <t>14992 &amp; 17021 (not analyzed)</t>
  </si>
  <si>
    <t>TE</t>
  </si>
  <si>
    <t>Tin-Essako 004</t>
  </si>
  <si>
    <t>P 2024-06-25</t>
  </si>
  <si>
    <t>Northwest Africa 17307</t>
  </si>
  <si>
    <t>Northwest Africa 17353</t>
  </si>
  <si>
    <t>P 2024-10</t>
  </si>
  <si>
    <t>Northeast Africa 076</t>
  </si>
  <si>
    <t>Northeast Africa 078</t>
  </si>
  <si>
    <t>Northeast Africa 079</t>
  </si>
  <si>
    <t>Northwest Africa 17270</t>
  </si>
  <si>
    <t>Northwest Africa 17271</t>
  </si>
  <si>
    <t>Northwest Africa 17276</t>
  </si>
  <si>
    <t>Northwest Africa 17352</t>
  </si>
  <si>
    <t>Northwest Africa 17502</t>
  </si>
  <si>
    <t>14526? not analyzed</t>
  </si>
  <si>
    <t>14681?, not analyzed</t>
  </si>
  <si>
    <t>16294? Touat 008?, not analyzed</t>
  </si>
  <si>
    <t>17353?, 17502?, not analyzed</t>
  </si>
  <si>
    <t>17352?, 17502?, not analyzed</t>
  </si>
  <si>
    <t>17352?, 17353?, not analyzed</t>
  </si>
  <si>
    <t>Tisserlitine 005</t>
  </si>
  <si>
    <t>Tisserlitine 006</t>
  </si>
  <si>
    <t>005, 006, not analyzed</t>
  </si>
  <si>
    <t>003 clan, not analyzed</t>
  </si>
  <si>
    <t>005; (not analyzed)</t>
  </si>
  <si>
    <t>Hassi el Biod 006</t>
  </si>
  <si>
    <t>Northwest Africa 17405</t>
  </si>
  <si>
    <t>Northwest Africa 17355</t>
  </si>
  <si>
    <t>Aridal 022</t>
  </si>
  <si>
    <t>Northwest Africa 17586</t>
  </si>
  <si>
    <t>Northwest Africa 17587</t>
  </si>
  <si>
    <t>146
2 pieces</t>
  </si>
  <si>
    <t>17587, not analyzed</t>
  </si>
  <si>
    <t>17586, not analyzed</t>
  </si>
  <si>
    <t>Gadamis 008</t>
  </si>
  <si>
    <t>Hassi Zerara 004</t>
  </si>
  <si>
    <t>Northwest Africa 17471</t>
  </si>
  <si>
    <t>Northwest Africa 17581</t>
  </si>
  <si>
    <t>P 2024-12</t>
  </si>
  <si>
    <t>69.9
3 pieces</t>
  </si>
  <si>
    <t>Ajdabiya 007</t>
  </si>
  <si>
    <t>Araouane 001</t>
  </si>
  <si>
    <t>Arao</t>
  </si>
  <si>
    <t>Northwest Africa 17679</t>
  </si>
  <si>
    <t>P 2025</t>
  </si>
  <si>
    <t>Gue</t>
  </si>
  <si>
    <t>Timé</t>
  </si>
  <si>
    <t>Al Qaryah al Sharqiyah 002</t>
  </si>
  <si>
    <t>AQS 001</t>
  </si>
  <si>
    <t>AQS 002</t>
  </si>
  <si>
    <t>F 2025</t>
  </si>
  <si>
    <t>Guemar 002</t>
  </si>
  <si>
    <t>F 2023-02-10</t>
  </si>
  <si>
    <t>195.61
4 pieces</t>
  </si>
  <si>
    <t>Northwest Africa 17716</t>
  </si>
  <si>
    <t>Northwest Africa 17721</t>
  </si>
  <si>
    <t>Northwest Africa 17747</t>
  </si>
  <si>
    <t>650
8 pieces</t>
  </si>
  <si>
    <t>P 2024-02</t>
  </si>
  <si>
    <t>2428
2 pieces</t>
  </si>
  <si>
    <t>Ouargla 007</t>
  </si>
  <si>
    <t>F 2021-01-07</t>
  </si>
  <si>
    <t>Ouargla 002</t>
  </si>
  <si>
    <t>Timétrine 001</t>
  </si>
  <si>
    <t>Touat 011</t>
  </si>
  <si>
    <t>NWA 16784? Rafsa 002?</t>
  </si>
  <si>
    <t>Northwest Africa 17859</t>
  </si>
  <si>
    <t>Northwest Africa 17869</t>
  </si>
  <si>
    <t>P 2025-06</t>
  </si>
  <si>
    <t>29.6
3 pieces</t>
  </si>
  <si>
    <t>Ash</t>
  </si>
  <si>
    <t>Ash Shaqqahl 002</t>
  </si>
  <si>
    <t>F 2024-10-02</t>
  </si>
  <si>
    <t>329000
many</t>
  </si>
  <si>
    <t>NEA 104? (not analyzed)</t>
  </si>
  <si>
    <t>Northeast Africa 104</t>
  </si>
  <si>
    <t>20000
several</t>
  </si>
  <si>
    <t>Northwest Africa 17302</t>
  </si>
  <si>
    <t>Northwest Africa 17313</t>
  </si>
  <si>
    <t>Northwest Africa 17497</t>
  </si>
  <si>
    <t>976
2 pieces</t>
  </si>
  <si>
    <t>150.45
many</t>
  </si>
  <si>
    <t>Northwest Africa 17687</t>
  </si>
  <si>
    <t>Northwest Africa 17688</t>
  </si>
  <si>
    <t>Northwest Africa 17689</t>
  </si>
  <si>
    <t>1200
several</t>
  </si>
  <si>
    <t>1300
several</t>
  </si>
  <si>
    <t>Ash Shaqqah 002? (not analyzed)</t>
  </si>
  <si>
    <t>ElA</t>
  </si>
  <si>
    <t>El Atchane 024</t>
  </si>
  <si>
    <t>Adrar 017</t>
  </si>
  <si>
    <t>P 2025-04</t>
  </si>
  <si>
    <t>Northwest Africa 17651</t>
  </si>
  <si>
    <t>Northwest Africa 17680</t>
  </si>
  <si>
    <t>Northwest Africa 17700</t>
  </si>
  <si>
    <t>Northwest Africa 17706</t>
  </si>
  <si>
    <t>Northwest Africa 17826</t>
  </si>
  <si>
    <t>Northwest Africa 17861</t>
  </si>
  <si>
    <t>Northwest Africa 17865</t>
  </si>
  <si>
    <t>2116
many</t>
  </si>
  <si>
    <t>327.9
8 pieces</t>
  </si>
  <si>
    <t>F 2025-05</t>
  </si>
  <si>
    <t>435
2 pieces</t>
  </si>
  <si>
    <t>P 2025-05</t>
  </si>
  <si>
    <t>170
many</t>
  </si>
  <si>
    <t>I have chemically analyzed samples of all of the "unnamed" NWA stones below and know them to be of lunar origin.</t>
  </si>
  <si>
    <t>10,200
2 pieces</t>
  </si>
  <si>
    <t>F 2024-12</t>
  </si>
  <si>
    <t>NWA 4734?</t>
  </si>
  <si>
    <t>NWA 032/479, NWA 8632?, NWA 12008?, NWA 16460?, LAP basalts</t>
  </si>
  <si>
    <t>Ouargla 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</si>
</sst>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44" formatCode="_(&quot;$&quot;* #,##0.00_);_(&quot;$&quot;* \(#,##0.00\);_(&quot;$&quot;* &quot;-&quot;??_);_(@_)"/>
    <numFmt numFmtId="164" formatCode="[$-409]mmmm\ d\,\ yyyy;@"/>
    <numFmt numFmtId="165" formatCode="0.000"/>
    <numFmt numFmtId="166" formatCode="0.0"/>
    <numFmt numFmtId="167" formatCode="0.0000"/>
    <numFmt numFmtId="168" formatCode="0.0%"/>
    <numFmt numFmtId="169" formatCode="0.000%"/>
  </numFmts>
  <fonts count="96" x14ac:knownFonts="1">
    <font>
      <sz val="11"/>
      <color theme="1"/>
      <name val="Calibri"/>
      <family val="2"/>
    </font>
    <font>
      <sz val="10"/>
      <color theme="1"/>
      <name val="Lucida Sans Unicode"/>
      <family val="2"/>
    </font>
    <font>
      <sz val="10"/>
      <color theme="1"/>
      <name val="Lucida Sans Unicode"/>
      <family val="2"/>
    </font>
    <font>
      <sz val="11"/>
      <color theme="1"/>
      <name val="Calibri"/>
      <family val="2"/>
    </font>
    <font>
      <b/>
      <sz val="18"/>
      <color theme="3"/>
      <name val="Cambria"/>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u/>
      <sz val="11"/>
      <color theme="10"/>
      <name val="Calibri"/>
      <family val="2"/>
    </font>
    <font>
      <sz val="9"/>
      <color rgb="FF000000"/>
      <name val="Lucida Sans Unicode"/>
      <family val="2"/>
    </font>
    <font>
      <sz val="11"/>
      <color rgb="FF000000"/>
      <name val="Lucida Sans Unicode"/>
      <family val="2"/>
    </font>
    <font>
      <i/>
      <sz val="11"/>
      <color rgb="FF000000"/>
      <name val="Lucida Sans Unicode"/>
      <family val="2"/>
    </font>
    <font>
      <u/>
      <sz val="11"/>
      <color rgb="FF0000FF"/>
      <name val="Lucida Sans Unicode"/>
      <family val="2"/>
    </font>
    <font>
      <sz val="15"/>
      <color rgb="FF000000"/>
      <name val="Lucida Sans Unicode"/>
      <family val="2"/>
    </font>
    <font>
      <u/>
      <sz val="14"/>
      <color rgb="FF0000FF"/>
      <name val="Lucida Sans Unicode"/>
      <family val="2"/>
    </font>
    <font>
      <sz val="11"/>
      <color theme="1"/>
      <name val="Lucida Sans Unicode"/>
      <family val="2"/>
    </font>
    <font>
      <b/>
      <sz val="15"/>
      <color rgb="FF000099"/>
      <name val="Lucida Sans Unicode"/>
      <family val="2"/>
    </font>
    <font>
      <b/>
      <sz val="11"/>
      <color theme="1"/>
      <name val="Lucida Sans Unicode"/>
      <family val="2"/>
    </font>
    <font>
      <b/>
      <sz val="15"/>
      <color theme="0"/>
      <name val="Lucida Sans Unicode"/>
      <family val="2"/>
    </font>
    <font>
      <u/>
      <sz val="10"/>
      <color theme="10"/>
      <name val="Lucida Sans Unicode"/>
      <family val="2"/>
    </font>
    <font>
      <i/>
      <sz val="10"/>
      <color theme="1"/>
      <name val="Lucida Sans Unicode"/>
      <family val="2"/>
    </font>
    <font>
      <b/>
      <sz val="10"/>
      <color theme="1"/>
      <name val="Lucida Sans Unicode"/>
      <family val="2"/>
    </font>
    <font>
      <b/>
      <sz val="10"/>
      <color rgb="FF17375D"/>
      <name val="Lucida Sans Unicode"/>
      <family val="2"/>
    </font>
    <font>
      <sz val="10"/>
      <color rgb="FF000000"/>
      <name val="Lucida Sans Unicode"/>
      <family val="2"/>
    </font>
    <font>
      <u/>
      <sz val="12"/>
      <color theme="10"/>
      <name val="Lucida Sans Unicode"/>
      <family val="2"/>
    </font>
    <font>
      <sz val="11"/>
      <color rgb="FF000000"/>
      <name val="Calibri"/>
      <family val="2"/>
    </font>
    <font>
      <u/>
      <sz val="11"/>
      <color rgb="FF0000FF"/>
      <name val="Calibri"/>
      <family val="2"/>
    </font>
    <font>
      <u/>
      <sz val="11"/>
      <color rgb="FF800080"/>
      <name val="Calibri"/>
      <family val="2"/>
    </font>
    <font>
      <sz val="9"/>
      <color rgb="FFA50021"/>
      <name val="Lucida Sans Unicode"/>
      <family val="2"/>
    </font>
    <font>
      <b/>
      <sz val="28"/>
      <color rgb="FFA50021"/>
      <name val="Georgia"/>
      <family val="1"/>
    </font>
    <font>
      <sz val="11"/>
      <color rgb="FFA50021"/>
      <name val="Lucida Sans Unicode"/>
      <family val="2"/>
    </font>
    <font>
      <u/>
      <sz val="11"/>
      <color theme="10"/>
      <name val="Lucida Sans Unicode"/>
      <family val="2"/>
    </font>
    <font>
      <b/>
      <sz val="14"/>
      <name val="Lucida Sans Unicode"/>
      <family val="2"/>
    </font>
    <font>
      <u/>
      <sz val="11"/>
      <color rgb="FF3333FF"/>
      <name val="Lucida Sans Unicode"/>
      <family val="2"/>
    </font>
    <font>
      <sz val="10"/>
      <name val="Arial Narrow"/>
      <family val="2"/>
    </font>
    <font>
      <sz val="12"/>
      <name val="Arial"/>
      <family val="2"/>
    </font>
    <font>
      <sz val="12"/>
      <name val="Arial Rounded MT Bold"/>
      <family val="2"/>
    </font>
    <font>
      <sz val="12"/>
      <color indexed="13"/>
      <name val="Arial Black"/>
      <family val="2"/>
    </font>
    <font>
      <b/>
      <sz val="10"/>
      <name val="Arial"/>
      <family val="2"/>
    </font>
    <font>
      <u/>
      <sz val="10"/>
      <color indexed="12"/>
      <name val="Arial Narrow"/>
      <family val="2"/>
    </font>
    <font>
      <sz val="10"/>
      <name val="Arial"/>
      <family val="2"/>
    </font>
    <font>
      <sz val="10"/>
      <color indexed="13"/>
      <name val="Arial Black"/>
      <family val="2"/>
    </font>
    <font>
      <sz val="11"/>
      <color indexed="8"/>
      <name val="Calibri"/>
      <family val="2"/>
    </font>
    <font>
      <sz val="11"/>
      <color indexed="9"/>
      <name val="Calibri"/>
      <family val="2"/>
    </font>
    <font>
      <sz val="11"/>
      <color indexed="24"/>
      <name val="Calibri"/>
      <family val="2"/>
    </font>
    <font>
      <b/>
      <sz val="11"/>
      <color indexed="25"/>
      <name val="Calibri"/>
      <family val="2"/>
    </font>
    <font>
      <b/>
      <sz val="11"/>
      <color indexed="9"/>
      <name val="Calibri"/>
      <family val="2"/>
    </font>
    <font>
      <i/>
      <sz val="11"/>
      <color indexed="55"/>
      <name val="Calibri"/>
      <family val="2"/>
    </font>
    <font>
      <sz val="11"/>
      <color indexed="34"/>
      <name val="Calibri"/>
      <family val="2"/>
    </font>
    <font>
      <b/>
      <sz val="15"/>
      <color indexed="33"/>
      <name val="Calibri"/>
      <family val="2"/>
    </font>
    <font>
      <b/>
      <sz val="13"/>
      <color indexed="33"/>
      <name val="Calibri"/>
      <family val="2"/>
    </font>
    <font>
      <b/>
      <sz val="11"/>
      <color indexed="33"/>
      <name val="Calibri"/>
      <family val="2"/>
    </font>
    <font>
      <sz val="11"/>
      <color indexed="63"/>
      <name val="Calibri"/>
      <family val="2"/>
    </font>
    <font>
      <sz val="11"/>
      <color indexed="25"/>
      <name val="Calibri"/>
      <family val="2"/>
    </font>
    <font>
      <sz val="11"/>
      <color indexed="37"/>
      <name val="Calibri"/>
      <family val="2"/>
    </font>
    <font>
      <b/>
      <sz val="11"/>
      <color indexed="63"/>
      <name val="Calibri"/>
      <family val="2"/>
    </font>
    <font>
      <b/>
      <sz val="18"/>
      <color indexed="33"/>
      <name val="Cambria"/>
      <family val="2"/>
    </font>
    <font>
      <b/>
      <sz val="11"/>
      <color indexed="8"/>
      <name val="Calibri"/>
      <family val="2"/>
    </font>
    <font>
      <sz val="11"/>
      <color indexed="10"/>
      <name val="Calibri"/>
      <family val="2"/>
    </font>
    <font>
      <sz val="8"/>
      <name val="Arial"/>
      <family val="2"/>
    </font>
    <font>
      <sz val="11"/>
      <color theme="1"/>
      <name val="Calibri"/>
      <family val="2"/>
      <scheme val="minor"/>
    </font>
    <font>
      <sz val="10"/>
      <name val="Courier New"/>
      <family val="3"/>
    </font>
    <font>
      <b/>
      <sz val="10"/>
      <color indexed="13"/>
      <name val="Arial"/>
      <family val="2"/>
    </font>
    <font>
      <sz val="10"/>
      <color indexed="18"/>
      <name val="Arial"/>
      <family val="2"/>
    </font>
    <font>
      <b/>
      <sz val="10"/>
      <color indexed="25"/>
      <name val="Arial"/>
      <family val="2"/>
    </font>
    <font>
      <i/>
      <u/>
      <sz val="10"/>
      <color theme="10"/>
      <name val="Lucida Sans Unicode"/>
      <family val="2"/>
    </font>
    <font>
      <b/>
      <sz val="14"/>
      <color rgb="FFA50021"/>
      <name val="Lucida Sans Unicode"/>
      <family val="2"/>
    </font>
    <font>
      <b/>
      <sz val="28"/>
      <color rgb="FFA50021"/>
      <name val="Lucida Sans Unicode"/>
      <family val="2"/>
    </font>
    <font>
      <b/>
      <sz val="28"/>
      <color theme="0"/>
      <name val="Lucida Sans Unicode"/>
      <family val="2"/>
    </font>
    <font>
      <sz val="10"/>
      <color theme="1"/>
      <name val="Calibri"/>
      <family val="2"/>
    </font>
    <font>
      <sz val="10"/>
      <color theme="1"/>
      <name val="Symbol"/>
      <family val="1"/>
      <charset val="2"/>
    </font>
    <font>
      <sz val="10"/>
      <name val="Lucida Sans Unicode"/>
      <family val="2"/>
    </font>
    <font>
      <sz val="11"/>
      <color theme="10"/>
      <name val="Calibri"/>
      <family val="2"/>
    </font>
    <font>
      <sz val="10"/>
      <color theme="10"/>
      <name val="Lucida Sans Unicode"/>
      <family val="2"/>
    </font>
    <font>
      <i/>
      <sz val="10"/>
      <color theme="10"/>
      <name val="Lucida Sans Unicode"/>
      <family val="2"/>
    </font>
    <font>
      <i/>
      <sz val="10"/>
      <name val="Lucida Sans Unicode"/>
      <family val="2"/>
    </font>
    <font>
      <b/>
      <sz val="10"/>
      <name val="Lucida Sans Unicode"/>
      <family val="2"/>
    </font>
    <font>
      <sz val="10"/>
      <name val="Calibri"/>
      <family val="2"/>
      <scheme val="minor"/>
    </font>
    <font>
      <sz val="11"/>
      <color rgb="FF0000FF"/>
      <name val="Lucida Sans Unicode"/>
      <family val="2"/>
    </font>
    <font>
      <b/>
      <sz val="10"/>
      <color theme="1"/>
      <name val="Calibri"/>
      <family val="2"/>
    </font>
    <font>
      <b/>
      <sz val="10"/>
      <color theme="1"/>
      <name val="Calibri"/>
      <family val="2"/>
      <scheme val="minor"/>
    </font>
    <font>
      <sz val="10"/>
      <color theme="1"/>
      <name val="Calibri"/>
      <family val="2"/>
      <scheme val="minor"/>
    </font>
    <font>
      <sz val="10"/>
      <color rgb="FF000000"/>
      <name val="Calibri"/>
      <family val="2"/>
      <scheme val="minor"/>
    </font>
    <font>
      <b/>
      <sz val="10"/>
      <color theme="0"/>
      <name val="Calibri"/>
      <family val="2"/>
      <scheme val="minor"/>
    </font>
  </fonts>
  <fills count="9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9900"/>
        <bgColor indexed="64"/>
      </patternFill>
    </fill>
    <fill>
      <patternFill patternType="solid">
        <fgColor rgb="FF33CCFF"/>
        <bgColor indexed="64"/>
      </patternFill>
    </fill>
    <fill>
      <patternFill patternType="solid">
        <fgColor rgb="FF62DFFF"/>
        <bgColor indexed="64"/>
      </patternFill>
    </fill>
    <fill>
      <patternFill patternType="solid">
        <fgColor rgb="FF33FF66"/>
        <bgColor indexed="64"/>
      </patternFill>
    </fill>
    <fill>
      <patternFill patternType="solid">
        <fgColor rgb="FFFF6699"/>
        <bgColor indexed="64"/>
      </patternFill>
    </fill>
    <fill>
      <patternFill patternType="solid">
        <fgColor rgb="FF33FFFF"/>
        <bgColor indexed="64"/>
      </patternFill>
    </fill>
    <fill>
      <patternFill patternType="solid">
        <fgColor rgb="FFFF33FF"/>
        <bgColor indexed="64"/>
      </patternFill>
    </fill>
    <fill>
      <patternFill patternType="solid">
        <fgColor rgb="FF33FF99"/>
        <bgColor indexed="64"/>
      </patternFill>
    </fill>
    <fill>
      <patternFill patternType="solid">
        <fgColor rgb="FFC4E1FF"/>
        <bgColor indexed="64"/>
      </patternFill>
    </fill>
    <fill>
      <patternFill patternType="solid">
        <fgColor rgb="FFCC99FF"/>
        <bgColor indexed="64"/>
      </patternFill>
    </fill>
    <fill>
      <patternFill patternType="solid">
        <fgColor rgb="FFFFBE93"/>
        <bgColor indexed="64"/>
      </patternFill>
    </fill>
    <fill>
      <patternFill patternType="solid">
        <fgColor rgb="FFD7D7FF"/>
        <bgColor indexed="64"/>
      </patternFill>
    </fill>
    <fill>
      <patternFill patternType="solid">
        <fgColor rgb="FF88B8FF"/>
        <bgColor indexed="64"/>
      </patternFill>
    </fill>
    <fill>
      <patternFill patternType="solid">
        <fgColor rgb="FFFFC2B4"/>
        <bgColor indexed="64"/>
      </patternFill>
    </fill>
    <fill>
      <patternFill patternType="solid">
        <fgColor rgb="FF00FFFF"/>
        <bgColor indexed="64"/>
      </patternFill>
    </fill>
    <fill>
      <patternFill patternType="solid">
        <fgColor rgb="FFF2F2F2"/>
        <bgColor rgb="FF000000"/>
      </patternFill>
    </fill>
    <fill>
      <patternFill patternType="solid">
        <fgColor theme="0" tint="-4.9989318521683403E-2"/>
        <bgColor indexed="64"/>
      </patternFill>
    </fill>
    <fill>
      <patternFill patternType="solid">
        <fgColor rgb="FFC00000"/>
        <bgColor indexed="64"/>
      </patternFill>
    </fill>
    <fill>
      <patternFill patternType="solid">
        <fgColor theme="0"/>
        <bgColor indexed="64"/>
      </patternFill>
    </fill>
    <fill>
      <patternFill patternType="solid">
        <fgColor rgb="FF17375D"/>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99CC"/>
        <bgColor indexed="64"/>
      </patternFill>
    </fill>
    <fill>
      <patternFill patternType="solid">
        <fgColor rgb="FFFFFFCC"/>
        <bgColor indexed="64"/>
      </patternFill>
    </fill>
    <fill>
      <patternFill patternType="solid">
        <fgColor rgb="FFB7F0FF"/>
        <bgColor indexed="64"/>
      </patternFill>
    </fill>
    <fill>
      <patternFill patternType="solid">
        <fgColor rgb="FFFFCC00"/>
        <bgColor indexed="64"/>
      </patternFill>
    </fill>
    <fill>
      <patternFill patternType="solid">
        <fgColor rgb="FFFFC6AA"/>
        <bgColor indexed="64"/>
      </patternFill>
    </fill>
    <fill>
      <patternFill patternType="solid">
        <fgColor theme="4" tint="0.59999389629810485"/>
        <bgColor indexed="64"/>
      </patternFill>
    </fill>
    <fill>
      <patternFill patternType="solid">
        <fgColor rgb="FF99CCFF"/>
        <bgColor indexed="64"/>
      </patternFill>
    </fill>
    <fill>
      <patternFill patternType="solid">
        <fgColor rgb="FFFFCC66"/>
        <bgColor indexed="64"/>
      </patternFill>
    </fill>
    <fill>
      <patternFill patternType="solid">
        <fgColor theme="0"/>
        <bgColor rgb="FF000000"/>
      </patternFill>
    </fill>
    <fill>
      <patternFill patternType="solid">
        <fgColor rgb="FFFFFF00"/>
        <bgColor indexed="64"/>
      </patternFill>
    </fill>
    <fill>
      <patternFill patternType="solid">
        <fgColor indexed="60"/>
      </patternFill>
    </fill>
    <fill>
      <patternFill patternType="solid">
        <fgColor indexed="43"/>
      </patternFill>
    </fill>
    <fill>
      <patternFill patternType="gray0625">
        <fgColor indexed="10"/>
      </patternFill>
    </fill>
    <fill>
      <patternFill patternType="solid">
        <fgColor indexed="12"/>
        <bgColor indexed="64"/>
      </patternFill>
    </fill>
    <fill>
      <patternFill patternType="solid">
        <fgColor indexed="41"/>
        <bgColor indexed="64"/>
      </patternFill>
    </fill>
    <fill>
      <patternFill patternType="solid">
        <fgColor indexed="11"/>
        <bgColor indexed="64"/>
      </patternFill>
    </fill>
    <fill>
      <patternFill patternType="solid">
        <fgColor indexed="29"/>
        <bgColor indexed="64"/>
      </patternFill>
    </fill>
    <fill>
      <patternFill patternType="solid">
        <fgColor indexed="9"/>
        <bgColor indexed="64"/>
      </patternFill>
    </fill>
    <fill>
      <patternFill patternType="solid">
        <fgColor indexed="43"/>
        <bgColor indexed="64"/>
      </patternFill>
    </fill>
    <fill>
      <patternFill patternType="darkTrellis">
        <fgColor indexed="13"/>
      </patternFill>
    </fill>
    <fill>
      <patternFill patternType="solid">
        <fgColor indexed="54"/>
      </patternFill>
    </fill>
    <fill>
      <patternFill patternType="solid">
        <fgColor indexed="10"/>
      </patternFill>
    </fill>
    <fill>
      <patternFill patternType="solid">
        <fgColor indexed="44"/>
      </patternFill>
    </fill>
    <fill>
      <patternFill patternType="solid">
        <fgColor indexed="18"/>
      </patternFill>
    </fill>
    <fill>
      <patternFill patternType="solid">
        <fgColor indexed="62"/>
      </patternFill>
    </fill>
    <fill>
      <patternFill patternType="solid">
        <fgColor indexed="17"/>
      </patternFill>
    </fill>
    <fill>
      <patternFill patternType="solid">
        <fgColor indexed="45"/>
      </patternFill>
    </fill>
    <fill>
      <patternFill patternType="solid">
        <fgColor indexed="55"/>
      </patternFill>
    </fill>
    <fill>
      <patternFill patternType="solid">
        <fgColor indexed="61"/>
      </patternFill>
    </fill>
    <fill>
      <patternFill patternType="solid">
        <fgColor indexed="15"/>
      </patternFill>
    </fill>
    <fill>
      <patternFill patternType="solid">
        <fgColor indexed="52"/>
      </patternFill>
    </fill>
    <fill>
      <patternFill patternType="gray0625">
        <fgColor indexed="15"/>
      </patternFill>
    </fill>
    <fill>
      <patternFill patternType="solid">
        <fgColor indexed="39"/>
      </patternFill>
    </fill>
    <fill>
      <patternFill patternType="solid">
        <fgColor indexed="21"/>
      </patternFill>
    </fill>
    <fill>
      <patternFill patternType="darkTrellis">
        <fgColor indexed="11"/>
        <bgColor indexed="25"/>
      </patternFill>
    </fill>
    <fill>
      <patternFill patternType="gray0625">
        <fgColor indexed="10"/>
        <bgColor indexed="25"/>
      </patternFill>
    </fill>
    <fill>
      <patternFill patternType="darkTrellis">
        <fgColor indexed="13"/>
        <bgColor indexed="25"/>
      </patternFill>
    </fill>
    <fill>
      <patternFill patternType="solid">
        <fgColor rgb="FF92D05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CCCC"/>
        <bgColor indexed="64"/>
      </patternFill>
    </fill>
    <fill>
      <patternFill patternType="solid">
        <fgColor theme="9" tint="0.39997558519241921"/>
        <bgColor indexed="64"/>
      </patternFill>
    </fill>
    <fill>
      <patternFill patternType="solid">
        <fgColor rgb="FF66CCFF"/>
        <bgColor indexed="64"/>
      </patternFill>
    </fill>
    <fill>
      <patternFill patternType="solid">
        <fgColor rgb="FF66FFCC"/>
        <bgColor indexed="64"/>
      </patternFill>
    </fill>
  </fills>
  <borders count="7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thick">
        <color indexed="44"/>
      </bottom>
      <diagonal/>
    </border>
    <border>
      <left/>
      <right/>
      <top/>
      <bottom style="medium">
        <color indexed="44"/>
      </bottom>
      <diagonal/>
    </border>
    <border>
      <left/>
      <right/>
      <top/>
      <bottom style="double">
        <color indexed="25"/>
      </bottom>
      <diagonal/>
    </border>
    <border>
      <left style="thin">
        <color indexed="39"/>
      </left>
      <right style="thin">
        <color indexed="39"/>
      </right>
      <top style="thin">
        <color indexed="39"/>
      </top>
      <bottom style="thin">
        <color indexed="39"/>
      </bottom>
      <diagonal/>
    </border>
    <border>
      <left style="thin">
        <color indexed="63"/>
      </left>
      <right style="thin">
        <color indexed="63"/>
      </right>
      <top style="thin">
        <color indexed="63"/>
      </top>
      <bottom style="thin">
        <color indexed="63"/>
      </bottom>
      <diagonal/>
    </border>
    <border>
      <left/>
      <right/>
      <top style="thin">
        <color indexed="55"/>
      </top>
      <bottom style="double">
        <color indexed="55"/>
      </bottom>
      <diagonal/>
    </border>
    <border>
      <left/>
      <right/>
      <top style="thick">
        <color indexed="8"/>
      </top>
      <bottom/>
      <diagonal/>
    </border>
    <border>
      <left style="thin">
        <color indexed="8"/>
      </left>
      <right style="thin">
        <color indexed="8"/>
      </right>
      <top style="thin">
        <color indexed="8"/>
      </top>
      <bottom style="thin">
        <color indexed="8"/>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bottom/>
      <diagonal/>
    </border>
    <border>
      <left style="thin">
        <color rgb="FF000000"/>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style="thin">
        <color indexed="64"/>
      </left>
      <right/>
      <top style="thin">
        <color rgb="FF000000"/>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bottom/>
      <diagonal/>
    </border>
    <border>
      <left style="thin">
        <color indexed="64"/>
      </left>
      <right/>
      <top/>
      <bottom/>
      <diagonal/>
    </border>
    <border>
      <left/>
      <right style="thin">
        <color indexed="64"/>
      </right>
      <top/>
      <bottom/>
      <diagonal/>
    </border>
  </borders>
  <cellStyleXfs count="46006">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20" fillId="0" borderId="0" applyNumberFormat="0" applyFill="0" applyBorder="0" applyAlignment="0" applyProtection="0">
      <alignment vertical="top"/>
      <protection locked="0"/>
    </xf>
    <xf numFmtId="0" fontId="37" fillId="0" borderId="0"/>
    <xf numFmtId="0" fontId="38" fillId="0" borderId="0" applyNumberFormat="0" applyFill="0" applyBorder="0" applyAlignment="0" applyProtection="0"/>
    <xf numFmtId="0" fontId="39" fillId="0" borderId="0" applyNumberFormat="0" applyFill="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0" fillId="0" borderId="0" applyNumberFormat="0" applyFill="0" applyBorder="0" applyAlignment="0" applyProtection="0">
      <alignment vertical="top"/>
      <protection locked="0"/>
    </xf>
    <xf numFmtId="9" fontId="3" fillId="0" borderId="0" applyFont="0" applyFill="0" applyBorder="0" applyAlignment="0" applyProtection="0"/>
    <xf numFmtId="0" fontId="46" fillId="0" borderId="0"/>
    <xf numFmtId="0" fontId="48" fillId="0" borderId="0" applyNumberFormat="0" applyFill="0" applyBorder="0" applyAlignment="0" applyProtection="0"/>
    <xf numFmtId="0" fontId="52" fillId="67" borderId="45" applyNumberFormat="0" applyFont="0" applyBorder="0" applyAlignment="0" applyProtection="0"/>
    <xf numFmtId="44" fontId="46" fillId="0" borderId="0" applyFont="0" applyFill="0" applyBorder="0" applyAlignment="0" applyProtection="0"/>
    <xf numFmtId="1" fontId="47" fillId="0" borderId="0" applyFont="0" applyFill="0" applyBorder="0" applyAlignment="0" applyProtection="0"/>
    <xf numFmtId="166"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0" fontId="52" fillId="0" borderId="0" applyFont="0" applyFill="0" applyBorder="0" applyAlignment="0" applyProtection="0">
      <alignment horizontal="right"/>
    </xf>
    <xf numFmtId="0" fontId="49" fillId="68" borderId="0" applyNumberFormat="0" applyBorder="0" applyProtection="0">
      <alignment vertical="center"/>
    </xf>
    <xf numFmtId="0" fontId="51" fillId="0" borderId="0" applyNumberFormat="0" applyFill="0" applyBorder="0" applyAlignment="0" applyProtection="0">
      <alignment vertical="top"/>
      <protection locked="0"/>
    </xf>
    <xf numFmtId="0" fontId="46" fillId="69" borderId="0" applyNumberFormat="0" applyFont="0" applyBorder="0" applyAlignment="0" applyProtection="0">
      <alignment vertical="center"/>
    </xf>
    <xf numFmtId="10" fontId="46"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0" fontId="48" fillId="71" borderId="0" applyNumberFormat="0" applyFont="0" applyBorder="0" applyAlignment="0" applyProtection="0"/>
    <xf numFmtId="0" fontId="46" fillId="72" borderId="0" applyNumberFormat="0" applyFont="0" applyBorder="0" applyAlignment="0" applyProtection="0">
      <alignment vertical="center"/>
    </xf>
    <xf numFmtId="0" fontId="48" fillId="73" borderId="0" applyNumberFormat="0" applyFont="0" applyBorder="0" applyAlignment="0" applyProtection="0"/>
    <xf numFmtId="0" fontId="50" fillId="67" borderId="24" applyNumberFormat="0" applyFont="0" applyBorder="0" applyAlignment="0" applyProtection="0">
      <alignment horizontal="right"/>
    </xf>
    <xf numFmtId="0" fontId="52" fillId="74" borderId="0" applyNumberFormat="0" applyFont="0" applyBorder="0" applyAlignment="0" applyProtection="0">
      <alignment horizontal="right"/>
    </xf>
    <xf numFmtId="0" fontId="50" fillId="0" borderId="0" applyNumberFormat="0" applyFont="0" applyBorder="0" applyAlignment="0" applyProtection="0">
      <alignment horizontal="right"/>
    </xf>
    <xf numFmtId="0" fontId="50" fillId="0" borderId="0" applyNumberFormat="0" applyFont="0" applyBorder="0" applyAlignment="0" applyProtection="0"/>
    <xf numFmtId="0" fontId="46" fillId="0" borderId="0">
      <alignment vertical="center"/>
    </xf>
    <xf numFmtId="0" fontId="46" fillId="0" borderId="0">
      <alignment vertical="center"/>
    </xf>
    <xf numFmtId="0" fontId="52" fillId="67" borderId="45" applyNumberFormat="0" applyFont="0" applyBorder="0" applyAlignment="0" applyProtection="0"/>
    <xf numFmtId="1" fontId="47" fillId="0" borderId="0" applyFont="0" applyFill="0" applyBorder="0" applyAlignment="0" applyProtection="0"/>
    <xf numFmtId="166"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0" fontId="53" fillId="68" borderId="0" applyNumberFormat="0" applyBorder="0" applyProtection="0">
      <alignment vertical="center"/>
    </xf>
    <xf numFmtId="10" fontId="46"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0" fontId="46" fillId="0" borderId="0">
      <alignment vertical="center"/>
    </xf>
    <xf numFmtId="0" fontId="46" fillId="0" borderId="0">
      <alignment vertical="center"/>
    </xf>
    <xf numFmtId="0" fontId="52" fillId="67" borderId="45" applyNumberFormat="0" applyFont="0" applyBorder="0" applyAlignment="0" applyProtection="0"/>
    <xf numFmtId="0" fontId="46" fillId="0" borderId="0">
      <alignment vertical="center"/>
    </xf>
    <xf numFmtId="0" fontId="46" fillId="0" borderId="0">
      <alignment vertical="center"/>
    </xf>
    <xf numFmtId="0" fontId="46" fillId="0" borderId="0">
      <alignment vertical="center"/>
    </xf>
    <xf numFmtId="0" fontId="3" fillId="0" borderId="0"/>
    <xf numFmtId="0" fontId="46" fillId="0" borderId="0">
      <alignment vertical="center"/>
    </xf>
    <xf numFmtId="0" fontId="46" fillId="0" borderId="0">
      <alignment vertical="center"/>
    </xf>
    <xf numFmtId="0" fontId="54" fillId="77" borderId="0" applyNumberFormat="0" applyBorder="0" applyAlignment="0" applyProtection="0"/>
    <xf numFmtId="0" fontId="54" fillId="78" borderId="0" applyNumberFormat="0" applyBorder="0" applyAlignment="0" applyProtection="0"/>
    <xf numFmtId="0" fontId="54" fillId="79" borderId="0" applyNumberFormat="0" applyBorder="0" applyAlignment="0" applyProtection="0"/>
    <xf numFmtId="0" fontId="54" fillId="80"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9" borderId="0" applyNumberFormat="0" applyBorder="0" applyAlignment="0" applyProtection="0"/>
    <xf numFmtId="0" fontId="54" fillId="79" borderId="0" applyNumberFormat="0" applyBorder="0" applyAlignment="0" applyProtection="0"/>
    <xf numFmtId="0" fontId="54" fillId="81" borderId="0" applyNumberFormat="0" applyBorder="0" applyAlignment="0" applyProtection="0"/>
    <xf numFmtId="0" fontId="54" fillId="77" borderId="0" applyNumberFormat="0" applyBorder="0" applyAlignment="0" applyProtection="0"/>
    <xf numFmtId="0" fontId="54" fillId="66"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79" borderId="0" applyNumberFormat="0" applyBorder="0" applyAlignment="0" applyProtection="0"/>
    <xf numFmtId="0" fontId="55" fillId="81"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82" borderId="0" applyNumberFormat="0" applyBorder="0" applyAlignment="0" applyProtection="0"/>
    <xf numFmtId="0" fontId="55" fillId="76" borderId="0" applyNumberFormat="0" applyBorder="0" applyAlignment="0" applyProtection="0"/>
    <xf numFmtId="0" fontId="55" fillId="79" borderId="0" applyNumberFormat="0" applyBorder="0" applyAlignment="0" applyProtection="0"/>
    <xf numFmtId="0" fontId="55" fillId="83" borderId="0" applyNumberFormat="0" applyBorder="0" applyAlignment="0" applyProtection="0"/>
    <xf numFmtId="0" fontId="55" fillId="84" borderId="0" applyNumberFormat="0" applyBorder="0" applyAlignment="0" applyProtection="0"/>
    <xf numFmtId="0" fontId="55" fillId="85" borderId="0" applyNumberFormat="0" applyBorder="0" applyAlignment="0" applyProtection="0"/>
    <xf numFmtId="0" fontId="56" fillId="75" borderId="0" applyNumberFormat="0" applyBorder="0" applyAlignment="0" applyProtection="0"/>
    <xf numFmtId="0" fontId="57" fillId="80" borderId="46" applyNumberFormat="0" applyAlignment="0" applyProtection="0"/>
    <xf numFmtId="0" fontId="71" fillId="86" borderId="45" applyNumberFormat="0" applyFont="0" applyBorder="0" applyAlignment="0" applyProtection="0"/>
    <xf numFmtId="0" fontId="58" fillId="87" borderId="47" applyNumberFormat="0" applyAlignment="0" applyProtection="0"/>
    <xf numFmtId="0" fontId="59" fillId="0" borderId="0" applyNumberFormat="0" applyFill="0" applyBorder="0" applyAlignment="0" applyProtection="0"/>
    <xf numFmtId="0" fontId="60" fillId="79" borderId="0" applyNumberFormat="0" applyBorder="0" applyAlignment="0" applyProtection="0"/>
    <xf numFmtId="0" fontId="61" fillId="0" borderId="48" applyNumberFormat="0" applyFill="0" applyAlignment="0" applyProtection="0"/>
    <xf numFmtId="0" fontId="62" fillId="0" borderId="49" applyNumberFormat="0" applyFill="0" applyAlignment="0" applyProtection="0"/>
    <xf numFmtId="0" fontId="63" fillId="0" borderId="50" applyNumberFormat="0" applyFill="0" applyAlignment="0" applyProtection="0"/>
    <xf numFmtId="0" fontId="63" fillId="0" borderId="0" applyNumberFormat="0" applyFill="0" applyBorder="0" applyAlignment="0" applyProtection="0"/>
    <xf numFmtId="0" fontId="64" fillId="66" borderId="46" applyNumberFormat="0" applyAlignment="0" applyProtection="0"/>
    <xf numFmtId="0" fontId="65" fillId="0" borderId="51" applyNumberFormat="0" applyFill="0" applyAlignment="0" applyProtection="0"/>
    <xf numFmtId="0" fontId="66" fillId="66" borderId="0" applyNumberFormat="0" applyBorder="0" applyAlignment="0" applyProtection="0"/>
    <xf numFmtId="0" fontId="46" fillId="88" borderId="52" applyNumberFormat="0" applyFont="0" applyAlignment="0" applyProtection="0"/>
    <xf numFmtId="0" fontId="67" fillId="80" borderId="53" applyNumberFormat="0" applyAlignment="0" applyProtection="0"/>
    <xf numFmtId="0" fontId="68" fillId="0" borderId="0" applyNumberFormat="0" applyFill="0" applyBorder="0" applyAlignment="0" applyProtection="0"/>
    <xf numFmtId="0" fontId="69" fillId="0" borderId="54" applyNumberFormat="0" applyFill="0" applyAlignment="0" applyProtection="0"/>
    <xf numFmtId="0" fontId="70" fillId="0" borderId="0" applyNumberFormat="0" applyFill="0" applyBorder="0" applyAlignment="0" applyProtection="0"/>
    <xf numFmtId="0" fontId="46" fillId="0" borderId="0">
      <alignment vertical="center"/>
    </xf>
    <xf numFmtId="0" fontId="54" fillId="79" borderId="0" applyNumberFormat="0" applyBorder="0" applyAlignment="0" applyProtection="0"/>
    <xf numFmtId="0" fontId="54" fillId="80" borderId="0" applyNumberFormat="0" applyBorder="0" applyAlignment="0" applyProtection="0"/>
    <xf numFmtId="0" fontId="54" fillId="66" borderId="0" applyNumberFormat="0" applyBorder="0" applyAlignment="0" applyProtection="0"/>
    <xf numFmtId="0" fontId="54" fillId="77" borderId="0" applyNumberFormat="0" applyBorder="0" applyAlignment="0" applyProtection="0"/>
    <xf numFmtId="0" fontId="54" fillId="81" borderId="0" applyNumberFormat="0" applyBorder="0" applyAlignment="0" applyProtection="0"/>
    <xf numFmtId="0" fontId="54" fillId="79"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9"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79" borderId="0" applyNumberFormat="0" applyBorder="0" applyAlignment="0" applyProtection="0"/>
    <xf numFmtId="0" fontId="55" fillId="81"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82" borderId="0" applyNumberFormat="0" applyBorder="0" applyAlignment="0" applyProtection="0"/>
    <xf numFmtId="0" fontId="55" fillId="76" borderId="0" applyNumberFormat="0" applyBorder="0" applyAlignment="0" applyProtection="0"/>
    <xf numFmtId="0" fontId="55" fillId="79" borderId="0" applyNumberFormat="0" applyBorder="0" applyAlignment="0" applyProtection="0"/>
    <xf numFmtId="0" fontId="55" fillId="83" borderId="0" applyNumberFormat="0" applyBorder="0" applyAlignment="0" applyProtection="0"/>
    <xf numFmtId="0" fontId="55" fillId="84" borderId="0" applyNumberFormat="0" applyBorder="0" applyAlignment="0" applyProtection="0"/>
    <xf numFmtId="0" fontId="55" fillId="85" borderId="0" applyNumberFormat="0" applyBorder="0" applyAlignment="0" applyProtection="0"/>
    <xf numFmtId="0" fontId="56" fillId="75" borderId="0" applyNumberFormat="0" applyBorder="0" applyAlignment="0" applyProtection="0"/>
    <xf numFmtId="0" fontId="57" fillId="80" borderId="46" applyNumberFormat="0" applyAlignment="0" applyProtection="0"/>
    <xf numFmtId="0" fontId="58" fillId="87" borderId="47" applyNumberFormat="0" applyAlignment="0" applyProtection="0"/>
    <xf numFmtId="0" fontId="59" fillId="0" borderId="0" applyNumberFormat="0" applyFill="0" applyBorder="0" applyAlignment="0" applyProtection="0"/>
    <xf numFmtId="0" fontId="60" fillId="79" borderId="0" applyNumberFormat="0" applyBorder="0" applyAlignment="0" applyProtection="0"/>
    <xf numFmtId="0" fontId="61" fillId="0" borderId="48" applyNumberFormat="0" applyFill="0" applyAlignment="0" applyProtection="0"/>
    <xf numFmtId="0" fontId="62" fillId="0" borderId="49" applyNumberFormat="0" applyFill="0" applyAlignment="0" applyProtection="0"/>
    <xf numFmtId="0" fontId="63" fillId="0" borderId="50" applyNumberFormat="0" applyFill="0" applyAlignment="0" applyProtection="0"/>
    <xf numFmtId="0" fontId="63" fillId="0" borderId="0" applyNumberFormat="0" applyFill="0" applyBorder="0" applyAlignment="0" applyProtection="0"/>
    <xf numFmtId="0" fontId="64" fillId="66" borderId="46" applyNumberFormat="0" applyAlignment="0" applyProtection="0"/>
    <xf numFmtId="0" fontId="65" fillId="0" borderId="51" applyNumberFormat="0" applyFill="0" applyAlignment="0" applyProtection="0"/>
    <xf numFmtId="0" fontId="66" fillId="66" borderId="0" applyNumberFormat="0" applyBorder="0" applyAlignment="0" applyProtection="0"/>
    <xf numFmtId="0" fontId="46" fillId="88" borderId="52" applyNumberFormat="0" applyFont="0" applyAlignment="0" applyProtection="0"/>
    <xf numFmtId="0" fontId="67" fillId="80" borderId="53" applyNumberFormat="0" applyAlignment="0" applyProtection="0"/>
    <xf numFmtId="10" fontId="46" fillId="0" borderId="0" applyFont="0" applyFill="0" applyBorder="0" applyAlignment="0" applyProtection="0"/>
    <xf numFmtId="0" fontId="68" fillId="0" borderId="0" applyNumberFormat="0" applyFill="0" applyBorder="0" applyAlignment="0" applyProtection="0"/>
    <xf numFmtId="0" fontId="69" fillId="0" borderId="54" applyNumberFormat="0" applyFill="0" applyAlignment="0" applyProtection="0"/>
    <xf numFmtId="0" fontId="70" fillId="0" borderId="0" applyNumberFormat="0" applyFill="0" applyBorder="0" applyAlignment="0" applyProtection="0"/>
    <xf numFmtId="0" fontId="3"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52" fillId="74" borderId="0" applyNumberFormat="0" applyFont="0" applyBorder="0" applyAlignment="0" applyProtection="0">
      <alignment horizontal="right"/>
    </xf>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46" fillId="0" borderId="0"/>
    <xf numFmtId="44" fontId="46" fillId="0" borderId="0" applyFont="0" applyFill="0" applyBorder="0" applyAlignment="0" applyProtection="0"/>
    <xf numFmtId="0" fontId="52" fillId="0" borderId="0" applyFont="0" applyFill="0" applyBorder="0" applyAlignment="0" applyProtection="0">
      <alignment horizontal="right"/>
    </xf>
    <xf numFmtId="0" fontId="49" fillId="68" borderId="0" applyNumberFormat="0" applyBorder="0" applyProtection="0">
      <alignment vertical="center"/>
    </xf>
    <xf numFmtId="0" fontId="46" fillId="0" borderId="0">
      <alignment vertical="center"/>
    </xf>
    <xf numFmtId="0" fontId="52" fillId="67" borderId="45" applyNumberFormat="0" applyFont="0" applyBorder="0" applyAlignment="0" applyProtection="0"/>
    <xf numFmtId="1" fontId="47" fillId="0" borderId="0" applyFont="0" applyFill="0" applyBorder="0" applyAlignment="0" applyProtection="0"/>
    <xf numFmtId="166"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5" fillId="0" borderId="1" applyNumberFormat="0" applyFill="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7" fillId="0" borderId="3" applyNumberFormat="0" applyFill="0" applyAlignment="0" applyProtection="0"/>
    <xf numFmtId="0" fontId="3" fillId="0" borderId="0"/>
    <xf numFmtId="0" fontId="3" fillId="8" borderId="8" applyNumberFormat="0" applyFont="0" applyAlignment="0" applyProtection="0"/>
    <xf numFmtId="0" fontId="19" fillId="32" borderId="0" applyNumberFormat="0" applyBorder="0" applyAlignment="0" applyProtection="0"/>
    <xf numFmtId="0" fontId="3" fillId="31" borderId="0" applyNumberFormat="0" applyBorder="0" applyAlignment="0" applyProtection="0"/>
    <xf numFmtId="0" fontId="11" fillId="5" borderId="4" applyNumberFormat="0" applyAlignment="0" applyProtection="0"/>
    <xf numFmtId="0" fontId="19" fillId="16" borderId="0" applyNumberFormat="0" applyBorder="0" applyAlignment="0" applyProtection="0"/>
    <xf numFmtId="0" fontId="9" fillId="3" borderId="0" applyNumberFormat="0" applyBorder="0" applyAlignment="0" applyProtection="0"/>
    <xf numFmtId="0" fontId="3" fillId="30"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9" borderId="0" applyNumberFormat="0" applyBorder="0" applyAlignment="0" applyProtection="0"/>
    <xf numFmtId="0" fontId="54" fillId="80"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9" borderId="0" applyNumberFormat="0" applyBorder="0" applyAlignment="0" applyProtection="0"/>
    <xf numFmtId="0" fontId="54" fillId="79" borderId="0" applyNumberFormat="0" applyBorder="0" applyAlignment="0" applyProtection="0"/>
    <xf numFmtId="0" fontId="54" fillId="81" borderId="0" applyNumberFormat="0" applyBorder="0" applyAlignment="0" applyProtection="0"/>
    <xf numFmtId="0" fontId="54" fillId="77" borderId="0" applyNumberFormat="0" applyBorder="0" applyAlignment="0" applyProtection="0"/>
    <xf numFmtId="0" fontId="54" fillId="66"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79" borderId="0" applyNumberFormat="0" applyBorder="0" applyAlignment="0" applyProtection="0"/>
    <xf numFmtId="0" fontId="55" fillId="81"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82" borderId="0" applyNumberFormat="0" applyBorder="0" applyAlignment="0" applyProtection="0"/>
    <xf numFmtId="0" fontId="55" fillId="76" borderId="0" applyNumberFormat="0" applyBorder="0" applyAlignment="0" applyProtection="0"/>
    <xf numFmtId="0" fontId="55" fillId="79" borderId="0" applyNumberFormat="0" applyBorder="0" applyAlignment="0" applyProtection="0"/>
    <xf numFmtId="0" fontId="55" fillId="83" borderId="0" applyNumberFormat="0" applyBorder="0" applyAlignment="0" applyProtection="0"/>
    <xf numFmtId="0" fontId="55" fillId="84" borderId="0" applyNumberFormat="0" applyBorder="0" applyAlignment="0" applyProtection="0"/>
    <xf numFmtId="0" fontId="55" fillId="85" borderId="0" applyNumberFormat="0" applyBorder="0" applyAlignment="0" applyProtection="0"/>
    <xf numFmtId="0" fontId="56" fillId="75" borderId="0" applyNumberFormat="0" applyBorder="0" applyAlignment="0" applyProtection="0"/>
    <xf numFmtId="0" fontId="57" fillId="80" borderId="46" applyNumberFormat="0" applyAlignment="0" applyProtection="0"/>
    <xf numFmtId="0" fontId="58" fillId="87" borderId="47" applyNumberFormat="0" applyAlignment="0" applyProtection="0"/>
    <xf numFmtId="0" fontId="59" fillId="0" borderId="0" applyNumberFormat="0" applyFill="0" applyBorder="0" applyAlignment="0" applyProtection="0"/>
    <xf numFmtId="0" fontId="60" fillId="79" borderId="0" applyNumberFormat="0" applyBorder="0" applyAlignment="0" applyProtection="0"/>
    <xf numFmtId="0" fontId="61" fillId="0" borderId="48" applyNumberFormat="0" applyFill="0" applyAlignment="0" applyProtection="0"/>
    <xf numFmtId="0" fontId="62" fillId="0" borderId="49" applyNumberFormat="0" applyFill="0" applyAlignment="0" applyProtection="0"/>
    <xf numFmtId="0" fontId="63" fillId="0" borderId="50" applyNumberFormat="0" applyFill="0" applyAlignment="0" applyProtection="0"/>
    <xf numFmtId="0" fontId="63" fillId="0" borderId="0" applyNumberFormat="0" applyFill="0" applyBorder="0" applyAlignment="0" applyProtection="0"/>
    <xf numFmtId="0" fontId="64" fillId="66" borderId="46" applyNumberFormat="0" applyAlignment="0" applyProtection="0"/>
    <xf numFmtId="0" fontId="65" fillId="0" borderId="51" applyNumberFormat="0" applyFill="0" applyAlignment="0" applyProtection="0"/>
    <xf numFmtId="0" fontId="66" fillId="66" borderId="0" applyNumberFormat="0" applyBorder="0" applyAlignment="0" applyProtection="0"/>
    <xf numFmtId="0" fontId="46" fillId="88" borderId="52" applyNumberFormat="0" applyFont="0" applyAlignment="0" applyProtection="0"/>
    <xf numFmtId="0" fontId="67" fillId="80" borderId="53" applyNumberFormat="0" applyAlignment="0" applyProtection="0"/>
    <xf numFmtId="10" fontId="46" fillId="0" borderId="0" applyFont="0" applyFill="0" applyBorder="0" applyAlignment="0" applyProtection="0"/>
    <xf numFmtId="0" fontId="68" fillId="0" borderId="0" applyNumberFormat="0" applyFill="0" applyBorder="0" applyAlignment="0" applyProtection="0"/>
    <xf numFmtId="0" fontId="69" fillId="0" borderId="54" applyNumberFormat="0" applyFill="0" applyAlignment="0" applyProtection="0"/>
    <xf numFmtId="0" fontId="70" fillId="0" borderId="0" applyNumberFormat="0" applyFill="0" applyBorder="0" applyAlignment="0" applyProtection="0"/>
    <xf numFmtId="0" fontId="46" fillId="0" borderId="0">
      <alignment vertical="center"/>
    </xf>
    <xf numFmtId="0" fontId="3" fillId="27" borderId="0" applyNumberFormat="0" applyBorder="0" applyAlignment="0" applyProtection="0"/>
    <xf numFmtId="0" fontId="19" fillId="21" borderId="0" applyNumberFormat="0" applyBorder="0" applyAlignment="0" applyProtection="0"/>
    <xf numFmtId="0" fontId="19" fillId="17" borderId="0" applyNumberFormat="0" applyBorder="0" applyAlignment="0" applyProtection="0"/>
    <xf numFmtId="0" fontId="3" fillId="15" borderId="0" applyNumberFormat="0" applyBorder="0" applyAlignment="0" applyProtection="0"/>
    <xf numFmtId="0" fontId="17" fillId="0" borderId="0" applyNumberFormat="0" applyFill="0" applyBorder="0" applyAlignment="0" applyProtection="0"/>
    <xf numFmtId="0" fontId="46" fillId="88" borderId="52" applyNumberFormat="0" applyFont="0" applyAlignment="0" applyProtection="0"/>
    <xf numFmtId="0" fontId="13" fillId="6" borderId="4" applyNumberFormat="0" applyAlignment="0" applyProtection="0"/>
    <xf numFmtId="0" fontId="3" fillId="0" borderId="0"/>
    <xf numFmtId="0" fontId="12" fillId="6" borderId="5" applyNumberFormat="0" applyAlignment="0" applyProtection="0"/>
    <xf numFmtId="0" fontId="19" fillId="20"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5" fillId="7" borderId="7" applyNumberFormat="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8" fillId="0" borderId="9" applyNumberFormat="0" applyFill="0" applyAlignment="0" applyProtection="0"/>
    <xf numFmtId="0" fontId="3" fillId="30" borderId="0" applyNumberFormat="0" applyBorder="0" applyAlignment="0" applyProtection="0"/>
    <xf numFmtId="0" fontId="3" fillId="31" borderId="0" applyNumberFormat="0" applyBorder="0" applyAlignment="0" applyProtection="0"/>
    <xf numFmtId="0" fontId="19" fillId="2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7" fillId="0" borderId="0" applyNumberFormat="0" applyFill="0" applyBorder="0" applyAlignment="0" applyProtection="0"/>
    <xf numFmtId="0" fontId="3" fillId="19" borderId="0" applyNumberFormat="0" applyBorder="0" applyAlignment="0" applyProtection="0"/>
    <xf numFmtId="0" fontId="19" fillId="28"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16" fillId="0" borderId="0" applyNumberFormat="0" applyFill="0" applyBorder="0" applyAlignment="0" applyProtection="0"/>
    <xf numFmtId="0" fontId="19" fillId="24" borderId="0" applyNumberFormat="0" applyBorder="0" applyAlignment="0" applyProtection="0"/>
    <xf numFmtId="0" fontId="19" fillId="9" borderId="0" applyNumberFormat="0" applyBorder="0" applyAlignment="0" applyProtection="0"/>
    <xf numFmtId="0" fontId="3" fillId="10" borderId="0" applyNumberFormat="0" applyBorder="0" applyAlignment="0" applyProtection="0"/>
    <xf numFmtId="0" fontId="6" fillId="0" borderId="2" applyNumberFormat="0" applyFill="0" applyAlignment="0" applyProtection="0"/>
    <xf numFmtId="0" fontId="3" fillId="18" borderId="0" applyNumberFormat="0" applyBorder="0" applyAlignment="0" applyProtection="0"/>
    <xf numFmtId="0" fontId="4" fillId="0" borderId="0" applyNumberFormat="0" applyFill="0" applyBorder="0" applyAlignment="0" applyProtection="0"/>
    <xf numFmtId="0" fontId="3" fillId="14" borderId="0" applyNumberFormat="0" applyBorder="0" applyAlignment="0" applyProtection="0"/>
    <xf numFmtId="0" fontId="10" fillId="4" borderId="0" applyNumberFormat="0" applyBorder="0" applyAlignment="0" applyProtection="0"/>
    <xf numFmtId="0" fontId="19" fillId="29" borderId="0" applyNumberFormat="0" applyBorder="0" applyAlignment="0" applyProtection="0"/>
    <xf numFmtId="0" fontId="19" fillId="12" borderId="0" applyNumberFormat="0" applyBorder="0" applyAlignment="0" applyProtection="0"/>
    <xf numFmtId="0" fontId="8" fillId="2" borderId="0" applyNumberFormat="0" applyBorder="0" applyAlignment="0" applyProtection="0"/>
    <xf numFmtId="0" fontId="19" fillId="13" borderId="0" applyNumberFormat="0" applyBorder="0" applyAlignment="0" applyProtection="0"/>
    <xf numFmtId="0" fontId="14" fillId="0" borderId="6" applyNumberFormat="0" applyFill="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9" fontId="46" fillId="0" borderId="0" applyFont="0" applyFill="0" applyBorder="0" applyAlignment="0" applyProtection="0"/>
    <xf numFmtId="0" fontId="46" fillId="71" borderId="0"/>
    <xf numFmtId="0" fontId="54" fillId="77" borderId="0" applyNumberFormat="0" applyBorder="0" applyAlignment="0" applyProtection="0"/>
    <xf numFmtId="0" fontId="54" fillId="78" borderId="0" applyNumberFormat="0" applyBorder="0" applyAlignment="0" applyProtection="0"/>
    <xf numFmtId="0" fontId="54" fillId="79" borderId="0" applyNumberFormat="0" applyBorder="0" applyAlignment="0" applyProtection="0"/>
    <xf numFmtId="0" fontId="54" fillId="80"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9" borderId="0" applyNumberFormat="0" applyBorder="0" applyAlignment="0" applyProtection="0"/>
    <xf numFmtId="0" fontId="54" fillId="79" borderId="0" applyNumberFormat="0" applyBorder="0" applyAlignment="0" applyProtection="0"/>
    <xf numFmtId="0" fontId="54" fillId="81" borderId="0" applyNumberFormat="0" applyBorder="0" applyAlignment="0" applyProtection="0"/>
    <xf numFmtId="0" fontId="54" fillId="77" borderId="0" applyNumberFormat="0" applyBorder="0" applyAlignment="0" applyProtection="0"/>
    <xf numFmtId="0" fontId="54" fillId="66"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79" borderId="0" applyNumberFormat="0" applyBorder="0" applyAlignment="0" applyProtection="0"/>
    <xf numFmtId="0" fontId="55" fillId="81"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82" borderId="0" applyNumberFormat="0" applyBorder="0" applyAlignment="0" applyProtection="0"/>
    <xf numFmtId="0" fontId="55" fillId="76" borderId="0" applyNumberFormat="0" applyBorder="0" applyAlignment="0" applyProtection="0"/>
    <xf numFmtId="0" fontId="55" fillId="79" borderId="0" applyNumberFormat="0" applyBorder="0" applyAlignment="0" applyProtection="0"/>
    <xf numFmtId="0" fontId="55" fillId="83" borderId="0" applyNumberFormat="0" applyBorder="0" applyAlignment="0" applyProtection="0"/>
    <xf numFmtId="0" fontId="55" fillId="84" borderId="0" applyNumberFormat="0" applyBorder="0" applyAlignment="0" applyProtection="0"/>
    <xf numFmtId="0" fontId="55" fillId="85" borderId="0" applyNumberFormat="0" applyBorder="0" applyAlignment="0" applyProtection="0"/>
    <xf numFmtId="0" fontId="56" fillId="75" borderId="0" applyNumberFormat="0" applyBorder="0" applyAlignment="0" applyProtection="0"/>
    <xf numFmtId="0" fontId="57" fillId="80" borderId="46" applyNumberFormat="0" applyAlignment="0" applyProtection="0"/>
    <xf numFmtId="0" fontId="58" fillId="87" borderId="47" applyNumberFormat="0" applyAlignment="0" applyProtection="0"/>
    <xf numFmtId="0" fontId="59" fillId="0" borderId="0" applyNumberFormat="0" applyFill="0" applyBorder="0" applyAlignment="0" applyProtection="0"/>
    <xf numFmtId="0" fontId="60" fillId="79" borderId="0" applyNumberFormat="0" applyBorder="0" applyAlignment="0" applyProtection="0"/>
    <xf numFmtId="0" fontId="61" fillId="0" borderId="48" applyNumberFormat="0" applyFill="0" applyAlignment="0" applyProtection="0"/>
    <xf numFmtId="0" fontId="62" fillId="0" borderId="49" applyNumberFormat="0" applyFill="0" applyAlignment="0" applyProtection="0"/>
    <xf numFmtId="0" fontId="63" fillId="0" borderId="50" applyNumberFormat="0" applyFill="0" applyAlignment="0" applyProtection="0"/>
    <xf numFmtId="0" fontId="63" fillId="0" borderId="0" applyNumberFormat="0" applyFill="0" applyBorder="0" applyAlignment="0" applyProtection="0"/>
    <xf numFmtId="0" fontId="64" fillId="66" borderId="46" applyNumberFormat="0" applyAlignment="0" applyProtection="0"/>
    <xf numFmtId="0" fontId="65" fillId="0" borderId="51" applyNumberFormat="0" applyFill="0" applyAlignment="0" applyProtection="0"/>
    <xf numFmtId="0" fontId="66" fillId="66" borderId="0" applyNumberFormat="0" applyBorder="0" applyAlignment="0" applyProtection="0"/>
    <xf numFmtId="0" fontId="46" fillId="88" borderId="52" applyNumberFormat="0" applyFont="0" applyAlignment="0" applyProtection="0"/>
    <xf numFmtId="0" fontId="67" fillId="80" borderId="53" applyNumberFormat="0" applyAlignment="0" applyProtection="0"/>
    <xf numFmtId="0" fontId="48" fillId="71" borderId="0" applyNumberFormat="0" applyFont="0" applyBorder="0" applyAlignment="0" applyProtection="0"/>
    <xf numFmtId="0" fontId="68" fillId="0" borderId="0" applyNumberFormat="0" applyFill="0" applyBorder="0" applyAlignment="0" applyProtection="0"/>
    <xf numFmtId="0" fontId="69" fillId="0" borderId="54" applyNumberFormat="0" applyFill="0" applyAlignment="0" applyProtection="0"/>
    <xf numFmtId="0" fontId="70" fillId="0" borderId="0" applyNumberFormat="0" applyFill="0" applyBorder="0" applyAlignment="0" applyProtection="0"/>
    <xf numFmtId="9" fontId="46" fillId="0" borderId="0" applyFont="0" applyFill="0" applyBorder="0" applyAlignment="0" applyProtection="0"/>
    <xf numFmtId="0" fontId="3" fillId="0" borderId="0"/>
    <xf numFmtId="0" fontId="52" fillId="74" borderId="0" applyNumberFormat="0" applyFont="0" applyBorder="0" applyAlignment="0" applyProtection="0">
      <alignment horizontal="right"/>
    </xf>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10" fontId="46" fillId="0" borderId="0" applyFont="0" applyFill="0" applyBorder="0" applyAlignment="0" applyProtection="0"/>
    <xf numFmtId="0" fontId="46" fillId="71"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46" fillId="0" borderId="0">
      <alignment vertical="center"/>
    </xf>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10" fontId="46" fillId="0" borderId="0" applyFont="0" applyFill="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9" fontId="46" fillId="0" borderId="0" applyFont="0" applyFill="0" applyBorder="0" applyAlignment="0" applyProtection="0"/>
    <xf numFmtId="0" fontId="3" fillId="0" borderId="0"/>
    <xf numFmtId="0" fontId="3" fillId="0" borderId="0"/>
    <xf numFmtId="0" fontId="52"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19" fillId="25" borderId="0" applyNumberFormat="0" applyBorder="0" applyAlignment="0" applyProtection="0"/>
    <xf numFmtId="0" fontId="19" fillId="9" borderId="0" applyNumberFormat="0" applyBorder="0" applyAlignment="0" applyProtection="0"/>
    <xf numFmtId="0" fontId="3" fillId="0" borderId="0"/>
    <xf numFmtId="0" fontId="49" fillId="68" borderId="0" applyNumberFormat="0" applyBorder="0" applyProtection="0">
      <alignment vertical="center"/>
    </xf>
    <xf numFmtId="0" fontId="46" fillId="71"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11" fillId="5" borderId="4" applyNumberFormat="0" applyAlignment="0" applyProtection="0"/>
    <xf numFmtId="0" fontId="59" fillId="0" borderId="0" applyNumberFormat="0" applyFill="0" applyBorder="0" applyAlignment="0" applyProtection="0"/>
    <xf numFmtId="2" fontId="47" fillId="0" borderId="0" applyFont="0" applyFill="0" applyBorder="0" applyAlignment="0" applyProtection="0"/>
    <xf numFmtId="0" fontId="58" fillId="87" borderId="47" applyNumberFormat="0" applyAlignment="0" applyProtection="0"/>
    <xf numFmtId="0" fontId="5" fillId="0" borderId="1" applyNumberFormat="0" applyFill="0" applyAlignment="0" applyProtection="0"/>
    <xf numFmtId="0" fontId="55" fillId="85" borderId="0" applyNumberFormat="0" applyBorder="0" applyAlignment="0" applyProtection="0"/>
    <xf numFmtId="0" fontId="55" fillId="84" borderId="0" applyNumberFormat="0" applyBorder="0" applyAlignment="0" applyProtection="0"/>
    <xf numFmtId="0" fontId="49" fillId="68" borderId="0" applyNumberFormat="0" applyBorder="0" applyProtection="0">
      <alignment vertical="center"/>
    </xf>
    <xf numFmtId="0" fontId="54" fillId="81" borderId="0" applyNumberFormat="0" applyBorder="0" applyAlignment="0" applyProtection="0"/>
    <xf numFmtId="0" fontId="54" fillId="81" borderId="0" applyNumberFormat="0" applyBorder="0" applyAlignment="0" applyProtection="0"/>
    <xf numFmtId="0" fontId="61" fillId="0" borderId="48" applyNumberFormat="0" applyFill="0" applyAlignment="0" applyProtection="0"/>
    <xf numFmtId="0" fontId="3" fillId="11" borderId="0" applyNumberFormat="0" applyBorder="0" applyAlignment="0" applyProtection="0"/>
    <xf numFmtId="0" fontId="8" fillId="2" borderId="0" applyNumberFormat="0" applyBorder="0" applyAlignment="0" applyProtection="0"/>
    <xf numFmtId="0" fontId="3" fillId="19" borderId="0" applyNumberFormat="0" applyBorder="0" applyAlignment="0" applyProtection="0"/>
    <xf numFmtId="0" fontId="7" fillId="0" borderId="0" applyNumberFormat="0" applyFill="0" applyBorder="0" applyAlignment="0" applyProtection="0"/>
    <xf numFmtId="0" fontId="3" fillId="0" borderId="0"/>
    <xf numFmtId="166" fontId="47" fillId="0" borderId="0" applyFon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3" fillId="0" borderId="0"/>
    <xf numFmtId="0" fontId="3" fillId="8" borderId="8" applyNumberFormat="0" applyFont="0" applyAlignment="0" applyProtection="0"/>
    <xf numFmtId="0" fontId="15" fillId="7" borderId="7" applyNumberForma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19" fillId="24" borderId="0" applyNumberFormat="0" applyBorder="0" applyAlignment="0" applyProtection="0"/>
    <xf numFmtId="0" fontId="19" fillId="17" borderId="0" applyNumberFormat="0" applyBorder="0" applyAlignment="0" applyProtection="0"/>
    <xf numFmtId="0" fontId="54" fillId="78" borderId="0" applyNumberFormat="0" applyBorder="0" applyAlignment="0" applyProtection="0"/>
    <xf numFmtId="0" fontId="49" fillId="68" borderId="0" applyNumberFormat="0" applyBorder="0" applyProtection="0">
      <alignment vertical="center"/>
    </xf>
    <xf numFmtId="0" fontId="13" fillId="6" borderId="4" applyNumberFormat="0" applyAlignment="0" applyProtection="0"/>
    <xf numFmtId="0" fontId="56" fillId="7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6" fillId="0" borderId="0" applyNumberFormat="0" applyFill="0" applyBorder="0" applyAlignment="0" applyProtection="0"/>
    <xf numFmtId="9" fontId="46" fillId="0" borderId="0" applyFon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167" fontId="47" fillId="0" borderId="0" applyFon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2" fontId="47" fillId="0" borderId="0" applyFont="0" applyFill="0" applyBorder="0" applyAlignment="0" applyProtection="0"/>
    <xf numFmtId="0" fontId="70" fillId="0" borderId="0" applyNumberFormat="0" applyFill="0" applyBorder="0" applyAlignment="0" applyProtection="0"/>
    <xf numFmtId="0" fontId="3" fillId="30" borderId="0" applyNumberFormat="0" applyBorder="0" applyAlignment="0" applyProtection="0"/>
    <xf numFmtId="0" fontId="54" fillId="7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6" fillId="0" borderId="2" applyNumberFormat="0" applyFill="0" applyAlignment="0" applyProtection="0"/>
    <xf numFmtId="0" fontId="55" fillId="65" borderId="0" applyNumberFormat="0" applyBorder="0" applyAlignment="0" applyProtection="0"/>
    <xf numFmtId="0" fontId="46" fillId="88" borderId="52" applyNumberFormat="0" applyFont="0" applyAlignment="0" applyProtection="0"/>
    <xf numFmtId="0" fontId="54" fillId="77" borderId="0" applyNumberFormat="0" applyBorder="0" applyAlignment="0" applyProtection="0"/>
    <xf numFmtId="0" fontId="54" fillId="79" borderId="0" applyNumberFormat="0" applyBorder="0" applyAlignment="0" applyProtection="0"/>
    <xf numFmtId="0" fontId="3" fillId="19" borderId="0" applyNumberFormat="0" applyBorder="0" applyAlignment="0" applyProtection="0"/>
    <xf numFmtId="0" fontId="19" fillId="25" borderId="0" applyNumberFormat="0" applyBorder="0" applyAlignment="0" applyProtection="0"/>
    <xf numFmtId="0" fontId="57" fillId="80" borderId="46" applyNumberFormat="0" applyAlignment="0" applyProtection="0"/>
    <xf numFmtId="0" fontId="3" fillId="27" borderId="0" applyNumberFormat="0" applyBorder="0" applyAlignment="0" applyProtection="0"/>
    <xf numFmtId="0" fontId="3" fillId="15" borderId="0" applyNumberFormat="0" applyBorder="0" applyAlignment="0" applyProtection="0"/>
    <xf numFmtId="0" fontId="55" fillId="82"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54" fillId="78"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64" fillId="66" borderId="46" applyNumberForma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55" fillId="83" borderId="0" applyNumberFormat="0" applyBorder="0" applyAlignment="0" applyProtection="0"/>
    <xf numFmtId="0" fontId="19" fillId="21" borderId="0" applyNumberFormat="0" applyBorder="0" applyAlignment="0" applyProtection="0"/>
    <xf numFmtId="0" fontId="67" fillId="80" borderId="53" applyNumberFormat="0" applyAlignment="0" applyProtection="0"/>
    <xf numFmtId="0" fontId="19" fillId="9" borderId="0" applyNumberFormat="0" applyBorder="0" applyAlignment="0" applyProtection="0"/>
    <xf numFmtId="0" fontId="52" fillId="67" borderId="45" applyNumberFormat="0" applyFont="0" applyBorder="0" applyAlignment="0" applyProtection="0"/>
    <xf numFmtId="0" fontId="9" fillId="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19" fillId="17"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10" fontId="46" fillId="0" borderId="0" applyFont="0" applyFill="0" applyBorder="0" applyAlignment="0" applyProtection="0"/>
    <xf numFmtId="0" fontId="52" fillId="67" borderId="45" applyNumberFormat="0" applyFont="0" applyBorder="0" applyAlignment="0" applyProtection="0"/>
    <xf numFmtId="1"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166" fontId="47" fillId="0" borderId="0" applyFont="0" applyFill="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10" fontId="46" fillId="0" borderId="0" applyFont="0" applyFill="0" applyBorder="0" applyAlignment="0" applyProtection="0"/>
    <xf numFmtId="0" fontId="52" fillId="67" borderId="45" applyNumberFormat="0" applyFont="0" applyBorder="0" applyAlignment="0" applyProtection="0"/>
    <xf numFmtId="1"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166" fontId="47" fillId="0" borderId="0" applyFont="0" applyFill="0" applyBorder="0" applyAlignment="0" applyProtection="0"/>
    <xf numFmtId="0" fontId="3" fillId="11" borderId="0" applyNumberFormat="0" applyBorder="0" applyAlignment="0" applyProtection="0"/>
    <xf numFmtId="0" fontId="55" fillId="81" borderId="0" applyNumberFormat="0" applyBorder="0" applyAlignment="0" applyProtection="0"/>
    <xf numFmtId="0" fontId="3" fillId="22" borderId="0" applyNumberFormat="0" applyBorder="0" applyAlignment="0" applyProtection="0"/>
    <xf numFmtId="9" fontId="46" fillId="0" borderId="0" applyFont="0" applyFill="0" applyBorder="0" applyAlignment="0" applyProtection="0"/>
    <xf numFmtId="0" fontId="54" fillId="79" borderId="0" applyNumberFormat="0" applyBorder="0" applyAlignment="0" applyProtection="0"/>
    <xf numFmtId="0" fontId="12" fillId="6" borderId="5" applyNumberFormat="0" applyAlignment="0" applyProtection="0"/>
    <xf numFmtId="0" fontId="46" fillId="71" borderId="0"/>
    <xf numFmtId="0" fontId="54" fillId="77" borderId="0" applyNumberFormat="0" applyBorder="0" applyAlignment="0" applyProtection="0"/>
    <xf numFmtId="0" fontId="59" fillId="0" borderId="0" applyNumberFormat="0" applyFill="0" applyBorder="0" applyAlignment="0" applyProtection="0"/>
    <xf numFmtId="0" fontId="55" fillId="65" borderId="0" applyNumberFormat="0" applyBorder="0" applyAlignment="0" applyProtection="0"/>
    <xf numFmtId="0" fontId="19" fillId="21" borderId="0" applyNumberFormat="0" applyBorder="0" applyAlignment="0" applyProtection="0"/>
    <xf numFmtId="0" fontId="19" fillId="28" borderId="0" applyNumberFormat="0" applyBorder="0" applyAlignment="0" applyProtection="0"/>
    <xf numFmtId="9" fontId="46" fillId="0" borderId="0" applyFont="0" applyFill="0" applyBorder="0" applyAlignment="0" applyProtection="0"/>
    <xf numFmtId="0" fontId="60" fillId="79" borderId="0" applyNumberFormat="0" applyBorder="0" applyAlignment="0" applyProtection="0"/>
    <xf numFmtId="0" fontId="13" fillId="6" borderId="4" applyNumberFormat="0" applyAlignment="0" applyProtection="0"/>
    <xf numFmtId="0" fontId="54" fillId="78" borderId="0" applyNumberFormat="0" applyBorder="0" applyAlignment="0" applyProtection="0"/>
    <xf numFmtId="0" fontId="63" fillId="0" borderId="0" applyNumberFormat="0" applyFill="0" applyBorder="0" applyAlignment="0" applyProtection="0"/>
    <xf numFmtId="0" fontId="8" fillId="2" borderId="0" applyNumberFormat="0" applyBorder="0" applyAlignment="0" applyProtection="0"/>
    <xf numFmtId="0" fontId="19" fillId="13" borderId="0" applyNumberFormat="0" applyBorder="0" applyAlignment="0" applyProtection="0"/>
    <xf numFmtId="0" fontId="9" fillId="3" borderId="0" applyNumberFormat="0" applyBorder="0" applyAlignment="0" applyProtection="0"/>
    <xf numFmtId="0" fontId="3" fillId="14" borderId="0" applyNumberFormat="0" applyBorder="0" applyAlignment="0" applyProtection="0"/>
    <xf numFmtId="0" fontId="7" fillId="0" borderId="3" applyNumberFormat="0" applyFill="0" applyAlignment="0" applyProtection="0"/>
    <xf numFmtId="0" fontId="55" fillId="79" borderId="0" applyNumberFormat="0" applyBorder="0" applyAlignment="0" applyProtection="0"/>
    <xf numFmtId="0" fontId="54" fillId="79" borderId="0" applyNumberFormat="0" applyBorder="0" applyAlignment="0" applyProtection="0"/>
    <xf numFmtId="0" fontId="46" fillId="71" borderId="0"/>
    <xf numFmtId="0" fontId="55" fillId="77" borderId="0" applyNumberFormat="0" applyBorder="0" applyAlignment="0" applyProtection="0"/>
    <xf numFmtId="0" fontId="55" fillId="77" borderId="0" applyNumberFormat="0" applyBorder="0" applyAlignment="0" applyProtection="0"/>
    <xf numFmtId="0" fontId="63" fillId="0" borderId="50" applyNumberFormat="0" applyFill="0" applyAlignment="0" applyProtection="0"/>
    <xf numFmtId="0" fontId="54" fillId="77" borderId="0" applyNumberFormat="0" applyBorder="0" applyAlignment="0" applyProtection="0"/>
    <xf numFmtId="0" fontId="55" fillId="83" borderId="0" applyNumberFormat="0" applyBorder="0" applyAlignment="0" applyProtection="0"/>
    <xf numFmtId="0" fontId="54" fillId="79" borderId="0" applyNumberFormat="0" applyBorder="0" applyAlignment="0" applyProtection="0"/>
    <xf numFmtId="0" fontId="54" fillId="66" borderId="0" applyNumberFormat="0" applyBorder="0" applyAlignment="0" applyProtection="0"/>
    <xf numFmtId="0" fontId="65" fillId="0" borderId="51" applyNumberFormat="0" applyFill="0" applyAlignment="0" applyProtection="0"/>
    <xf numFmtId="0" fontId="55" fillId="79" borderId="0" applyNumberFormat="0" applyBorder="0" applyAlignment="0" applyProtection="0"/>
    <xf numFmtId="0" fontId="3" fillId="26" borderId="0" applyNumberFormat="0" applyBorder="0" applyAlignment="0" applyProtection="0"/>
    <xf numFmtId="0" fontId="19" fillId="24" borderId="0" applyNumberFormat="0" applyBorder="0" applyAlignment="0" applyProtection="0"/>
    <xf numFmtId="0" fontId="55" fillId="65" borderId="0" applyNumberFormat="0" applyBorder="0" applyAlignment="0" applyProtection="0"/>
    <xf numFmtId="0" fontId="19" fillId="12" borderId="0" applyNumberFormat="0" applyBorder="0" applyAlignment="0" applyProtection="0"/>
    <xf numFmtId="167" fontId="47" fillId="0" borderId="0" applyFont="0" applyFill="0" applyBorder="0" applyAlignment="0" applyProtection="0"/>
    <xf numFmtId="0" fontId="66" fillId="66" borderId="0" applyNumberFormat="0" applyBorder="0" applyAlignment="0" applyProtection="0"/>
    <xf numFmtId="0" fontId="65" fillId="0" borderId="51" applyNumberFormat="0" applyFill="0" applyAlignment="0" applyProtection="0"/>
    <xf numFmtId="0" fontId="55" fillId="82" borderId="0" applyNumberFormat="0" applyBorder="0" applyAlignment="0" applyProtection="0"/>
    <xf numFmtId="0" fontId="64" fillId="66" borderId="46" applyNumberFormat="0" applyAlignment="0" applyProtection="0"/>
    <xf numFmtId="0" fontId="19" fillId="16" borderId="0" applyNumberFormat="0" applyBorder="0" applyAlignment="0" applyProtection="0"/>
    <xf numFmtId="0" fontId="19" fillId="32" borderId="0" applyNumberFormat="0" applyBorder="0" applyAlignment="0" applyProtection="0"/>
    <xf numFmtId="0" fontId="55" fillId="79" borderId="0" applyNumberFormat="0" applyBorder="0" applyAlignment="0" applyProtection="0"/>
    <xf numFmtId="0" fontId="3" fillId="15" borderId="0" applyNumberFormat="0" applyBorder="0" applyAlignment="0" applyProtection="0"/>
    <xf numFmtId="0" fontId="55" fillId="77" borderId="0" applyNumberFormat="0" applyBorder="0" applyAlignment="0" applyProtection="0"/>
    <xf numFmtId="0" fontId="3" fillId="15" borderId="0" applyNumberFormat="0" applyBorder="0" applyAlignment="0" applyProtection="0"/>
    <xf numFmtId="0" fontId="55" fillId="65" borderId="0" applyNumberFormat="0" applyBorder="0" applyAlignment="0" applyProtection="0"/>
    <xf numFmtId="165" fontId="47" fillId="0" borderId="0" applyFont="0" applyFill="0" applyBorder="0" applyAlignment="0" applyProtection="0"/>
    <xf numFmtId="0" fontId="63" fillId="0" borderId="50" applyNumberFormat="0" applyFill="0" applyAlignment="0" applyProtection="0"/>
    <xf numFmtId="0" fontId="69" fillId="0" borderId="54" applyNumberFormat="0" applyFill="0" applyAlignment="0" applyProtection="0"/>
    <xf numFmtId="0" fontId="67" fillId="80" borderId="53" applyNumberFormat="0" applyAlignment="0" applyProtection="0"/>
    <xf numFmtId="0" fontId="70" fillId="0" borderId="0" applyNumberFormat="0" applyFill="0" applyBorder="0" applyAlignment="0" applyProtection="0"/>
    <xf numFmtId="165" fontId="47" fillId="0" borderId="0" applyFont="0" applyFill="0" applyBorder="0" applyAlignment="0" applyProtection="0"/>
    <xf numFmtId="0" fontId="68" fillId="0" borderId="0" applyNumberFormat="0" applyFill="0" applyBorder="0" applyAlignment="0" applyProtection="0"/>
    <xf numFmtId="0" fontId="54" fillId="77" borderId="0" applyNumberFormat="0" applyBorder="0" applyAlignment="0" applyProtection="0"/>
    <xf numFmtId="0" fontId="61" fillId="0" borderId="48" applyNumberFormat="0" applyFill="0" applyAlignment="0" applyProtection="0"/>
    <xf numFmtId="0" fontId="6" fillId="0" borderId="2" applyNumberFormat="0" applyFill="0" applyAlignment="0" applyProtection="0"/>
    <xf numFmtId="1" fontId="47" fillId="0" borderId="0" applyFont="0" applyFill="0" applyBorder="0" applyAlignment="0" applyProtection="0"/>
    <xf numFmtId="0" fontId="54" fillId="79" borderId="0" applyNumberFormat="0" applyBorder="0" applyAlignment="0" applyProtection="0"/>
    <xf numFmtId="166" fontId="47" fillId="0" borderId="0" applyFont="0" applyFill="0" applyBorder="0" applyAlignment="0" applyProtection="0"/>
    <xf numFmtId="0" fontId="46" fillId="0" borderId="0">
      <alignment vertical="center"/>
    </xf>
    <xf numFmtId="0" fontId="3" fillId="27" borderId="0" applyNumberFormat="0" applyBorder="0" applyAlignment="0" applyProtection="0"/>
    <xf numFmtId="0" fontId="19" fillId="12" borderId="0" applyNumberFormat="0" applyBorder="0" applyAlignment="0" applyProtection="0"/>
    <xf numFmtId="0" fontId="18" fillId="0" borderId="9" applyNumberFormat="0" applyFill="0" applyAlignment="0" applyProtection="0"/>
    <xf numFmtId="0" fontId="55" fillId="76" borderId="0" applyNumberFormat="0" applyBorder="0" applyAlignment="0" applyProtection="0"/>
    <xf numFmtId="0" fontId="57" fillId="80" borderId="46" applyNumberFormat="0" applyAlignment="0" applyProtection="0"/>
    <xf numFmtId="0" fontId="54" fillId="77" borderId="0" applyNumberFormat="0" applyBorder="0" applyAlignment="0" applyProtection="0"/>
    <xf numFmtId="0" fontId="3" fillId="26" borderId="0" applyNumberFormat="0" applyBorder="0" applyAlignment="0" applyProtection="0"/>
    <xf numFmtId="0" fontId="54" fillId="77" borderId="0" applyNumberFormat="0" applyBorder="0" applyAlignment="0" applyProtection="0"/>
    <xf numFmtId="0" fontId="19" fillId="29" borderId="0" applyNumberFormat="0" applyBorder="0" applyAlignment="0" applyProtection="0"/>
    <xf numFmtId="0" fontId="3" fillId="22" borderId="0" applyNumberFormat="0" applyBorder="0" applyAlignment="0" applyProtection="0"/>
    <xf numFmtId="0" fontId="55" fillId="81" borderId="0" applyNumberFormat="0" applyBorder="0" applyAlignment="0" applyProtection="0"/>
    <xf numFmtId="0" fontId="69" fillId="0" borderId="54" applyNumberFormat="0" applyFill="0" applyAlignment="0" applyProtection="0"/>
    <xf numFmtId="0" fontId="3" fillId="27" borderId="0" applyNumberFormat="0" applyBorder="0" applyAlignment="0" applyProtection="0"/>
    <xf numFmtId="0" fontId="19" fillId="13" borderId="0" applyNumberFormat="0" applyBorder="0" applyAlignment="0" applyProtection="0"/>
    <xf numFmtId="0" fontId="3" fillId="31" borderId="0" applyNumberFormat="0" applyBorder="0" applyAlignment="0" applyProtection="0"/>
    <xf numFmtId="0" fontId="60" fillId="79" borderId="0" applyNumberFormat="0" applyBorder="0" applyAlignment="0" applyProtection="0"/>
    <xf numFmtId="0" fontId="19" fillId="20"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62" fillId="0" borderId="49" applyNumberFormat="0" applyFill="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11" fillId="5" borderId="4" applyNumberFormat="0" applyAlignment="0" applyProtection="0"/>
    <xf numFmtId="0" fontId="19" fillId="32" borderId="0" applyNumberFormat="0" applyBorder="0" applyAlignment="0" applyProtection="0"/>
    <xf numFmtId="0" fontId="55" fillId="77" borderId="0" applyNumberFormat="0" applyBorder="0" applyAlignment="0" applyProtection="0"/>
    <xf numFmtId="0" fontId="52" fillId="67" borderId="45" applyNumberFormat="0" applyFont="0" applyBorder="0" applyAlignment="0" applyProtection="0"/>
    <xf numFmtId="0" fontId="19" fillId="29" borderId="0" applyNumberFormat="0" applyBorder="0" applyAlignment="0" applyProtection="0"/>
    <xf numFmtId="0" fontId="56" fillId="75" borderId="0" applyNumberFormat="0" applyBorder="0" applyAlignment="0" applyProtection="0"/>
    <xf numFmtId="0" fontId="10" fillId="4" borderId="0" applyNumberFormat="0" applyBorder="0" applyAlignment="0" applyProtection="0"/>
    <xf numFmtId="0" fontId="46" fillId="70" borderId="0" applyNumberFormat="0" applyFont="0" applyBorder="0" applyAlignment="0" applyProtection="0">
      <alignment vertical="center"/>
    </xf>
    <xf numFmtId="0" fontId="54" fillId="80" borderId="0" applyNumberFormat="0" applyBorder="0" applyAlignment="0" applyProtection="0"/>
    <xf numFmtId="0" fontId="7" fillId="0" borderId="0" applyNumberFormat="0" applyFill="0" applyBorder="0" applyAlignment="0" applyProtection="0"/>
    <xf numFmtId="0" fontId="3" fillId="31" borderId="0" applyNumberFormat="0" applyBorder="0" applyAlignment="0" applyProtection="0"/>
    <xf numFmtId="0" fontId="14" fillId="0" borderId="6" applyNumberFormat="0" applyFill="0" applyAlignment="0" applyProtection="0"/>
    <xf numFmtId="0" fontId="55" fillId="79" borderId="0" applyNumberFormat="0" applyBorder="0" applyAlignment="0" applyProtection="0"/>
    <xf numFmtId="0" fontId="16" fillId="0" borderId="0" applyNumberFormat="0" applyFill="0" applyBorder="0" applyAlignment="0" applyProtection="0"/>
    <xf numFmtId="0" fontId="55" fillId="84" borderId="0" applyNumberFormat="0" applyBorder="0" applyAlignment="0" applyProtection="0"/>
    <xf numFmtId="0" fontId="12" fillId="6" borderId="5" applyNumberFormat="0" applyAlignment="0" applyProtection="0"/>
    <xf numFmtId="0" fontId="55" fillId="76" borderId="0" applyNumberFormat="0" applyBorder="0" applyAlignment="0" applyProtection="0"/>
    <xf numFmtId="0" fontId="7" fillId="0" borderId="3" applyNumberFormat="0" applyFill="0" applyAlignment="0" applyProtection="0"/>
    <xf numFmtId="10" fontId="46" fillId="0" borderId="0" applyFont="0" applyFill="0" applyBorder="0" applyAlignment="0" applyProtection="0"/>
    <xf numFmtId="0" fontId="54" fillId="80" borderId="0" applyNumberFormat="0" applyBorder="0" applyAlignment="0" applyProtection="0"/>
    <xf numFmtId="0" fontId="15" fillId="7" borderId="7" applyNumberFormat="0" applyAlignment="0" applyProtection="0"/>
    <xf numFmtId="0" fontId="19" fillId="16" borderId="0" applyNumberFormat="0" applyBorder="0" applyAlignment="0" applyProtection="0"/>
    <xf numFmtId="0" fontId="5" fillId="0" borderId="1" applyNumberFormat="0" applyFill="0" applyAlignment="0" applyProtection="0"/>
    <xf numFmtId="0" fontId="10" fillId="4" borderId="0" applyNumberFormat="0" applyBorder="0" applyAlignment="0" applyProtection="0"/>
    <xf numFmtId="0" fontId="54" fillId="79" borderId="0" applyNumberFormat="0" applyBorder="0" applyAlignment="0" applyProtection="0"/>
    <xf numFmtId="0" fontId="18" fillId="0" borderId="9" applyNumberFormat="0" applyFill="0" applyAlignment="0" applyProtection="0"/>
    <xf numFmtId="0" fontId="14" fillId="0" borderId="6" applyNumberFormat="0" applyFill="0" applyAlignment="0" applyProtection="0"/>
    <xf numFmtId="0" fontId="46" fillId="70" borderId="0" applyNumberFormat="0" applyFont="0" applyBorder="0" applyAlignment="0" applyProtection="0">
      <alignment vertical="center"/>
    </xf>
    <xf numFmtId="10" fontId="46" fillId="0" borderId="0" applyFont="0" applyFill="0" applyBorder="0" applyAlignment="0" applyProtection="0"/>
    <xf numFmtId="0" fontId="19" fillId="20" borderId="0" applyNumberFormat="0" applyBorder="0" applyAlignment="0" applyProtection="0"/>
    <xf numFmtId="0" fontId="63" fillId="0" borderId="0" applyNumberFormat="0" applyFill="0" applyBorder="0" applyAlignment="0" applyProtection="0"/>
    <xf numFmtId="0" fontId="54" fillId="78" borderId="0" applyNumberFormat="0" applyBorder="0" applyAlignment="0" applyProtection="0"/>
    <xf numFmtId="0" fontId="19" fillId="28" borderId="0" applyNumberFormat="0" applyBorder="0" applyAlignment="0" applyProtection="0"/>
    <xf numFmtId="0" fontId="46" fillId="88" borderId="52" applyNumberFormat="0" applyFont="0" applyAlignment="0" applyProtection="0"/>
    <xf numFmtId="0" fontId="68" fillId="0" borderId="0" applyNumberFormat="0" applyFill="0" applyBorder="0" applyAlignment="0" applyProtection="0"/>
    <xf numFmtId="0" fontId="54" fillId="66" borderId="0" applyNumberFormat="0" applyBorder="0" applyAlignment="0" applyProtection="0"/>
    <xf numFmtId="0" fontId="55" fillId="85" borderId="0" applyNumberFormat="0" applyBorder="0" applyAlignment="0" applyProtection="0"/>
    <xf numFmtId="0" fontId="58" fillId="87" borderId="47" applyNumberFormat="0" applyAlignment="0" applyProtection="0"/>
    <xf numFmtId="0" fontId="54" fillId="77" borderId="0" applyNumberFormat="0" applyBorder="0" applyAlignment="0" applyProtection="0"/>
    <xf numFmtId="0" fontId="66" fillId="66" borderId="0" applyNumberFormat="0" applyBorder="0" applyAlignment="0" applyProtection="0"/>
    <xf numFmtId="1" fontId="47" fillId="0" borderId="0" applyFont="0" applyFill="0" applyBorder="0" applyAlignment="0" applyProtection="0"/>
    <xf numFmtId="0" fontId="62" fillId="0" borderId="49" applyNumberFormat="0" applyFill="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2" fillId="0" borderId="0"/>
    <xf numFmtId="0" fontId="49" fillId="68" borderId="0" applyNumberFormat="0" applyBorder="0" applyProtection="0">
      <alignment vertical="center"/>
    </xf>
    <xf numFmtId="0" fontId="46" fillId="71" borderId="0"/>
    <xf numFmtId="0" fontId="60" fillId="79" borderId="0" applyNumberFormat="0" applyBorder="0" applyAlignment="0" applyProtection="0"/>
    <xf numFmtId="0" fontId="46" fillId="0" borderId="0">
      <alignment vertical="center"/>
    </xf>
    <xf numFmtId="0" fontId="54" fillId="77" borderId="0" applyNumberFormat="0" applyBorder="0" applyAlignment="0" applyProtection="0"/>
    <xf numFmtId="0" fontId="73" fillId="0" borderId="0" applyNumberFormat="0" applyFill="0" applyBorder="0" applyAlignment="0" applyProtection="0">
      <alignment horizontal="right"/>
    </xf>
    <xf numFmtId="0" fontId="63" fillId="0" borderId="0" applyNumberFormat="0" applyFill="0" applyBorder="0" applyAlignment="0" applyProtection="0"/>
    <xf numFmtId="0" fontId="67" fillId="80" borderId="53" applyNumberFormat="0" applyAlignment="0" applyProtection="0"/>
    <xf numFmtId="0" fontId="3" fillId="0" borderId="0"/>
    <xf numFmtId="0" fontId="7" fillId="0" borderId="0" applyNumberFormat="0" applyFill="0" applyBorder="0" applyAlignment="0" applyProtection="0"/>
    <xf numFmtId="0" fontId="75" fillId="91" borderId="0" applyNumberFormat="0" applyFont="0" applyBorder="0" applyAlignment="0" applyProtection="0">
      <alignment horizontal="right"/>
    </xf>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7" fillId="0" borderId="3" applyNumberFormat="0" applyFill="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72"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54" fillId="78"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55" fillId="7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19" fillId="21" borderId="0" applyNumberFormat="0" applyBorder="0" applyAlignment="0" applyProtection="0"/>
    <xf numFmtId="0" fontId="3" fillId="30" borderId="0" applyNumberFormat="0" applyBorder="0" applyAlignment="0" applyProtection="0"/>
    <xf numFmtId="0" fontId="62" fillId="0" borderId="49" applyNumberFormat="0" applyFill="0" applyAlignment="0" applyProtection="0"/>
    <xf numFmtId="0" fontId="55" fillId="81" borderId="0" applyNumberFormat="0" applyBorder="0" applyAlignment="0" applyProtection="0"/>
    <xf numFmtId="0" fontId="54" fillId="7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69" fillId="0" borderId="54" applyNumberFormat="0" applyFill="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55" fillId="82" borderId="0" applyNumberFormat="0" applyBorder="0" applyAlignment="0" applyProtection="0"/>
    <xf numFmtId="0" fontId="64" fillId="66" borderId="46" applyNumberForma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52" fillId="0" borderId="55" applyNumberFormat="0" applyFont="0" applyFill="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58" fillId="87" borderId="47" applyNumberFormat="0" applyAlignment="0" applyProtection="0"/>
    <xf numFmtId="0" fontId="46" fillId="0" borderId="0">
      <alignment vertical="center"/>
    </xf>
    <xf numFmtId="0" fontId="54" fillId="79" borderId="0" applyNumberFormat="0" applyBorder="0" applyAlignment="0" applyProtection="0"/>
    <xf numFmtId="0" fontId="54" fillId="80" borderId="0" applyNumberFormat="0" applyBorder="0" applyAlignment="0" applyProtection="0"/>
    <xf numFmtId="0" fontId="54" fillId="66" borderId="0" applyNumberFormat="0" applyBorder="0" applyAlignment="0" applyProtection="0"/>
    <xf numFmtId="0" fontId="54" fillId="77" borderId="0" applyNumberFormat="0" applyBorder="0" applyAlignment="0" applyProtection="0"/>
    <xf numFmtId="0" fontId="54" fillId="81" borderId="0" applyNumberFormat="0" applyBorder="0" applyAlignment="0" applyProtection="0"/>
    <xf numFmtId="0" fontId="54" fillId="79"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8" borderId="0" applyNumberFormat="0" applyBorder="0" applyAlignment="0" applyProtection="0"/>
    <xf numFmtId="0" fontId="54" fillId="77" borderId="0" applyNumberFormat="0" applyBorder="0" applyAlignment="0" applyProtection="0"/>
    <xf numFmtId="0" fontId="54" fillId="79"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79" borderId="0" applyNumberFormat="0" applyBorder="0" applyAlignment="0" applyProtection="0"/>
    <xf numFmtId="0" fontId="55" fillId="81" borderId="0" applyNumberFormat="0" applyBorder="0" applyAlignment="0" applyProtection="0"/>
    <xf numFmtId="0" fontId="55" fillId="77" borderId="0" applyNumberFormat="0" applyBorder="0" applyAlignment="0" applyProtection="0"/>
    <xf numFmtId="0" fontId="55" fillId="65" borderId="0" applyNumberFormat="0" applyBorder="0" applyAlignment="0" applyProtection="0"/>
    <xf numFmtId="0" fontId="55" fillId="82" borderId="0" applyNumberFormat="0" applyBorder="0" applyAlignment="0" applyProtection="0"/>
    <xf numFmtId="0" fontId="55" fillId="76" borderId="0" applyNumberFormat="0" applyBorder="0" applyAlignment="0" applyProtection="0"/>
    <xf numFmtId="0" fontId="55" fillId="79" borderId="0" applyNumberFormat="0" applyBorder="0" applyAlignment="0" applyProtection="0"/>
    <xf numFmtId="0" fontId="55" fillId="83" borderId="0" applyNumberFormat="0" applyBorder="0" applyAlignment="0" applyProtection="0"/>
    <xf numFmtId="0" fontId="55" fillId="84" borderId="0" applyNumberFormat="0" applyBorder="0" applyAlignment="0" applyProtection="0"/>
    <xf numFmtId="0" fontId="55" fillId="85" borderId="0" applyNumberFormat="0" applyBorder="0" applyAlignment="0" applyProtection="0"/>
    <xf numFmtId="0" fontId="56" fillId="75" borderId="0" applyNumberFormat="0" applyBorder="0" applyAlignment="0" applyProtection="0"/>
    <xf numFmtId="0" fontId="57" fillId="80" borderId="46" applyNumberFormat="0" applyAlignment="0" applyProtection="0"/>
    <xf numFmtId="0" fontId="58" fillId="87" borderId="47" applyNumberFormat="0" applyAlignment="0" applyProtection="0"/>
    <xf numFmtId="0" fontId="59" fillId="0" borderId="0" applyNumberFormat="0" applyFill="0" applyBorder="0" applyAlignment="0" applyProtection="0"/>
    <xf numFmtId="0" fontId="60" fillId="79" borderId="0" applyNumberFormat="0" applyBorder="0" applyAlignment="0" applyProtection="0"/>
    <xf numFmtId="0" fontId="61" fillId="0" borderId="48" applyNumberFormat="0" applyFill="0" applyAlignment="0" applyProtection="0"/>
    <xf numFmtId="0" fontId="62" fillId="0" borderId="49" applyNumberFormat="0" applyFill="0" applyAlignment="0" applyProtection="0"/>
    <xf numFmtId="0" fontId="63" fillId="0" borderId="50" applyNumberFormat="0" applyFill="0" applyAlignment="0" applyProtection="0"/>
    <xf numFmtId="0" fontId="63" fillId="0" borderId="0" applyNumberFormat="0" applyFill="0" applyBorder="0" applyAlignment="0" applyProtection="0"/>
    <xf numFmtId="0" fontId="64" fillId="66" borderId="46" applyNumberFormat="0" applyAlignment="0" applyProtection="0"/>
    <xf numFmtId="0" fontId="65" fillId="0" borderId="51" applyNumberFormat="0" applyFill="0" applyAlignment="0" applyProtection="0"/>
    <xf numFmtId="0" fontId="66" fillId="66" borderId="0" applyNumberFormat="0" applyBorder="0" applyAlignment="0" applyProtection="0"/>
    <xf numFmtId="0" fontId="46" fillId="88" borderId="52" applyNumberFormat="0" applyFont="0" applyAlignment="0" applyProtection="0"/>
    <xf numFmtId="0" fontId="67" fillId="80" borderId="53" applyNumberFormat="0" applyAlignment="0" applyProtection="0"/>
    <xf numFmtId="0" fontId="68" fillId="0" borderId="0" applyNumberFormat="0" applyFill="0" applyBorder="0" applyAlignment="0" applyProtection="0"/>
    <xf numFmtId="0" fontId="69" fillId="0" borderId="54" applyNumberFormat="0" applyFill="0" applyAlignment="0" applyProtection="0"/>
    <xf numFmtId="0" fontId="70" fillId="0" borderId="0" applyNumberFormat="0" applyFill="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52" fillId="0" borderId="0"/>
    <xf numFmtId="0" fontId="74" fillId="0" borderId="0" applyNumberFormat="0" applyFont="0" applyBorder="0" applyAlignment="0" applyProtection="0"/>
    <xf numFmtId="0" fontId="59" fillId="0" borderId="0" applyNumberFormat="0" applyFill="0" applyBorder="0" applyAlignment="0" applyProtection="0"/>
    <xf numFmtId="0" fontId="70" fillId="0" borderId="0" applyNumberFormat="0" applyFill="0" applyBorder="0" applyAlignment="0" applyProtection="0"/>
    <xf numFmtId="5" fontId="52" fillId="0" borderId="0" applyFont="0" applyFill="0" applyBorder="0" applyAlignment="0" applyProtection="0"/>
    <xf numFmtId="0" fontId="54" fillId="79" borderId="0" applyNumberFormat="0" applyBorder="0" applyAlignment="0" applyProtection="0"/>
    <xf numFmtId="0" fontId="66" fillId="66" borderId="0" applyNumberFormat="0" applyBorder="0" applyAlignment="0" applyProtection="0"/>
    <xf numFmtId="0" fontId="3" fillId="10" borderId="0" applyNumberFormat="0" applyBorder="0" applyAlignment="0" applyProtection="0"/>
    <xf numFmtId="0" fontId="55" fillId="79"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55" fillId="83" borderId="0" applyNumberFormat="0" applyBorder="0" applyAlignment="0" applyProtection="0"/>
    <xf numFmtId="0" fontId="54" fillId="66" borderId="0" applyNumberFormat="0" applyBorder="0" applyAlignment="0" applyProtection="0"/>
    <xf numFmtId="0" fontId="54" fillId="80" borderId="0" applyNumberFormat="0" applyBorder="0" applyAlignment="0" applyProtection="0"/>
    <xf numFmtId="0" fontId="65" fillId="0" borderId="51" applyNumberFormat="0" applyFill="0" applyAlignment="0" applyProtection="0"/>
    <xf numFmtId="0" fontId="55" fillId="76" borderId="0" applyNumberFormat="0" applyBorder="0" applyAlignment="0" applyProtection="0"/>
    <xf numFmtId="0" fontId="46" fillId="88" borderId="52" applyNumberFormat="0" applyFont="0" applyAlignment="0" applyProtection="0"/>
    <xf numFmtId="166" fontId="47" fillId="0" borderId="0" applyFont="0" applyFill="0" applyBorder="0" applyAlignment="0" applyProtection="0"/>
    <xf numFmtId="0" fontId="3" fillId="10" borderId="0" applyNumberFormat="0" applyBorder="0" applyAlignment="0" applyProtection="0"/>
    <xf numFmtId="0" fontId="63" fillId="0" borderId="0" applyNumberFormat="0" applyFill="0" applyBorder="0" applyAlignment="0" applyProtection="0"/>
    <xf numFmtId="0" fontId="15" fillId="7" borderId="7" applyNumberFormat="0" applyAlignment="0" applyProtection="0"/>
    <xf numFmtId="0" fontId="52" fillId="0" borderId="0" applyFont="0" applyFill="0" applyBorder="0" applyAlignment="0" applyProtection="0"/>
    <xf numFmtId="2" fontId="52" fillId="0" borderId="0" applyFont="0" applyFill="0" applyBorder="0" applyAlignment="0" applyProtection="0">
      <alignment horizontal="right"/>
    </xf>
    <xf numFmtId="0" fontId="46" fillId="0" borderId="0">
      <alignment vertical="center"/>
    </xf>
    <xf numFmtId="0" fontId="50" fillId="90" borderId="56" applyNumberFormat="0" applyFont="0" applyBorder="0" applyAlignment="0" applyProtection="0">
      <alignment horizontal="right"/>
    </xf>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4" fillId="78" borderId="0" applyNumberFormat="0" applyBorder="0" applyAlignment="0" applyProtection="0"/>
    <xf numFmtId="0" fontId="50" fillId="67" borderId="24" applyNumberFormat="0" applyFont="0" applyBorder="0" applyAlignment="0" applyProtection="0">
      <alignment horizontal="right"/>
    </xf>
    <xf numFmtId="0" fontId="52" fillId="0" borderId="0">
      <alignment vertical="top"/>
    </xf>
    <xf numFmtId="0" fontId="3" fillId="10" borderId="0" applyNumberFormat="0" applyBorder="0" applyAlignment="0" applyProtection="0"/>
    <xf numFmtId="1" fontId="4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54" fillId="79" borderId="0" applyNumberFormat="0" applyBorder="0" applyAlignment="0" applyProtection="0"/>
    <xf numFmtId="0" fontId="3" fillId="14" borderId="0" applyNumberFormat="0" applyBorder="0" applyAlignment="0" applyProtection="0"/>
    <xf numFmtId="10" fontId="46" fillId="0" borderId="0" applyFont="0" applyFill="0" applyBorder="0" applyAlignment="0" applyProtection="0"/>
    <xf numFmtId="0" fontId="3" fillId="10" borderId="0" applyNumberFormat="0" applyBorder="0" applyAlignment="0" applyProtection="0"/>
    <xf numFmtId="0" fontId="64" fillId="66" borderId="46" applyNumberFormat="0" applyAlignment="0" applyProtection="0"/>
    <xf numFmtId="0" fontId="56" fillId="75" borderId="0" applyNumberFormat="0" applyBorder="0" applyAlignment="0" applyProtection="0"/>
    <xf numFmtId="0" fontId="3" fillId="14" borderId="0" applyNumberFormat="0" applyBorder="0" applyAlignment="0" applyProtection="0"/>
    <xf numFmtId="0" fontId="63" fillId="0" borderId="50" applyNumberFormat="0" applyFill="0" applyAlignment="0" applyProtection="0"/>
    <xf numFmtId="0" fontId="50" fillId="0" borderId="0" applyNumberFormat="0" applyFont="0" applyBorder="0" applyAlignment="0" applyProtection="0">
      <alignment horizontal="right"/>
    </xf>
    <xf numFmtId="0" fontId="3" fillId="14" borderId="0" applyNumberFormat="0" applyBorder="0" applyAlignment="0" applyProtection="0"/>
    <xf numFmtId="0" fontId="55" fillId="85" borderId="0" applyNumberFormat="0" applyBorder="0" applyAlignment="0" applyProtection="0"/>
    <xf numFmtId="0" fontId="55" fillId="84" borderId="0" applyNumberFormat="0" applyBorder="0" applyAlignment="0" applyProtection="0"/>
    <xf numFmtId="0" fontId="57" fillId="80" borderId="46" applyNumberFormat="0" applyAlignment="0" applyProtection="0"/>
    <xf numFmtId="0" fontId="55" fillId="77" borderId="0" applyNumberFormat="0" applyBorder="0" applyAlignment="0" applyProtection="0"/>
    <xf numFmtId="0" fontId="3" fillId="14" borderId="0" applyNumberFormat="0" applyBorder="0" applyAlignment="0" applyProtection="0"/>
    <xf numFmtId="7" fontId="52" fillId="0" borderId="0" applyFont="0" applyFill="0" applyBorder="0" applyAlignment="0" applyProtection="0"/>
    <xf numFmtId="167" fontId="52" fillId="0" borderId="0" applyFont="0" applyFill="0" applyBorder="0" applyAlignment="0" applyProtection="0">
      <alignment horizontal="right"/>
    </xf>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68" fillId="0" borderId="0" applyNumberFormat="0" applyFill="0" applyBorder="0" applyAlignment="0" applyProtection="0"/>
    <xf numFmtId="165" fontId="52" fillId="0" borderId="0" applyFont="0" applyFill="0" applyBorder="0" applyAlignment="0" applyProtection="0">
      <alignment horizontal="right"/>
    </xf>
    <xf numFmtId="0" fontId="67" fillId="80" borderId="53" applyNumberFormat="0" applyAlignment="0" applyProtection="0"/>
    <xf numFmtId="0" fontId="3" fillId="10" borderId="0" applyNumberFormat="0" applyBorder="0" applyAlignment="0" applyProtection="0"/>
    <xf numFmtId="0" fontId="3" fillId="14" borderId="0" applyNumberFormat="0" applyBorder="0" applyAlignment="0" applyProtection="0"/>
    <xf numFmtId="0" fontId="9" fillId="3" borderId="0" applyNumberFormat="0" applyBorder="0" applyAlignment="0" applyProtection="0"/>
    <xf numFmtId="0" fontId="3" fillId="14" borderId="0" applyNumberFormat="0" applyBorder="0" applyAlignment="0" applyProtection="0"/>
    <xf numFmtId="0" fontId="55" fillId="77" borderId="0" applyNumberFormat="0" applyBorder="0" applyAlignment="0" applyProtection="0"/>
    <xf numFmtId="0" fontId="3" fillId="8" borderId="8" applyNumberFormat="0" applyFont="0" applyAlignment="0" applyProtection="0"/>
    <xf numFmtId="0" fontId="19" fillId="9" borderId="0" applyNumberFormat="0" applyBorder="0" applyAlignment="0" applyProtection="0"/>
    <xf numFmtId="0" fontId="54" fillId="77"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54" fillId="66" borderId="0" applyNumberFormat="0" applyBorder="0" applyAlignment="0" applyProtection="0"/>
    <xf numFmtId="0" fontId="46" fillId="0" borderId="0">
      <alignment vertical="center"/>
    </xf>
    <xf numFmtId="0" fontId="55" fillId="77" borderId="0" applyNumberFormat="0" applyBorder="0" applyAlignment="0" applyProtection="0"/>
    <xf numFmtId="0" fontId="3" fillId="10" borderId="0" applyNumberFormat="0" applyBorder="0" applyAlignment="0" applyProtection="0"/>
    <xf numFmtId="165" fontId="47" fillId="0" borderId="0" applyFont="0" applyFill="0" applyBorder="0" applyAlignment="0" applyProtection="0"/>
    <xf numFmtId="0" fontId="3" fillId="11" borderId="0" applyNumberFormat="0" applyBorder="0" applyAlignment="0" applyProtection="0"/>
    <xf numFmtId="0" fontId="57" fillId="80" borderId="46" applyNumberFormat="0" applyAlignment="0" applyProtection="0"/>
    <xf numFmtId="0" fontId="54" fillId="79" borderId="0" applyNumberFormat="0" applyBorder="0" applyAlignment="0" applyProtection="0"/>
    <xf numFmtId="0" fontId="54" fillId="7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1" fillId="0" borderId="48" applyNumberFormat="0" applyFill="0" applyAlignment="0" applyProtection="0"/>
    <xf numFmtId="0" fontId="5" fillId="0" borderId="1" applyNumberFormat="0" applyFill="0" applyAlignment="0" applyProtection="0"/>
    <xf numFmtId="167" fontId="47" fillId="0" borderId="0" applyFont="0" applyFill="0" applyBorder="0" applyAlignment="0" applyProtection="0"/>
    <xf numFmtId="166" fontId="52" fillId="0" borderId="0" applyFont="0" applyFill="0" applyBorder="0" applyAlignment="0" applyProtection="0">
      <alignment horizontal="right"/>
    </xf>
    <xf numFmtId="0" fontId="52" fillId="0" borderId="0" applyNumberFormat="0" applyFont="0" applyBorder="0" applyAlignment="0" applyProtection="0">
      <alignment horizontal="right"/>
    </xf>
    <xf numFmtId="0" fontId="3" fillId="14" borderId="0" applyNumberFormat="0" applyBorder="0" applyAlignment="0" applyProtection="0"/>
    <xf numFmtId="0" fontId="55" fillId="85" borderId="0" applyNumberFormat="0" applyBorder="0" applyAlignment="0" applyProtection="0"/>
    <xf numFmtId="0" fontId="3" fillId="27" borderId="0" applyNumberFormat="0" applyBorder="0" applyAlignment="0" applyProtection="0"/>
    <xf numFmtId="2" fontId="47" fillId="0" borderId="0" applyFont="0" applyFill="0" applyBorder="0" applyAlignment="0" applyProtection="0"/>
    <xf numFmtId="0" fontId="3" fillId="14" borderId="0" applyNumberFormat="0" applyBorder="0" applyAlignment="0" applyProtection="0"/>
    <xf numFmtId="0" fontId="54" fillId="81" borderId="0" applyNumberFormat="0" applyBorder="0" applyAlignment="0" applyProtection="0"/>
    <xf numFmtId="0" fontId="52" fillId="74" borderId="0" applyNumberFormat="0" applyFont="0" applyBorder="0" applyAlignment="0" applyProtection="0">
      <alignment horizontal="right"/>
    </xf>
    <xf numFmtId="0" fontId="55" fillId="8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55" fillId="65" borderId="0" applyNumberFormat="0" applyBorder="0" applyAlignment="0" applyProtection="0"/>
    <xf numFmtId="1" fontId="52" fillId="0" borderId="0" applyFont="0" applyFill="0" applyBorder="0" applyAlignment="0" applyProtection="0">
      <alignment horizontal="right"/>
    </xf>
    <xf numFmtId="0" fontId="3" fillId="10" borderId="0" applyNumberFormat="0" applyBorder="0" applyAlignment="0" applyProtection="0"/>
    <xf numFmtId="0" fontId="3" fillId="10" borderId="0" applyNumberFormat="0" applyBorder="0" applyAlignment="0" applyProtection="0"/>
    <xf numFmtId="0" fontId="69" fillId="0" borderId="54" applyNumberFormat="0" applyFill="0" applyAlignment="0" applyProtection="0"/>
    <xf numFmtId="0" fontId="3" fillId="14" borderId="0" applyNumberFormat="0" applyBorder="0" applyAlignment="0" applyProtection="0"/>
    <xf numFmtId="0" fontId="55" fillId="79" borderId="0" applyNumberFormat="0" applyBorder="0" applyAlignment="0" applyProtection="0"/>
    <xf numFmtId="0" fontId="46" fillId="0" borderId="0">
      <alignment vertical="center"/>
    </xf>
    <xf numFmtId="0" fontId="46" fillId="0" borderId="0">
      <alignment vertical="center"/>
    </xf>
    <xf numFmtId="0" fontId="3" fillId="14" borderId="0" applyNumberFormat="0" applyBorder="0" applyAlignment="0" applyProtection="0"/>
    <xf numFmtId="0" fontId="3" fillId="10" borderId="0" applyNumberFormat="0" applyBorder="0" applyAlignment="0" applyProtection="0"/>
    <xf numFmtId="0" fontId="3" fillId="0" borderId="0"/>
    <xf numFmtId="0" fontId="55" fillId="65" borderId="0" applyNumberFormat="0" applyBorder="0" applyAlignment="0" applyProtection="0"/>
    <xf numFmtId="0" fontId="54" fillId="81" borderId="0" applyNumberFormat="0" applyBorder="0" applyAlignment="0" applyProtection="0"/>
    <xf numFmtId="0" fontId="13" fillId="6" borderId="4" applyNumberFormat="0" applyAlignment="0" applyProtection="0"/>
    <xf numFmtId="0" fontId="54" fillId="77" borderId="0" applyNumberFormat="0" applyBorder="0" applyAlignment="0" applyProtection="0"/>
    <xf numFmtId="0" fontId="3" fillId="14" borderId="0" applyNumberFormat="0" applyBorder="0" applyAlignment="0" applyProtection="0"/>
    <xf numFmtId="0" fontId="54" fillId="7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76" fillId="0" borderId="0" applyNumberFormat="0" applyFont="0" applyBorder="0" applyAlignment="0" applyProtection="0">
      <alignment horizontal="right"/>
    </xf>
    <xf numFmtId="0" fontId="50" fillId="0" borderId="0" applyNumberFormat="0" applyFont="0" applyBorder="0" applyAlignment="0" applyProtection="0"/>
    <xf numFmtId="0" fontId="50" fillId="89" borderId="56" applyNumberFormat="0" applyFont="0" applyBorder="0" applyAlignment="0" applyProtection="0">
      <alignment horizontal="right"/>
    </xf>
    <xf numFmtId="0" fontId="3" fillId="15" borderId="0" applyNumberFormat="0" applyBorder="0" applyAlignment="0" applyProtection="0"/>
    <xf numFmtId="0" fontId="19" fillId="17"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0" borderId="49" applyNumberFormat="0" applyFill="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8" fillId="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5" fillId="8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4" fillId="7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6" fillId="71" borderId="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9" fillId="1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63" fillId="0" borderId="50" applyNumberFormat="0" applyFill="0" applyAlignment="0" applyProtection="0"/>
    <xf numFmtId="0" fontId="58" fillId="87" borderId="47" applyNumberFormat="0" applyAlignment="0" applyProtection="0"/>
    <xf numFmtId="0" fontId="11" fillId="5" borderId="4" applyNumberFormat="0" applyAlignment="0" applyProtection="0"/>
    <xf numFmtId="0" fontId="60" fillId="79" borderId="0" applyNumberFormat="0" applyBorder="0" applyAlignment="0" applyProtection="0"/>
    <xf numFmtId="0" fontId="3" fillId="31" borderId="0" applyNumberFormat="0" applyBorder="0" applyAlignment="0" applyProtection="0"/>
    <xf numFmtId="0" fontId="19" fillId="20" borderId="0" applyNumberFormat="0" applyBorder="0" applyAlignment="0" applyProtection="0"/>
    <xf numFmtId="0" fontId="19" fillId="32" borderId="0" applyNumberFormat="0" applyBorder="0" applyAlignment="0" applyProtection="0"/>
    <xf numFmtId="0" fontId="3" fillId="18" borderId="0" applyNumberFormat="0" applyBorder="0" applyAlignment="0" applyProtection="0"/>
    <xf numFmtId="0" fontId="55" fillId="77" borderId="0" applyNumberFormat="0" applyBorder="0" applyAlignment="0" applyProtection="0"/>
    <xf numFmtId="0" fontId="6" fillId="0" borderId="2" applyNumberFormat="0" applyFill="0" applyAlignment="0" applyProtection="0"/>
    <xf numFmtId="0" fontId="3" fillId="14" borderId="0" applyNumberFormat="0" applyBorder="0" applyAlignment="0" applyProtection="0"/>
    <xf numFmtId="0" fontId="3" fillId="10" borderId="0" applyNumberFormat="0" applyBorder="0" applyAlignment="0" applyProtection="0"/>
    <xf numFmtId="0" fontId="54" fillId="8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55" fillId="82"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54" fillId="77" borderId="0" applyNumberFormat="0" applyBorder="0" applyAlignment="0" applyProtection="0"/>
    <xf numFmtId="0" fontId="65" fillId="0" borderId="51" applyNumberFormat="0" applyFill="0" applyAlignment="0" applyProtection="0"/>
    <xf numFmtId="0" fontId="19" fillId="28" borderId="0" applyNumberFormat="0" applyBorder="0" applyAlignment="0" applyProtection="0"/>
    <xf numFmtId="0" fontId="3" fillId="30" borderId="0" applyNumberFormat="0" applyBorder="0" applyAlignment="0" applyProtection="0"/>
    <xf numFmtId="0" fontId="55" fillId="65" borderId="0" applyNumberFormat="0" applyBorder="0" applyAlignment="0" applyProtection="0"/>
    <xf numFmtId="0" fontId="72" fillId="0" borderId="0"/>
    <xf numFmtId="0" fontId="3" fillId="18" borderId="0" applyNumberFormat="0" applyBorder="0" applyAlignment="0" applyProtection="0"/>
    <xf numFmtId="0" fontId="3" fillId="27" borderId="0" applyNumberFormat="0" applyBorder="0" applyAlignment="0" applyProtection="0"/>
    <xf numFmtId="0" fontId="46" fillId="0" borderId="0">
      <alignment vertical="center"/>
    </xf>
    <xf numFmtId="0" fontId="56" fillId="75" borderId="0" applyNumberFormat="0" applyBorder="0" applyAlignment="0" applyProtection="0"/>
    <xf numFmtId="0" fontId="54" fillId="77" borderId="0" applyNumberFormat="0" applyBorder="0" applyAlignment="0" applyProtection="0"/>
    <xf numFmtId="0" fontId="54" fillId="77" borderId="0" applyNumberFormat="0" applyBorder="0" applyAlignment="0" applyProtection="0"/>
    <xf numFmtId="0" fontId="66" fillId="66" borderId="0" applyNumberFormat="0" applyBorder="0" applyAlignment="0" applyProtection="0"/>
    <xf numFmtId="0" fontId="14" fillId="0" borderId="6" applyNumberFormat="0" applyFill="0" applyAlignment="0" applyProtection="0"/>
    <xf numFmtId="0" fontId="3" fillId="23" borderId="0" applyNumberFormat="0" applyBorder="0" applyAlignment="0" applyProtection="0"/>
    <xf numFmtId="0" fontId="49" fillId="68" borderId="0" applyNumberFormat="0" applyBorder="0" applyProtection="0">
      <alignment vertical="center"/>
    </xf>
    <xf numFmtId="0" fontId="61" fillId="0" borderId="48" applyNumberFormat="0" applyFill="0" applyAlignment="0" applyProtection="0"/>
    <xf numFmtId="0" fontId="3" fillId="0" borderId="0"/>
    <xf numFmtId="0" fontId="55" fillId="81" borderId="0" applyNumberFormat="0" applyBorder="0" applyAlignment="0" applyProtection="0"/>
    <xf numFmtId="0" fontId="50" fillId="89" borderId="56" applyNumberFormat="0" applyFont="0" applyBorder="0" applyAlignment="0" applyProtection="0">
      <alignment horizontal="right"/>
    </xf>
    <xf numFmtId="0" fontId="55" fillId="79" borderId="0" applyNumberFormat="0" applyBorder="0" applyAlignment="0" applyProtection="0"/>
    <xf numFmtId="0" fontId="10" fillId="4" borderId="0" applyNumberFormat="0" applyBorder="0" applyAlignment="0" applyProtection="0"/>
    <xf numFmtId="0" fontId="46" fillId="88" borderId="52" applyNumberFormat="0" applyFont="0" applyAlignment="0" applyProtection="0"/>
    <xf numFmtId="0" fontId="55" fillId="65" borderId="0" applyNumberFormat="0" applyBorder="0" applyAlignment="0" applyProtection="0"/>
    <xf numFmtId="0" fontId="52" fillId="0" borderId="0"/>
    <xf numFmtId="0" fontId="19" fillId="25" borderId="0" applyNumberFormat="0" applyBorder="0" applyAlignment="0" applyProtection="0"/>
    <xf numFmtId="0" fontId="3" fillId="27" borderId="0" applyNumberFormat="0" applyBorder="0" applyAlignment="0" applyProtection="0"/>
    <xf numFmtId="0" fontId="59" fillId="0" borderId="0" applyNumberFormat="0" applyFill="0" applyBorder="0" applyAlignment="0" applyProtection="0"/>
    <xf numFmtId="0" fontId="70" fillId="0" borderId="0" applyNumberFormat="0" applyFill="0" applyBorder="0" applyAlignment="0" applyProtection="0"/>
    <xf numFmtId="0" fontId="12" fillId="6" borderId="5" applyNumberFormat="0" applyAlignment="0" applyProtection="0"/>
    <xf numFmtId="0" fontId="72" fillId="0" borderId="0"/>
    <xf numFmtId="0" fontId="3" fillId="22" borderId="0" applyNumberFormat="0" applyBorder="0" applyAlignment="0" applyProtection="0"/>
    <xf numFmtId="0" fontId="3" fillId="18" borderId="0" applyNumberFormat="0" applyBorder="0" applyAlignment="0" applyProtection="0"/>
    <xf numFmtId="0" fontId="54" fillId="77" borderId="0" applyNumberFormat="0" applyBorder="0" applyAlignment="0" applyProtection="0"/>
    <xf numFmtId="0" fontId="3" fillId="23" borderId="0" applyNumberFormat="0" applyBorder="0" applyAlignment="0" applyProtection="0"/>
    <xf numFmtId="0" fontId="18" fillId="0" borderId="9" applyNumberFormat="0" applyFill="0" applyAlignment="0" applyProtection="0"/>
    <xf numFmtId="0" fontId="3" fillId="31" borderId="0" applyNumberFormat="0" applyBorder="0" applyAlignment="0" applyProtection="0"/>
    <xf numFmtId="0" fontId="55" fillId="76" borderId="0" applyNumberFormat="0" applyBorder="0" applyAlignment="0" applyProtection="0"/>
    <xf numFmtId="0" fontId="54" fillId="79"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54" fillId="79" borderId="0" applyNumberFormat="0" applyBorder="0" applyAlignment="0" applyProtection="0"/>
    <xf numFmtId="0" fontId="68" fillId="0" borderId="0" applyNumberFormat="0" applyFill="0" applyBorder="0" applyAlignment="0" applyProtection="0"/>
    <xf numFmtId="0" fontId="16" fillId="0" borderId="0" applyNumberFormat="0" applyFill="0" applyBorder="0" applyAlignment="0" applyProtection="0"/>
    <xf numFmtId="0" fontId="19" fillId="16" borderId="0" applyNumberFormat="0" applyBorder="0" applyAlignment="0" applyProtection="0"/>
    <xf numFmtId="0" fontId="19" fillId="13" borderId="0" applyNumberFormat="0" applyBorder="0" applyAlignment="0" applyProtection="0"/>
    <xf numFmtId="0" fontId="17" fillId="0" borderId="0" applyNumberFormat="0" applyFill="0" applyBorder="0" applyAlignment="0" applyProtection="0"/>
    <xf numFmtId="0" fontId="72" fillId="0" borderId="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19" fillId="29" borderId="0" applyNumberFormat="0" applyBorder="0" applyAlignment="0" applyProtection="0"/>
    <xf numFmtId="0" fontId="19" fillId="24" borderId="0" applyNumberFormat="0" applyBorder="0" applyAlignment="0" applyProtection="0"/>
    <xf numFmtId="0" fontId="52" fillId="0" borderId="0"/>
    <xf numFmtId="0" fontId="52" fillId="67" borderId="45" applyNumberFormat="0" applyFont="0" applyBorder="0" applyAlignment="0" applyProtection="0"/>
    <xf numFmtId="1" fontId="47" fillId="0" borderId="0" applyFont="0" applyFill="0" applyBorder="0" applyAlignment="0" applyProtection="0"/>
    <xf numFmtId="166" fontId="47" fillId="0" borderId="0" applyFont="0" applyFill="0" applyBorder="0" applyAlignment="0" applyProtection="0"/>
    <xf numFmtId="2" fontId="47" fillId="0" borderId="0" applyFont="0" applyFill="0" applyBorder="0" applyAlignment="0" applyProtection="0"/>
    <xf numFmtId="165" fontId="47" fillId="0" borderId="0" applyFont="0" applyFill="0" applyBorder="0" applyAlignment="0" applyProtection="0"/>
    <xf numFmtId="167" fontId="47" fillId="0" borderId="0" applyFont="0" applyFill="0" applyBorder="0" applyAlignment="0" applyProtection="0"/>
    <xf numFmtId="10" fontId="46" fillId="0" borderId="0" applyFont="0" applyFill="0" applyBorder="0" applyAlignment="0" applyProtection="0"/>
    <xf numFmtId="9" fontId="46" fillId="0" borderId="0" applyFont="0" applyFill="0" applyBorder="0" applyAlignment="0" applyProtection="0"/>
    <xf numFmtId="0" fontId="46" fillId="70" borderId="0" applyNumberFormat="0" applyFont="0" applyBorder="0" applyAlignment="0" applyProtection="0">
      <alignment vertical="center"/>
    </xf>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3" fillId="2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0" borderId="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5" borderId="0" applyNumberFormat="0" applyBorder="0" applyAlignment="0" applyProtection="0"/>
    <xf numFmtId="0" fontId="3" fillId="10"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 borderId="8" applyNumberFormat="0" applyFont="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0" borderId="0"/>
    <xf numFmtId="0" fontId="3" fillId="1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11" borderId="0" applyNumberFormat="0" applyBorder="0" applyAlignment="0" applyProtection="0"/>
    <xf numFmtId="0" fontId="3" fillId="10" borderId="0" applyNumberFormat="0" applyBorder="0" applyAlignment="0" applyProtection="0"/>
    <xf numFmtId="0" fontId="3" fillId="31"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0" borderId="0"/>
    <xf numFmtId="0" fontId="3" fillId="27"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9"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14"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2" borderId="0" applyNumberFormat="0" applyBorder="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8" borderId="8" applyNumberFormat="0" applyFont="0" applyAlignment="0" applyProtection="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0"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2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18"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0" fontId="3" fillId="8" borderId="8" applyNumberFormat="0" applyFont="0" applyAlignment="0" applyProtection="0"/>
    <xf numFmtId="0" fontId="3" fillId="26"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9" fontId="37" fillId="0" borderId="0" applyFont="0" applyFill="0" applyBorder="0" applyAlignment="0" applyProtection="0"/>
  </cellStyleXfs>
  <cellXfs count="892">
    <xf numFmtId="0" fontId="0" fillId="0" borderId="0" xfId="0"/>
    <xf numFmtId="0" fontId="21" fillId="48" borderId="0" xfId="0" applyFont="1" applyFill="1" applyAlignment="1">
      <alignment wrapText="1"/>
    </xf>
    <xf numFmtId="0" fontId="22" fillId="48" borderId="0" xfId="0" applyFont="1" applyFill="1" applyAlignment="1">
      <alignment wrapText="1"/>
    </xf>
    <xf numFmtId="0" fontId="22" fillId="48" borderId="0" xfId="0" applyFont="1" applyFill="1" applyAlignment="1">
      <alignment horizontal="center" wrapText="1"/>
    </xf>
    <xf numFmtId="0" fontId="28" fillId="49" borderId="0" xfId="0" applyFont="1" applyFill="1" applyAlignment="1">
      <alignment horizontal="center" wrapText="1"/>
    </xf>
    <xf numFmtId="0" fontId="34" fillId="53" borderId="12" xfId="0" applyFont="1" applyFill="1" applyBorder="1" applyAlignment="1">
      <alignment horizontal="center" vertical="center" wrapText="1"/>
    </xf>
    <xf numFmtId="0" fontId="27" fillId="49" borderId="0" xfId="0" applyFont="1" applyFill="1" applyAlignment="1">
      <alignment horizontal="center"/>
    </xf>
    <xf numFmtId="0" fontId="22" fillId="48" borderId="0" xfId="0" applyFont="1" applyFill="1" applyAlignment="1">
      <alignment horizontal="left" wrapText="1"/>
    </xf>
    <xf numFmtId="0" fontId="28" fillId="49" borderId="0" xfId="0" applyFont="1" applyFill="1" applyAlignment="1">
      <alignment horizontal="left" wrapText="1"/>
    </xf>
    <xf numFmtId="0" fontId="27" fillId="49" borderId="0" xfId="0" applyFont="1" applyFill="1" applyAlignment="1">
      <alignment horizontal="left"/>
    </xf>
    <xf numFmtId="0" fontId="21" fillId="48" borderId="0" xfId="0" applyFont="1" applyFill="1" applyAlignment="1">
      <alignment horizontal="center" wrapText="1"/>
    </xf>
    <xf numFmtId="0" fontId="21" fillId="48" borderId="0" xfId="0" applyFont="1" applyFill="1" applyAlignment="1">
      <alignment horizontal="left" wrapText="1"/>
    </xf>
    <xf numFmtId="0" fontId="36" fillId="57" borderId="0" xfId="42" applyFont="1" applyFill="1" applyAlignment="1" applyProtection="1">
      <alignment horizontal="center" vertical="center"/>
    </xf>
    <xf numFmtId="0" fontId="36" fillId="58" borderId="0" xfId="42" applyFont="1" applyFill="1" applyAlignment="1" applyProtection="1">
      <alignment horizontal="center" vertical="center"/>
    </xf>
    <xf numFmtId="0" fontId="36" fillId="59" borderId="0" xfId="42" applyFont="1" applyFill="1" applyAlignment="1" applyProtection="1">
      <alignment horizontal="center" vertical="center"/>
    </xf>
    <xf numFmtId="0" fontId="29" fillId="49" borderId="0" xfId="0" applyFont="1" applyFill="1" applyAlignment="1">
      <alignment horizontal="center" vertical="center" wrapText="1"/>
    </xf>
    <xf numFmtId="0" fontId="29" fillId="49" borderId="0" xfId="0" applyFont="1" applyFill="1" applyAlignment="1">
      <alignment horizontal="left" vertical="center" wrapText="1"/>
    </xf>
    <xf numFmtId="0" fontId="40" fillId="48" borderId="0" xfId="0" applyFont="1" applyFill="1" applyAlignment="1">
      <alignment horizontal="left" wrapText="1"/>
    </xf>
    <xf numFmtId="0" fontId="42" fillId="48" borderId="0" xfId="0" applyFont="1" applyFill="1" applyAlignment="1">
      <alignment horizontal="left" wrapText="1"/>
    </xf>
    <xf numFmtId="0" fontId="40" fillId="48" borderId="0" xfId="0" applyFont="1" applyFill="1" applyAlignment="1">
      <alignment horizontal="center" wrapText="1"/>
    </xf>
    <xf numFmtId="0" fontId="42" fillId="48" borderId="0" xfId="0" applyFont="1" applyFill="1" applyAlignment="1">
      <alignment horizontal="center" wrapText="1"/>
    </xf>
    <xf numFmtId="0" fontId="33" fillId="49" borderId="0" xfId="0" applyFont="1" applyFill="1" applyAlignment="1">
      <alignment horizontal="center" vertical="center" wrapText="1"/>
    </xf>
    <xf numFmtId="0" fontId="45" fillId="49" borderId="0" xfId="0" applyFont="1" applyFill="1" applyAlignment="1">
      <alignment horizontal="center" vertical="center" wrapText="1"/>
    </xf>
    <xf numFmtId="0" fontId="31" fillId="62" borderId="12" xfId="42" applyFont="1" applyFill="1" applyBorder="1" applyAlignment="1" applyProtection="1">
      <alignment horizontal="left" vertical="center" wrapText="1" indent="1"/>
    </xf>
    <xf numFmtId="0" fontId="31" fillId="57" borderId="24" xfId="42" applyFont="1" applyFill="1" applyBorder="1" applyAlignment="1" applyProtection="1">
      <alignment horizontal="left" vertical="center" wrapText="1" indent="1"/>
    </xf>
    <xf numFmtId="0" fontId="31" fillId="42" borderId="12" xfId="42" applyFont="1" applyFill="1" applyBorder="1" applyAlignment="1" applyProtection="1">
      <alignment horizontal="left" vertical="center" wrapText="1" indent="1"/>
    </xf>
    <xf numFmtId="0" fontId="33" fillId="48" borderId="0" xfId="0" applyFont="1" applyFill="1" applyAlignment="1">
      <alignment vertical="center" wrapText="1"/>
    </xf>
    <xf numFmtId="0" fontId="33" fillId="48" borderId="0" xfId="0" applyFont="1" applyFill="1" applyAlignment="1">
      <alignment vertical="center"/>
    </xf>
    <xf numFmtId="0" fontId="33" fillId="48" borderId="0" xfId="0" applyFont="1" applyFill="1" applyAlignment="1">
      <alignment horizontal="center" vertical="center" wrapText="1"/>
    </xf>
    <xf numFmtId="0" fontId="33" fillId="49" borderId="0" xfId="0" applyFont="1" applyFill="1" applyAlignment="1">
      <alignment horizontal="center" wrapText="1"/>
    </xf>
    <xf numFmtId="0" fontId="33" fillId="53" borderId="12" xfId="0" applyFont="1" applyFill="1" applyBorder="1" applyAlignment="1">
      <alignment horizontal="center" vertical="center" wrapText="1"/>
    </xf>
    <xf numFmtId="0" fontId="33" fillId="64" borderId="25" xfId="0" applyFont="1" applyFill="1" applyBorder="1" applyAlignment="1">
      <alignment horizontal="center" vertical="center" wrapText="1"/>
    </xf>
    <xf numFmtId="0" fontId="33" fillId="64" borderId="27" xfId="42" applyFont="1" applyFill="1" applyBorder="1" applyAlignment="1" applyProtection="1">
      <alignment horizontal="left" vertical="center" wrapText="1"/>
    </xf>
    <xf numFmtId="0" fontId="34" fillId="53" borderId="13" xfId="0" applyFont="1" applyFill="1" applyBorder="1" applyAlignment="1">
      <alignment horizontal="left" vertical="center" wrapText="1" indent="1"/>
    </xf>
    <xf numFmtId="0" fontId="21" fillId="0" borderId="0" xfId="0" applyFont="1" applyAlignment="1">
      <alignment wrapText="1"/>
    </xf>
    <xf numFmtId="0" fontId="27" fillId="0" borderId="0" xfId="0" applyFont="1"/>
    <xf numFmtId="0" fontId="27" fillId="0" borderId="0" xfId="0" applyFont="1" applyAlignment="1">
      <alignment vertical="center"/>
    </xf>
    <xf numFmtId="0" fontId="27" fillId="0" borderId="0" xfId="0" applyFont="1" applyAlignment="1">
      <alignment wrapText="1"/>
    </xf>
    <xf numFmtId="0" fontId="32" fillId="55" borderId="12" xfId="0" applyFont="1" applyFill="1" applyBorder="1" applyAlignment="1">
      <alignment horizontal="left" vertical="center" wrapText="1" indent="1"/>
    </xf>
    <xf numFmtId="0" fontId="32" fillId="62" borderId="59" xfId="0" applyFont="1" applyFill="1" applyBorder="1" applyAlignment="1">
      <alignment horizontal="left" vertical="center" wrapText="1" indent="1"/>
    </xf>
    <xf numFmtId="0" fontId="31" fillId="45" borderId="12" xfId="42" applyFont="1" applyFill="1" applyBorder="1" applyAlignment="1" applyProtection="1">
      <alignment horizontal="left" vertical="center" wrapText="1" indent="1"/>
    </xf>
    <xf numFmtId="0" fontId="31" fillId="57" borderId="12" xfId="42" applyFont="1" applyFill="1" applyBorder="1" applyAlignment="1" applyProtection="1">
      <alignment horizontal="left" vertical="center" wrapText="1" indent="1"/>
    </xf>
    <xf numFmtId="0" fontId="2" fillId="48" borderId="0" xfId="0" applyFont="1" applyFill="1" applyAlignment="1">
      <alignment horizontal="center" wrapText="1"/>
    </xf>
    <xf numFmtId="0" fontId="22" fillId="0" borderId="0" xfId="0" applyFont="1"/>
    <xf numFmtId="0" fontId="27" fillId="0" borderId="0" xfId="0" applyFont="1" applyAlignment="1">
      <alignment horizontal="center" vertical="center"/>
    </xf>
    <xf numFmtId="0" fontId="22" fillId="0" borderId="0" xfId="0" applyFont="1" applyAlignment="1">
      <alignment vertical="center"/>
    </xf>
    <xf numFmtId="0" fontId="78" fillId="48" borderId="0" xfId="0" applyFont="1" applyFill="1" applyAlignment="1">
      <alignment vertical="center" wrapText="1"/>
    </xf>
    <xf numFmtId="0" fontId="79" fillId="48" borderId="0" xfId="0" applyFont="1" applyFill="1" applyAlignment="1">
      <alignment vertical="center"/>
    </xf>
    <xf numFmtId="0" fontId="78" fillId="48" borderId="0" xfId="0" applyFont="1" applyFill="1" applyAlignment="1">
      <alignment horizontal="center" vertical="center" wrapText="1"/>
    </xf>
    <xf numFmtId="0" fontId="2" fillId="49" borderId="0" xfId="42" applyFont="1" applyFill="1" applyAlignment="1" applyProtection="1">
      <alignment horizontal="center" wrapText="1"/>
    </xf>
    <xf numFmtId="0" fontId="27" fillId="49" borderId="0" xfId="0" applyFont="1" applyFill="1"/>
    <xf numFmtId="0" fontId="2" fillId="0" borderId="0" xfId="0" applyFont="1"/>
    <xf numFmtId="0" fontId="77" fillId="62" borderId="18" xfId="42" applyFont="1" applyFill="1" applyBorder="1" applyAlignment="1" applyProtection="1">
      <alignment horizontal="left" vertical="center" wrapText="1" indent="1"/>
    </xf>
    <xf numFmtId="0" fontId="1" fillId="62" borderId="18" xfId="0" applyFont="1" applyFill="1" applyBorder="1" applyAlignment="1">
      <alignment horizontal="center" vertical="center" wrapText="1"/>
    </xf>
    <xf numFmtId="0" fontId="1" fillId="62" borderId="11" xfId="0" applyFont="1" applyFill="1" applyBorder="1" applyAlignment="1">
      <alignment horizontal="center" vertical="center" wrapText="1"/>
    </xf>
    <xf numFmtId="0" fontId="1" fillId="62" borderId="19" xfId="0" applyFont="1" applyFill="1" applyBorder="1" applyAlignment="1">
      <alignment horizontal="center" vertical="center" wrapText="1"/>
    </xf>
    <xf numFmtId="0" fontId="1" fillId="0" borderId="0" xfId="0" applyFont="1" applyAlignment="1">
      <alignment vertical="center"/>
    </xf>
    <xf numFmtId="0" fontId="33" fillId="0" borderId="0" xfId="0" applyFont="1" applyAlignment="1">
      <alignment horizontal="right" vertical="center"/>
    </xf>
    <xf numFmtId="0" fontId="33" fillId="0" borderId="0" xfId="0" applyFont="1" applyAlignment="1">
      <alignment vertical="center"/>
    </xf>
    <xf numFmtId="0" fontId="1" fillId="0" borderId="0" xfId="0" applyFont="1"/>
    <xf numFmtId="0" fontId="33" fillId="0" borderId="0" xfId="0" applyFont="1"/>
    <xf numFmtId="2" fontId="1" fillId="0" borderId="0" xfId="0" applyNumberFormat="1" applyFont="1" applyAlignment="1">
      <alignment vertical="center"/>
    </xf>
    <xf numFmtId="0" fontId="1" fillId="0" borderId="0" xfId="0" applyFont="1" applyAlignment="1">
      <alignment horizontal="right" vertical="center"/>
    </xf>
    <xf numFmtId="0" fontId="82" fillId="0" borderId="0" xfId="0" applyFont="1" applyAlignment="1">
      <alignment vertical="center"/>
    </xf>
    <xf numFmtId="0" fontId="1" fillId="62" borderId="13" xfId="0" applyFont="1" applyFill="1" applyBorder="1" applyAlignment="1">
      <alignment horizontal="left" vertical="center" wrapText="1" indent="1"/>
    </xf>
    <xf numFmtId="0" fontId="1" fillId="35" borderId="12" xfId="42" applyFont="1" applyFill="1" applyBorder="1" applyAlignment="1" applyProtection="1">
      <alignment horizontal="center" vertical="center" wrapText="1"/>
    </xf>
    <xf numFmtId="0" fontId="1" fillId="34" borderId="12" xfId="42" applyFont="1" applyFill="1" applyBorder="1" applyAlignment="1" applyProtection="1">
      <alignment horizontal="center" vertical="center" wrapText="1"/>
    </xf>
    <xf numFmtId="0" fontId="1" fillId="33" borderId="18" xfId="42" applyFont="1" applyFill="1" applyBorder="1" applyAlignment="1" applyProtection="1">
      <alignment horizontal="center" vertical="center" wrapText="1"/>
    </xf>
    <xf numFmtId="0" fontId="1" fillId="62" borderId="12" xfId="42" applyFont="1" applyFill="1" applyBorder="1" applyAlignment="1" applyProtection="1">
      <alignment horizontal="center" vertical="center" wrapText="1"/>
    </xf>
    <xf numFmtId="0" fontId="1" fillId="36" borderId="13" xfId="42" applyFont="1" applyFill="1" applyBorder="1" applyAlignment="1" applyProtection="1">
      <alignment horizontal="center" vertical="center" wrapText="1"/>
    </xf>
    <xf numFmtId="0" fontId="1" fillId="54" borderId="12" xfId="42" applyFont="1" applyFill="1" applyBorder="1" applyAlignment="1" applyProtection="1">
      <alignment horizontal="center" vertical="center" wrapText="1"/>
    </xf>
    <xf numFmtId="0" fontId="1" fillId="55" borderId="12" xfId="42" applyFont="1" applyFill="1" applyBorder="1" applyAlignment="1" applyProtection="1">
      <alignment horizontal="center" vertical="center" wrapText="1"/>
    </xf>
    <xf numFmtId="0" fontId="1" fillId="55" borderId="13" xfId="42" applyFont="1" applyFill="1" applyBorder="1" applyAlignment="1" applyProtection="1">
      <alignment horizontal="center" vertical="center" wrapText="1"/>
    </xf>
    <xf numFmtId="0" fontId="1" fillId="38" borderId="24" xfId="42" applyFont="1" applyFill="1" applyBorder="1" applyAlignment="1" applyProtection="1">
      <alignment horizontal="center" vertical="center" wrapText="1"/>
    </xf>
    <xf numFmtId="0" fontId="1" fillId="57" borderId="24" xfId="42" applyFont="1" applyFill="1" applyBorder="1" applyAlignment="1" applyProtection="1">
      <alignment horizontal="center" vertical="center" wrapText="1"/>
    </xf>
    <xf numFmtId="0" fontId="1" fillId="39" borderId="14" xfId="42" applyFont="1" applyFill="1" applyBorder="1" applyAlignment="1" applyProtection="1">
      <alignment horizontal="center" vertical="center" wrapText="1"/>
    </xf>
    <xf numFmtId="0" fontId="1" fillId="39" borderId="12" xfId="42" applyFont="1" applyFill="1" applyBorder="1" applyAlignment="1" applyProtection="1">
      <alignment horizontal="center" vertical="center" wrapText="1"/>
    </xf>
    <xf numFmtId="0" fontId="1" fillId="60" borderId="14" xfId="42" applyFont="1" applyFill="1" applyBorder="1" applyAlignment="1" applyProtection="1">
      <alignment horizontal="center" vertical="center" wrapText="1"/>
    </xf>
    <xf numFmtId="0" fontId="1" fillId="40" borderId="13" xfId="42" applyFont="1" applyFill="1" applyBorder="1" applyAlignment="1" applyProtection="1">
      <alignment horizontal="center" vertical="center" wrapText="1"/>
    </xf>
    <xf numFmtId="0" fontId="1" fillId="34" borderId="24" xfId="42" applyFont="1" applyFill="1" applyBorder="1" applyAlignment="1" applyProtection="1">
      <alignment horizontal="center" vertical="center" wrapText="1"/>
    </xf>
    <xf numFmtId="0" fontId="1" fillId="41" borderId="31" xfId="42" applyFont="1" applyFill="1" applyBorder="1" applyAlignment="1" applyProtection="1">
      <alignment horizontal="center" vertical="center" wrapText="1"/>
    </xf>
    <xf numFmtId="0" fontId="1" fillId="42" borderId="13" xfId="42" applyFont="1" applyFill="1" applyBorder="1" applyAlignment="1" applyProtection="1">
      <alignment horizontal="center" vertical="center" wrapText="1"/>
    </xf>
    <xf numFmtId="0" fontId="1" fillId="42" borderId="12" xfId="42" applyFont="1" applyFill="1" applyBorder="1" applyAlignment="1" applyProtection="1">
      <alignment horizontal="center" vertical="center" wrapText="1"/>
    </xf>
    <xf numFmtId="0" fontId="1" fillId="61" borderId="12" xfId="42" applyFont="1" applyFill="1" applyBorder="1" applyAlignment="1" applyProtection="1">
      <alignment horizontal="center" vertical="center" wrapText="1"/>
    </xf>
    <xf numFmtId="0" fontId="1" fillId="43" borderId="12" xfId="42" applyFont="1" applyFill="1" applyBorder="1" applyAlignment="1" applyProtection="1">
      <alignment horizontal="center" vertical="center" wrapText="1"/>
    </xf>
    <xf numFmtId="0" fontId="1" fillId="43" borderId="13" xfId="42" applyFont="1" applyFill="1" applyBorder="1" applyAlignment="1" applyProtection="1">
      <alignment horizontal="center" vertical="center" wrapText="1"/>
    </xf>
    <xf numFmtId="0" fontId="1" fillId="62" borderId="13" xfId="42" applyFont="1" applyFill="1" applyBorder="1" applyAlignment="1" applyProtection="1">
      <alignment horizontal="center" vertical="center" wrapText="1"/>
    </xf>
    <xf numFmtId="0" fontId="1" fillId="62" borderId="24" xfId="42" applyFont="1" applyFill="1" applyBorder="1" applyAlignment="1" applyProtection="1">
      <alignment horizontal="center" vertical="center" wrapText="1"/>
    </xf>
    <xf numFmtId="0" fontId="1" fillId="62" borderId="61" xfId="42" applyFont="1" applyFill="1" applyBorder="1" applyAlignment="1" applyProtection="1">
      <alignment horizontal="center" vertical="center" wrapText="1"/>
    </xf>
    <xf numFmtId="0" fontId="1" fillId="62" borderId="0" xfId="42" applyFont="1" applyFill="1" applyAlignment="1" applyProtection="1">
      <alignment horizontal="center" wrapText="1"/>
    </xf>
    <xf numFmtId="0" fontId="1" fillId="62" borderId="14" xfId="42" applyFont="1" applyFill="1" applyBorder="1" applyAlignment="1" applyProtection="1">
      <alignment horizontal="center" vertical="center" wrapText="1"/>
    </xf>
    <xf numFmtId="0" fontId="1" fillId="44" borderId="12" xfId="42" applyFont="1" applyFill="1" applyBorder="1" applyAlignment="1" applyProtection="1">
      <alignment horizontal="center" vertical="center" wrapText="1"/>
    </xf>
    <xf numFmtId="0" fontId="1" fillId="45" borderId="12" xfId="42" applyFont="1" applyFill="1" applyBorder="1" applyAlignment="1" applyProtection="1">
      <alignment horizontal="center" vertical="center" wrapText="1"/>
    </xf>
    <xf numFmtId="0" fontId="1" fillId="45" borderId="13" xfId="42" applyFont="1" applyFill="1" applyBorder="1" applyAlignment="1" applyProtection="1">
      <alignment horizontal="center" vertical="center" wrapText="1"/>
    </xf>
    <xf numFmtId="0" fontId="1" fillId="37" borderId="12" xfId="42" applyFont="1" applyFill="1" applyBorder="1" applyAlignment="1" applyProtection="1">
      <alignment horizontal="center" vertical="center" wrapText="1"/>
    </xf>
    <xf numFmtId="0" fontId="1" fillId="46" borderId="12" xfId="42" applyFont="1" applyFill="1" applyBorder="1" applyAlignment="1" applyProtection="1">
      <alignment horizontal="center" vertical="center" wrapText="1"/>
    </xf>
    <xf numFmtId="0" fontId="1" fillId="57" borderId="12" xfId="42" applyFont="1" applyFill="1" applyBorder="1" applyAlignment="1" applyProtection="1">
      <alignment horizontal="center" vertical="center" wrapText="1"/>
    </xf>
    <xf numFmtId="0" fontId="1" fillId="57" borderId="13" xfId="42" applyFont="1" applyFill="1" applyBorder="1" applyAlignment="1" applyProtection="1">
      <alignment horizontal="center" vertical="center" wrapText="1"/>
    </xf>
    <xf numFmtId="0" fontId="1" fillId="47" borderId="32" xfId="42" applyFont="1" applyFill="1" applyBorder="1" applyAlignment="1" applyProtection="1">
      <alignment horizontal="center" vertical="center" wrapText="1"/>
    </xf>
    <xf numFmtId="0" fontId="1" fillId="61" borderId="24" xfId="42" applyFont="1" applyFill="1" applyBorder="1" applyAlignment="1" applyProtection="1">
      <alignment horizontal="center" vertical="center" wrapText="1"/>
    </xf>
    <xf numFmtId="0" fontId="1" fillId="55" borderId="12" xfId="0" applyFont="1" applyFill="1" applyBorder="1" applyAlignment="1">
      <alignment horizontal="left" vertical="center" wrapText="1" indent="1"/>
    </xf>
    <xf numFmtId="0" fontId="1" fillId="54" borderId="12" xfId="0" applyFont="1" applyFill="1" applyBorder="1" applyAlignment="1">
      <alignment horizontal="left" vertical="center" wrapText="1" indent="1"/>
    </xf>
    <xf numFmtId="0" fontId="85" fillId="54" borderId="12" xfId="42" applyFont="1" applyFill="1" applyBorder="1" applyAlignment="1" applyProtection="1">
      <alignment horizontal="left" vertical="center" wrapText="1" indent="1"/>
    </xf>
    <xf numFmtId="0" fontId="1" fillId="55" borderId="13" xfId="0" applyFont="1" applyFill="1" applyBorder="1" applyAlignment="1">
      <alignment horizontal="left" vertical="center" wrapText="1" indent="1"/>
    </xf>
    <xf numFmtId="0" fontId="85" fillId="61" borderId="24" xfId="42" applyFont="1" applyFill="1" applyBorder="1" applyAlignment="1" applyProtection="1">
      <alignment horizontal="left" vertical="center" wrapText="1" indent="1"/>
    </xf>
    <xf numFmtId="0" fontId="85" fillId="38" borderId="63" xfId="42" applyFont="1" applyFill="1" applyBorder="1" applyAlignment="1" applyProtection="1">
      <alignment horizontal="left" vertical="center" wrapText="1" indent="1"/>
    </xf>
    <xf numFmtId="0" fontId="85" fillId="62" borderId="12" xfId="42" applyFont="1" applyFill="1" applyBorder="1" applyAlignment="1" applyProtection="1">
      <alignment horizontal="left" vertical="center" wrapText="1" indent="1"/>
    </xf>
    <xf numFmtId="0" fontId="85" fillId="57" borderId="24" xfId="42" applyFont="1" applyFill="1" applyBorder="1" applyAlignment="1" applyProtection="1">
      <alignment horizontal="left" vertical="center" wrapText="1" indent="1"/>
    </xf>
    <xf numFmtId="0" fontId="84" fillId="34" borderId="24" xfId="42" applyFont="1" applyFill="1" applyBorder="1" applyAlignment="1" applyProtection="1">
      <alignment horizontal="left" vertical="center" wrapText="1" indent="1"/>
    </xf>
    <xf numFmtId="0" fontId="85" fillId="42" borderId="12" xfId="42" applyFont="1" applyFill="1" applyBorder="1" applyAlignment="1" applyProtection="1">
      <alignment horizontal="left" vertical="center" wrapText="1" indent="1"/>
    </xf>
    <xf numFmtId="0" fontId="1" fillId="62" borderId="12" xfId="0" applyFont="1" applyFill="1" applyBorder="1" applyAlignment="1">
      <alignment horizontal="left" vertical="center" wrapText="1" indent="1"/>
    </xf>
    <xf numFmtId="0" fontId="85" fillId="62" borderId="18" xfId="42" applyFont="1" applyFill="1" applyBorder="1" applyAlignment="1" applyProtection="1">
      <alignment horizontal="left" vertical="center" wrapText="1" indent="1"/>
    </xf>
    <xf numFmtId="0" fontId="85" fillId="62" borderId="11" xfId="42" applyFont="1" applyFill="1" applyBorder="1" applyAlignment="1" applyProtection="1">
      <alignment horizontal="left" vertical="center" wrapText="1" indent="1"/>
    </xf>
    <xf numFmtId="0" fontId="86" fillId="62" borderId="18" xfId="42" applyFont="1" applyFill="1" applyBorder="1" applyAlignment="1" applyProtection="1">
      <alignment horizontal="left" vertical="center" wrapText="1" indent="1"/>
    </xf>
    <xf numFmtId="0" fontId="85" fillId="45" borderId="12" xfId="42" applyFont="1" applyFill="1" applyBorder="1" applyAlignment="1" applyProtection="1">
      <alignment horizontal="left" vertical="center" wrapText="1" indent="1"/>
    </xf>
    <xf numFmtId="0" fontId="85" fillId="57" borderId="12" xfId="42" applyFont="1" applyFill="1" applyBorder="1" applyAlignment="1" applyProtection="1">
      <alignment horizontal="left" vertical="center" wrapText="1" indent="1"/>
    </xf>
    <xf numFmtId="0" fontId="85" fillId="47" borderId="60" xfId="42" applyFont="1" applyFill="1" applyBorder="1" applyAlignment="1" applyProtection="1">
      <alignment horizontal="left" vertical="center" wrapText="1"/>
    </xf>
    <xf numFmtId="0" fontId="83" fillId="48" borderId="0" xfId="0" applyFont="1" applyFill="1" applyAlignment="1">
      <alignment horizontal="center" wrapText="1"/>
    </xf>
    <xf numFmtId="0" fontId="88" fillId="48" borderId="0" xfId="0" applyFont="1" applyFill="1" applyAlignment="1">
      <alignment vertical="center" wrapText="1"/>
    </xf>
    <xf numFmtId="0" fontId="88" fillId="48" borderId="0" xfId="0" applyFont="1" applyFill="1" applyAlignment="1">
      <alignment vertical="center"/>
    </xf>
    <xf numFmtId="0" fontId="88" fillId="48" borderId="0" xfId="0" applyFont="1" applyFill="1" applyAlignment="1">
      <alignment horizontal="center" vertical="center" wrapText="1"/>
    </xf>
    <xf numFmtId="0" fontId="83" fillId="49" borderId="0" xfId="42" applyFont="1" applyFill="1" applyAlignment="1" applyProtection="1">
      <alignment horizontal="center" wrapText="1"/>
    </xf>
    <xf numFmtId="0" fontId="88" fillId="49" borderId="0" xfId="0" applyFont="1" applyFill="1" applyAlignment="1">
      <alignment horizontal="center" wrapText="1"/>
    </xf>
    <xf numFmtId="0" fontId="83" fillId="49" borderId="0" xfId="0" applyFont="1" applyFill="1" applyAlignment="1">
      <alignment horizontal="center" wrapText="1"/>
    </xf>
    <xf numFmtId="0" fontId="88" fillId="49" borderId="0" xfId="0" applyFont="1" applyFill="1" applyAlignment="1">
      <alignment horizontal="center" vertical="center" wrapText="1"/>
    </xf>
    <xf numFmtId="0" fontId="88" fillId="53" borderId="12" xfId="0" applyFont="1" applyFill="1" applyBorder="1" applyAlignment="1">
      <alignment horizontal="center" vertical="center" wrapText="1"/>
    </xf>
    <xf numFmtId="0" fontId="83" fillId="33" borderId="13" xfId="42" applyFont="1" applyFill="1" applyBorder="1" applyAlignment="1" applyProtection="1">
      <alignment horizontal="center" vertical="center" wrapText="1"/>
    </xf>
    <xf numFmtId="0" fontId="83" fillId="34" borderId="12" xfId="42" applyFont="1" applyFill="1" applyBorder="1" applyAlignment="1" applyProtection="1">
      <alignment horizontal="center" vertical="center" wrapText="1"/>
    </xf>
    <xf numFmtId="0" fontId="83" fillId="62" borderId="12" xfId="42" applyFont="1" applyFill="1" applyBorder="1" applyAlignment="1" applyProtection="1">
      <alignment horizontal="center" vertical="center" wrapText="1"/>
    </xf>
    <xf numFmtId="0" fontId="83" fillId="35" borderId="12" xfId="42" applyFont="1" applyFill="1" applyBorder="1" applyAlignment="1" applyProtection="1">
      <alignment horizontal="center" vertical="center" wrapText="1"/>
    </xf>
    <xf numFmtId="0" fontId="83" fillId="36" borderId="13" xfId="42" applyFont="1" applyFill="1" applyBorder="1" applyAlignment="1" applyProtection="1">
      <alignment horizontal="center" vertical="center" wrapText="1"/>
    </xf>
    <xf numFmtId="0" fontId="83" fillId="54" borderId="12" xfId="42" applyFont="1" applyFill="1" applyBorder="1" applyAlignment="1" applyProtection="1">
      <alignment horizontal="center" vertical="center" wrapText="1"/>
    </xf>
    <xf numFmtId="0" fontId="83" fillId="55" borderId="12" xfId="42" applyFont="1" applyFill="1" applyBorder="1" applyAlignment="1" applyProtection="1">
      <alignment horizontal="center" vertical="center" wrapText="1"/>
    </xf>
    <xf numFmtId="0" fontId="83" fillId="55" borderId="13" xfId="42" applyFont="1" applyFill="1" applyBorder="1" applyAlignment="1" applyProtection="1">
      <alignment horizontal="center" vertical="center" wrapText="1"/>
    </xf>
    <xf numFmtId="0" fontId="83" fillId="61" borderId="24" xfId="42" applyFont="1" applyFill="1" applyBorder="1" applyAlignment="1" applyProtection="1">
      <alignment horizontal="center" vertical="center" wrapText="1"/>
    </xf>
    <xf numFmtId="0" fontId="83" fillId="57" borderId="24" xfId="42" applyFont="1" applyFill="1" applyBorder="1" applyAlignment="1" applyProtection="1">
      <alignment horizontal="center" vertical="center" wrapText="1"/>
    </xf>
    <xf numFmtId="0" fontId="83" fillId="39" borderId="14" xfId="42" applyFont="1" applyFill="1" applyBorder="1" applyAlignment="1" applyProtection="1">
      <alignment horizontal="center" vertical="center" wrapText="1"/>
    </xf>
    <xf numFmtId="0" fontId="83" fillId="39" borderId="12" xfId="42" applyFont="1" applyFill="1" applyBorder="1" applyAlignment="1" applyProtection="1">
      <alignment horizontal="center" vertical="center" wrapText="1"/>
    </xf>
    <xf numFmtId="0" fontId="83" fillId="61" borderId="12" xfId="42" applyFont="1" applyFill="1" applyBorder="1" applyAlignment="1" applyProtection="1">
      <alignment horizontal="center" vertical="center" wrapText="1"/>
    </xf>
    <xf numFmtId="0" fontId="83" fillId="43" borderId="12" xfId="42" applyFont="1" applyFill="1" applyBorder="1" applyAlignment="1" applyProtection="1">
      <alignment horizontal="center" vertical="center" wrapText="1"/>
    </xf>
    <xf numFmtId="0" fontId="83" fillId="43" borderId="13" xfId="42" applyFont="1" applyFill="1" applyBorder="1" applyAlignment="1" applyProtection="1">
      <alignment horizontal="center" vertical="center" wrapText="1"/>
    </xf>
    <xf numFmtId="0" fontId="83" fillId="62" borderId="13" xfId="42" applyFont="1" applyFill="1" applyBorder="1" applyAlignment="1" applyProtection="1">
      <alignment horizontal="center" vertical="center" wrapText="1"/>
    </xf>
    <xf numFmtId="0" fontId="83" fillId="62" borderId="24" xfId="42" applyFont="1" applyFill="1" applyBorder="1" applyAlignment="1" applyProtection="1">
      <alignment horizontal="center" vertical="center" wrapText="1"/>
    </xf>
    <xf numFmtId="0" fontId="83" fillId="62" borderId="61" xfId="42" applyFont="1" applyFill="1" applyBorder="1" applyAlignment="1" applyProtection="1">
      <alignment horizontal="center" vertical="center" wrapText="1"/>
    </xf>
    <xf numFmtId="0" fontId="83" fillId="62" borderId="24" xfId="42" applyFont="1" applyFill="1" applyBorder="1" applyAlignment="1" applyProtection="1">
      <alignment horizontal="center" wrapText="1"/>
    </xf>
    <xf numFmtId="0" fontId="83" fillId="62" borderId="20" xfId="42" applyFont="1" applyFill="1" applyBorder="1" applyAlignment="1" applyProtection="1">
      <alignment horizontal="center" vertical="center" wrapText="1"/>
    </xf>
    <xf numFmtId="0" fontId="83" fillId="44" borderId="12" xfId="42" applyFont="1" applyFill="1" applyBorder="1" applyAlignment="1" applyProtection="1">
      <alignment horizontal="center" vertical="center" wrapText="1"/>
    </xf>
    <xf numFmtId="0" fontId="83" fillId="45" borderId="12" xfId="42" applyFont="1" applyFill="1" applyBorder="1" applyAlignment="1" applyProtection="1">
      <alignment horizontal="center" vertical="center" wrapText="1"/>
    </xf>
    <xf numFmtId="0" fontId="83" fillId="45" borderId="13" xfId="42" applyFont="1" applyFill="1" applyBorder="1" applyAlignment="1" applyProtection="1">
      <alignment horizontal="center" vertical="center" wrapText="1"/>
    </xf>
    <xf numFmtId="0" fontId="83" fillId="37" borderId="12" xfId="42" applyFont="1" applyFill="1" applyBorder="1" applyAlignment="1" applyProtection="1">
      <alignment horizontal="center" vertical="center" wrapText="1"/>
    </xf>
    <xf numFmtId="0" fontId="83" fillId="46" borderId="12" xfId="42" applyFont="1" applyFill="1" applyBorder="1" applyAlignment="1" applyProtection="1">
      <alignment horizontal="center" vertical="center" wrapText="1"/>
    </xf>
    <xf numFmtId="0" fontId="83" fillId="47" borderId="34" xfId="42" applyFont="1" applyFill="1" applyBorder="1" applyAlignment="1" applyProtection="1">
      <alignment horizontal="center" vertical="center" wrapText="1"/>
    </xf>
    <xf numFmtId="0" fontId="83" fillId="51" borderId="25" xfId="0" applyFont="1" applyFill="1" applyBorder="1" applyAlignment="1">
      <alignment horizontal="center" vertical="center" wrapText="1"/>
    </xf>
    <xf numFmtId="0" fontId="83" fillId="0" borderId="0" xfId="0" applyFont="1"/>
    <xf numFmtId="0" fontId="1" fillId="49" borderId="0" xfId="0" applyFont="1" applyFill="1" applyAlignment="1">
      <alignment horizontal="center" wrapText="1"/>
    </xf>
    <xf numFmtId="0" fontId="1" fillId="62" borderId="16" xfId="0" applyFont="1" applyFill="1" applyBorder="1" applyAlignment="1">
      <alignment horizontal="left" vertical="center" wrapText="1"/>
    </xf>
    <xf numFmtId="0" fontId="1" fillId="62" borderId="17" xfId="0" applyFont="1" applyFill="1" applyBorder="1" applyAlignment="1">
      <alignment horizontal="left" vertical="center" wrapText="1"/>
    </xf>
    <xf numFmtId="0" fontId="1" fillId="62" borderId="12" xfId="0" applyFont="1" applyFill="1" applyBorder="1" applyAlignment="1">
      <alignment horizontal="center" vertical="center" wrapText="1"/>
    </xf>
    <xf numFmtId="0" fontId="1" fillId="61" borderId="24" xfId="0" applyFont="1" applyFill="1" applyBorder="1" applyAlignment="1">
      <alignment horizontal="center" vertical="center" wrapText="1"/>
    </xf>
    <xf numFmtId="164" fontId="22" fillId="49" borderId="0" xfId="0" applyNumberFormat="1" applyFont="1" applyFill="1" applyAlignment="1">
      <alignment horizontal="left" vertical="center" wrapText="1" indent="2"/>
    </xf>
    <xf numFmtId="0" fontId="43" fillId="49" borderId="0" xfId="42" applyFont="1" applyFill="1" applyAlignment="1" applyProtection="1">
      <alignment horizontal="center" vertical="center" wrapText="1"/>
    </xf>
    <xf numFmtId="0" fontId="24" fillId="49" borderId="0" xfId="42" applyFont="1" applyFill="1" applyAlignment="1" applyProtection="1">
      <alignment horizontal="center" vertical="center" wrapText="1"/>
    </xf>
    <xf numFmtId="0" fontId="22" fillId="49" borderId="0" xfId="0" applyFont="1" applyFill="1" applyAlignment="1">
      <alignment horizontal="left" vertical="center" wrapText="1" indent="2"/>
    </xf>
    <xf numFmtId="0" fontId="87" fillId="48" borderId="0" xfId="0" applyFont="1" applyFill="1" applyAlignment="1">
      <alignment horizontal="center" vertical="center" wrapText="1"/>
    </xf>
    <xf numFmtId="0" fontId="32" fillId="48" borderId="0" xfId="0" applyFont="1" applyFill="1" applyAlignment="1">
      <alignment horizontal="center" vertical="center" wrapText="1"/>
    </xf>
    <xf numFmtId="0" fontId="23" fillId="48" borderId="0" xfId="0" applyFont="1" applyFill="1" applyAlignment="1">
      <alignment horizontal="left" vertical="center" wrapText="1"/>
    </xf>
    <xf numFmtId="0" fontId="23" fillId="48" borderId="0" xfId="0" applyFont="1" applyFill="1" applyAlignment="1">
      <alignment vertical="center" wrapText="1"/>
    </xf>
    <xf numFmtId="0" fontId="23" fillId="48" borderId="0" xfId="0" applyFont="1" applyFill="1" applyAlignment="1">
      <alignment horizontal="center" vertical="center" wrapText="1"/>
    </xf>
    <xf numFmtId="0" fontId="24" fillId="49" borderId="33" xfId="42" applyFont="1" applyFill="1" applyBorder="1" applyAlignment="1" applyProtection="1">
      <alignment horizontal="center" vertical="center" wrapText="1"/>
    </xf>
    <xf numFmtId="0" fontId="45" fillId="49" borderId="33" xfId="0" applyFont="1" applyFill="1" applyBorder="1" applyAlignment="1">
      <alignment horizontal="left" vertical="center" wrapText="1"/>
    </xf>
    <xf numFmtId="0" fontId="32" fillId="62" borderId="12" xfId="0" applyFont="1" applyFill="1" applyBorder="1" applyAlignment="1">
      <alignment horizontal="left" vertical="center" wrapText="1" indent="1"/>
    </xf>
    <xf numFmtId="0" fontId="32" fillId="62" borderId="13" xfId="0" applyFont="1" applyFill="1" applyBorder="1" applyAlignment="1">
      <alignment horizontal="left" vertical="center" wrapText="1" indent="1"/>
    </xf>
    <xf numFmtId="0" fontId="31" fillId="38" borderId="24" xfId="42" applyFont="1" applyFill="1" applyBorder="1" applyAlignment="1" applyProtection="1">
      <alignment horizontal="left" vertical="center" wrapText="1" indent="1"/>
    </xf>
    <xf numFmtId="0" fontId="31" fillId="61" borderId="24" xfId="42" applyFont="1" applyFill="1" applyBorder="1" applyAlignment="1" applyProtection="1">
      <alignment horizontal="left" vertical="center" wrapText="1" indent="1"/>
    </xf>
    <xf numFmtId="0" fontId="82" fillId="0" borderId="0" xfId="0" applyFont="1" applyAlignment="1">
      <alignment horizontal="right" vertical="center"/>
    </xf>
    <xf numFmtId="49" fontId="1" fillId="62" borderId="18" xfId="0" applyNumberFormat="1" applyFont="1" applyFill="1" applyBorder="1" applyAlignment="1">
      <alignment horizontal="left" vertical="center" indent="2"/>
    </xf>
    <xf numFmtId="49" fontId="1" fillId="62" borderId="11" xfId="0" applyNumberFormat="1" applyFont="1" applyFill="1" applyBorder="1" applyAlignment="1">
      <alignment horizontal="left" vertical="center" indent="2"/>
    </xf>
    <xf numFmtId="49" fontId="1" fillId="62" borderId="19" xfId="0" applyNumberFormat="1" applyFont="1" applyFill="1" applyBorder="1" applyAlignment="1">
      <alignment horizontal="left" vertical="center" indent="2"/>
    </xf>
    <xf numFmtId="0" fontId="31" fillId="34" borderId="24" xfId="42" applyFont="1" applyFill="1" applyBorder="1" applyAlignment="1" applyProtection="1">
      <alignment horizontal="left" vertical="center" wrapText="1" indent="1"/>
    </xf>
    <xf numFmtId="0" fontId="85" fillId="43" borderId="13" xfId="42" applyFont="1" applyFill="1" applyBorder="1" applyAlignment="1" applyProtection="1">
      <alignment horizontal="left" vertical="center" wrapText="1" indent="1"/>
    </xf>
    <xf numFmtId="0" fontId="1" fillId="62" borderId="18" xfId="0" applyFont="1" applyFill="1" applyBorder="1" applyAlignment="1">
      <alignment horizontal="left" vertical="center" wrapText="1" indent="1"/>
    </xf>
    <xf numFmtId="49" fontId="1" fillId="62" borderId="18" xfId="0" applyNumberFormat="1" applyFont="1" applyFill="1" applyBorder="1" applyAlignment="1">
      <alignment horizontal="left" vertical="center" wrapText="1" indent="2"/>
    </xf>
    <xf numFmtId="49" fontId="1" fillId="62" borderId="11" xfId="0" applyNumberFormat="1" applyFont="1" applyFill="1" applyBorder="1" applyAlignment="1">
      <alignment horizontal="left" vertical="center" wrapText="1" indent="2"/>
    </xf>
    <xf numFmtId="49" fontId="1" fillId="62" borderId="19" xfId="0" applyNumberFormat="1" applyFont="1" applyFill="1" applyBorder="1" applyAlignment="1">
      <alignment horizontal="left" vertical="center" wrapText="1" indent="2"/>
    </xf>
    <xf numFmtId="0" fontId="1" fillId="62" borderId="19" xfId="0" applyFont="1" applyFill="1" applyBorder="1" applyAlignment="1">
      <alignment horizontal="left" vertical="center" wrapText="1" indent="1"/>
    </xf>
    <xf numFmtId="0" fontId="27" fillId="0" borderId="33" xfId="0" applyFont="1" applyBorder="1"/>
    <xf numFmtId="0" fontId="88" fillId="53" borderId="70" xfId="0" applyFont="1" applyFill="1" applyBorder="1" applyAlignment="1">
      <alignment horizontal="center" vertical="center" wrapText="1"/>
    </xf>
    <xf numFmtId="0" fontId="33" fillId="53" borderId="70" xfId="0" applyFont="1" applyFill="1" applyBorder="1" applyAlignment="1">
      <alignment horizontal="center" vertical="center" wrapText="1"/>
    </xf>
    <xf numFmtId="0" fontId="34" fillId="53" borderId="70" xfId="0" applyFont="1" applyFill="1" applyBorder="1" applyAlignment="1">
      <alignment horizontal="left" vertical="center" wrapText="1" indent="1"/>
    </xf>
    <xf numFmtId="0" fontId="34" fillId="53" borderId="70" xfId="0" applyFont="1" applyFill="1" applyBorder="1" applyAlignment="1">
      <alignment horizontal="center" vertical="center" wrapText="1"/>
    </xf>
    <xf numFmtId="0" fontId="1" fillId="0" borderId="33" xfId="0" applyFont="1" applyBorder="1" applyAlignment="1">
      <alignment horizontal="right" vertical="center"/>
    </xf>
    <xf numFmtId="0" fontId="33" fillId="0" borderId="33" xfId="0" applyFont="1" applyBorder="1" applyAlignment="1">
      <alignment vertical="center"/>
    </xf>
    <xf numFmtId="1" fontId="1" fillId="0" borderId="0" xfId="0" applyNumberFormat="1" applyFont="1" applyAlignment="1">
      <alignment horizontal="right" vertical="center"/>
    </xf>
    <xf numFmtId="165" fontId="33" fillId="0" borderId="0" xfId="0" applyNumberFormat="1" applyFont="1" applyAlignment="1">
      <alignment horizontal="right" vertical="center"/>
    </xf>
    <xf numFmtId="0" fontId="33" fillId="0" borderId="0" xfId="0" applyFont="1" applyAlignment="1">
      <alignment horizontal="right" wrapText="1"/>
    </xf>
    <xf numFmtId="0" fontId="1" fillId="0" borderId="0" xfId="0" applyFont="1" applyAlignment="1">
      <alignment horizontal="right"/>
    </xf>
    <xf numFmtId="0" fontId="81" fillId="0" borderId="0" xfId="0" applyFont="1" applyAlignment="1">
      <alignment horizontal="right"/>
    </xf>
    <xf numFmtId="166" fontId="1" fillId="0" borderId="0" xfId="0" applyNumberFormat="1" applyFont="1" applyAlignment="1">
      <alignment horizontal="right"/>
    </xf>
    <xf numFmtId="0" fontId="1" fillId="0" borderId="0" xfId="0" applyFont="1" applyAlignment="1">
      <alignment horizontal="right" wrapText="1"/>
    </xf>
    <xf numFmtId="0" fontId="81" fillId="0" borderId="0" xfId="0" applyFont="1"/>
    <xf numFmtId="165" fontId="81" fillId="0" borderId="0" xfId="0" applyNumberFormat="1" applyFont="1"/>
    <xf numFmtId="0" fontId="91" fillId="0" borderId="0" xfId="0" applyFont="1" applyAlignment="1">
      <alignment horizontal="right"/>
    </xf>
    <xf numFmtId="2" fontId="1" fillId="0" borderId="0" xfId="0" applyNumberFormat="1" applyFont="1" applyAlignment="1">
      <alignment horizontal="right"/>
    </xf>
    <xf numFmtId="0" fontId="1" fillId="33" borderId="24" xfId="0" applyFont="1" applyFill="1" applyBorder="1" applyAlignment="1">
      <alignment horizontal="left" vertical="center" wrapText="1" indent="1"/>
    </xf>
    <xf numFmtId="0" fontId="1" fillId="34" borderId="14" xfId="0" applyFont="1" applyFill="1" applyBorder="1" applyAlignment="1">
      <alignment horizontal="left" vertical="center" wrapText="1" indent="1"/>
    </xf>
    <xf numFmtId="0" fontId="85" fillId="35" borderId="12" xfId="42" applyFont="1" applyFill="1" applyBorder="1" applyAlignment="1" applyProtection="1">
      <alignment horizontal="left" vertical="center" wrapText="1" indent="1"/>
    </xf>
    <xf numFmtId="0" fontId="1" fillId="36" borderId="13" xfId="0" applyFont="1" applyFill="1" applyBorder="1" applyAlignment="1">
      <alignment horizontal="left" vertical="center" wrapText="1" indent="1"/>
    </xf>
    <xf numFmtId="0" fontId="85" fillId="38" borderId="24" xfId="42" applyFont="1" applyFill="1" applyBorder="1" applyAlignment="1" applyProtection="1">
      <alignment horizontal="left" vertical="center" wrapText="1" indent="1"/>
    </xf>
    <xf numFmtId="0" fontId="85" fillId="39" borderId="14" xfId="42" applyFont="1" applyFill="1" applyBorder="1" applyAlignment="1" applyProtection="1">
      <alignment horizontal="left" vertical="center" wrapText="1" indent="1"/>
    </xf>
    <xf numFmtId="0" fontId="85" fillId="39" borderId="12" xfId="42" applyFont="1" applyFill="1" applyBorder="1" applyAlignment="1" applyProtection="1">
      <alignment horizontal="left" vertical="center" wrapText="1" indent="1"/>
    </xf>
    <xf numFmtId="0" fontId="85" fillId="60" borderId="14" xfId="42" applyFont="1" applyFill="1" applyBorder="1" applyAlignment="1" applyProtection="1">
      <alignment horizontal="left" vertical="center" wrapText="1" indent="1"/>
    </xf>
    <xf numFmtId="0" fontId="85" fillId="40" borderId="13" xfId="42" applyFont="1" applyFill="1" applyBorder="1" applyAlignment="1" applyProtection="1">
      <alignment horizontal="left" vertical="center" wrapText="1" indent="1"/>
    </xf>
    <xf numFmtId="0" fontId="85" fillId="34" borderId="24" xfId="42" applyFont="1" applyFill="1" applyBorder="1" applyAlignment="1" applyProtection="1">
      <alignment horizontal="left" vertical="center" wrapText="1" indent="1"/>
    </xf>
    <xf numFmtId="0" fontId="85" fillId="41" borderId="31" xfId="42" applyFont="1" applyFill="1" applyBorder="1" applyAlignment="1" applyProtection="1">
      <alignment horizontal="left" vertical="center" wrapText="1" indent="1"/>
    </xf>
    <xf numFmtId="0" fontId="85" fillId="42" borderId="13" xfId="42" applyFont="1" applyFill="1" applyBorder="1" applyAlignment="1" applyProtection="1">
      <alignment horizontal="left" vertical="center" wrapText="1" indent="1"/>
    </xf>
    <xf numFmtId="0" fontId="85" fillId="61" borderId="12" xfId="42" applyFont="1" applyFill="1" applyBorder="1" applyAlignment="1" applyProtection="1">
      <alignment horizontal="left" vertical="center" wrapText="1" indent="1"/>
    </xf>
    <xf numFmtId="0" fontId="85" fillId="43" borderId="12" xfId="42" applyFont="1" applyFill="1" applyBorder="1" applyAlignment="1" applyProtection="1">
      <alignment horizontal="left" vertical="center" wrapText="1" indent="1"/>
    </xf>
    <xf numFmtId="0" fontId="86" fillId="62" borderId="12" xfId="42" applyFont="1" applyFill="1" applyBorder="1" applyAlignment="1" applyProtection="1">
      <alignment horizontal="left" vertical="center" wrapText="1" indent="1"/>
    </xf>
    <xf numFmtId="0" fontId="85" fillId="44" borderId="12" xfId="42" applyFont="1" applyFill="1" applyBorder="1" applyAlignment="1" applyProtection="1">
      <alignment horizontal="left" vertical="center" wrapText="1" indent="1"/>
    </xf>
    <xf numFmtId="0" fontId="85" fillId="37" borderId="12" xfId="42" applyFont="1" applyFill="1" applyBorder="1" applyAlignment="1" applyProtection="1">
      <alignment horizontal="left" vertical="center" wrapText="1" indent="1"/>
    </xf>
    <xf numFmtId="0" fontId="85" fillId="46" borderId="12" xfId="42" applyFont="1" applyFill="1" applyBorder="1" applyAlignment="1" applyProtection="1">
      <alignment horizontal="left" vertical="center" wrapText="1" indent="1"/>
    </xf>
    <xf numFmtId="1" fontId="81" fillId="0" borderId="0" xfId="0" applyNumberFormat="1" applyFont="1"/>
    <xf numFmtId="10" fontId="1" fillId="0" borderId="0" xfId="61" applyNumberFormat="1" applyFont="1" applyFill="1" applyAlignment="1">
      <alignment horizontal="right" vertical="center"/>
    </xf>
    <xf numFmtId="10" fontId="27" fillId="0" borderId="0" xfId="0" applyNumberFormat="1" applyFont="1" applyAlignment="1">
      <alignment vertical="center"/>
    </xf>
    <xf numFmtId="0" fontId="31" fillId="62" borderId="18" xfId="42" applyFont="1" applyFill="1" applyBorder="1" applyAlignment="1" applyProtection="1">
      <alignment horizontal="left" vertical="center" wrapText="1" indent="1"/>
    </xf>
    <xf numFmtId="165" fontId="89" fillId="0" borderId="0" xfId="0" applyNumberFormat="1" applyFont="1"/>
    <xf numFmtId="0" fontId="83" fillId="95" borderId="12" xfId="42" applyFont="1" applyFill="1" applyBorder="1" applyAlignment="1" applyProtection="1">
      <alignment horizontal="center" vertical="center" wrapText="1"/>
    </xf>
    <xf numFmtId="0" fontId="1" fillId="95" borderId="12" xfId="42" applyFont="1" applyFill="1" applyBorder="1" applyAlignment="1" applyProtection="1">
      <alignment horizontal="center" vertical="center" wrapText="1"/>
    </xf>
    <xf numFmtId="0" fontId="83" fillId="62" borderId="14" xfId="42" applyFont="1" applyFill="1" applyBorder="1" applyAlignment="1" applyProtection="1">
      <alignment horizontal="center" vertical="center" wrapText="1"/>
    </xf>
    <xf numFmtId="0" fontId="83" fillId="62" borderId="70" xfId="42" applyFont="1" applyFill="1" applyBorder="1" applyAlignment="1" applyProtection="1">
      <alignment horizontal="center" vertical="center" wrapText="1"/>
    </xf>
    <xf numFmtId="0" fontId="1" fillId="62" borderId="33" xfId="42" applyFont="1" applyFill="1" applyBorder="1" applyAlignment="1" applyProtection="1">
      <alignment horizontal="center" vertical="center" wrapText="1"/>
    </xf>
    <xf numFmtId="0" fontId="1" fillId="62" borderId="72" xfId="0" applyFont="1" applyFill="1" applyBorder="1" applyAlignment="1">
      <alignment horizontal="center" vertical="center" wrapText="1"/>
    </xf>
    <xf numFmtId="0" fontId="1" fillId="62" borderId="73" xfId="42" applyFont="1" applyFill="1" applyBorder="1" applyAlignment="1" applyProtection="1">
      <alignment horizontal="center" vertical="center" wrapText="1"/>
    </xf>
    <xf numFmtId="0" fontId="1" fillId="38" borderId="36" xfId="42" applyFont="1" applyFill="1" applyBorder="1" applyAlignment="1" applyProtection="1">
      <alignment horizontal="center" vertical="center" wrapText="1"/>
    </xf>
    <xf numFmtId="0" fontId="83" fillId="38" borderId="70" xfId="42" applyFont="1" applyFill="1" applyBorder="1" applyAlignment="1" applyProtection="1">
      <alignment horizontal="center" vertical="center" wrapText="1"/>
    </xf>
    <xf numFmtId="0" fontId="1" fillId="62" borderId="73" xfId="0" applyFont="1" applyFill="1" applyBorder="1" applyAlignment="1">
      <alignment horizontal="center" vertical="center" wrapText="1"/>
    </xf>
    <xf numFmtId="0" fontId="1" fillId="62" borderId="0" xfId="42" applyFont="1" applyFill="1" applyBorder="1" applyAlignment="1" applyProtection="1">
      <alignment horizontal="center" vertical="center" wrapText="1"/>
    </xf>
    <xf numFmtId="0" fontId="85" fillId="62" borderId="0" xfId="42" applyFont="1" applyFill="1" applyBorder="1" applyAlignment="1" applyProtection="1">
      <alignment horizontal="left" vertical="center" wrapText="1" indent="1"/>
    </xf>
    <xf numFmtId="0" fontId="36" fillId="53" borderId="0" xfId="42" applyFont="1" applyFill="1" applyAlignment="1" applyProtection="1">
      <alignment horizontal="center" vertical="center"/>
    </xf>
    <xf numFmtId="0" fontId="36" fillId="92" borderId="0" xfId="42" applyFont="1" applyFill="1" applyAlignment="1" applyProtection="1">
      <alignment horizontal="center" vertical="center"/>
    </xf>
    <xf numFmtId="0" fontId="92" fillId="0" borderId="0" xfId="0" applyFont="1" applyAlignment="1">
      <alignment horizontal="right" vertical="center"/>
    </xf>
    <xf numFmtId="1" fontId="93" fillId="0" borderId="0" xfId="0" applyNumberFormat="1" applyFont="1" applyAlignment="1">
      <alignment horizontal="right" vertical="center"/>
    </xf>
    <xf numFmtId="10" fontId="93" fillId="0" borderId="0" xfId="61" applyNumberFormat="1" applyFont="1" applyFill="1" applyAlignment="1">
      <alignment horizontal="right" vertical="center"/>
    </xf>
    <xf numFmtId="0" fontId="93" fillId="0" borderId="0" xfId="0" applyFont="1" applyAlignment="1">
      <alignment horizontal="right" vertical="center"/>
    </xf>
    <xf numFmtId="2" fontId="93" fillId="0" borderId="0" xfId="0" applyNumberFormat="1" applyFont="1" applyAlignment="1">
      <alignment horizontal="right" vertical="center"/>
    </xf>
    <xf numFmtId="165" fontId="93" fillId="0" borderId="0" xfId="0" applyNumberFormat="1" applyFont="1" applyAlignment="1">
      <alignment horizontal="right" vertical="center"/>
    </xf>
    <xf numFmtId="0" fontId="93" fillId="0" borderId="0" xfId="0" applyFont="1" applyAlignment="1">
      <alignment horizontal="right" vertical="center" wrapText="1"/>
    </xf>
    <xf numFmtId="0" fontId="93" fillId="0" borderId="0" xfId="0" applyFont="1" applyAlignment="1">
      <alignment vertical="center"/>
    </xf>
    <xf numFmtId="0" fontId="93" fillId="0" borderId="0" xfId="0" applyFont="1" applyAlignment="1">
      <alignment vertical="center" wrapText="1"/>
    </xf>
    <xf numFmtId="166" fontId="93" fillId="0" borderId="0" xfId="0" applyNumberFormat="1" applyFont="1" applyAlignment="1">
      <alignment horizontal="right" vertical="center"/>
    </xf>
    <xf numFmtId="0" fontId="93" fillId="0" borderId="33" xfId="0" applyFont="1" applyBorder="1" applyAlignment="1">
      <alignment horizontal="right" vertical="center"/>
    </xf>
    <xf numFmtId="165" fontId="92" fillId="0" borderId="0" xfId="0" applyNumberFormat="1" applyFont="1" applyAlignment="1">
      <alignment horizontal="right" vertical="center"/>
    </xf>
    <xf numFmtId="0" fontId="1" fillId="54" borderId="13" xfId="42" applyFont="1" applyFill="1" applyBorder="1" applyAlignment="1" applyProtection="1">
      <alignment horizontal="center" vertical="center" wrapText="1"/>
    </xf>
    <xf numFmtId="0" fontId="83" fillId="96" borderId="12" xfId="42" applyFont="1" applyFill="1" applyBorder="1" applyAlignment="1" applyProtection="1">
      <alignment horizontal="center" vertical="center" wrapText="1"/>
    </xf>
    <xf numFmtId="0" fontId="1" fillId="96" borderId="12" xfId="42" applyFont="1" applyFill="1" applyBorder="1" applyAlignment="1" applyProtection="1">
      <alignment horizontal="center" vertical="center" wrapText="1"/>
    </xf>
    <xf numFmtId="0" fontId="1" fillId="96" borderId="12" xfId="0" applyFont="1" applyFill="1" applyBorder="1" applyAlignment="1">
      <alignment horizontal="left" vertical="center" wrapText="1" indent="1"/>
    </xf>
    <xf numFmtId="168" fontId="93" fillId="0" borderId="0" xfId="61" applyNumberFormat="1" applyFont="1" applyFill="1"/>
    <xf numFmtId="10" fontId="93" fillId="0" borderId="0" xfId="61" applyNumberFormat="1" applyFont="1" applyFill="1"/>
    <xf numFmtId="169" fontId="93" fillId="0" borderId="0" xfId="61" applyNumberFormat="1" applyFont="1" applyFill="1"/>
    <xf numFmtId="0" fontId="33" fillId="0" borderId="0" xfId="0" applyFont="1" applyAlignment="1">
      <alignment horizontal="right" vertical="center" wrapText="1"/>
    </xf>
    <xf numFmtId="1" fontId="89" fillId="0" borderId="0" xfId="0" applyNumberFormat="1" applyFont="1" applyAlignment="1">
      <alignment horizontal="right" vertical="center"/>
    </xf>
    <xf numFmtId="0" fontId="94" fillId="0" borderId="0" xfId="0" applyFont="1" applyAlignment="1">
      <alignment vertical="center"/>
    </xf>
    <xf numFmtId="166" fontId="89" fillId="0" borderId="0" xfId="0" applyNumberFormat="1" applyFont="1" applyAlignment="1">
      <alignment vertical="center"/>
    </xf>
    <xf numFmtId="1" fontId="89" fillId="0" borderId="0" xfId="0" applyNumberFormat="1" applyFont="1" applyAlignment="1">
      <alignment vertical="center"/>
    </xf>
    <xf numFmtId="2" fontId="89" fillId="0" borderId="0" xfId="0" applyNumberFormat="1" applyFont="1" applyAlignment="1">
      <alignment vertical="center"/>
    </xf>
    <xf numFmtId="1" fontId="93" fillId="0" borderId="0" xfId="0" applyNumberFormat="1" applyFont="1" applyAlignment="1">
      <alignment vertical="center"/>
    </xf>
    <xf numFmtId="166" fontId="93" fillId="0" borderId="0" xfId="0" applyNumberFormat="1" applyFont="1" applyAlignment="1">
      <alignment vertical="center"/>
    </xf>
    <xf numFmtId="166" fontId="89" fillId="0" borderId="0" xfId="0" applyNumberFormat="1" applyFont="1" applyAlignment="1">
      <alignment horizontal="right" vertical="center"/>
    </xf>
    <xf numFmtId="2" fontId="89" fillId="0" borderId="0" xfId="0" applyNumberFormat="1" applyFont="1" applyAlignment="1">
      <alignment horizontal="right" vertical="center"/>
    </xf>
    <xf numFmtId="165" fontId="89" fillId="0" borderId="0" xfId="0" applyNumberFormat="1" applyFont="1" applyAlignment="1">
      <alignment vertical="center"/>
    </xf>
    <xf numFmtId="165" fontId="93" fillId="0" borderId="0" xfId="0" applyNumberFormat="1" applyFont="1" applyAlignment="1">
      <alignment vertical="center"/>
    </xf>
    <xf numFmtId="168" fontId="93" fillId="0" borderId="0" xfId="61" applyNumberFormat="1" applyFont="1" applyFill="1" applyAlignment="1">
      <alignment vertical="center"/>
    </xf>
    <xf numFmtId="165" fontId="95" fillId="50" borderId="0" xfId="0" applyNumberFormat="1" applyFont="1" applyFill="1" applyAlignment="1">
      <alignment horizontal="right" vertical="center" wrapText="1"/>
    </xf>
    <xf numFmtId="0" fontId="31" fillId="54" borderId="14" xfId="42" applyFont="1" applyFill="1" applyBorder="1" applyAlignment="1" applyProtection="1">
      <alignment horizontal="left" vertical="center" wrapText="1" indent="1"/>
    </xf>
    <xf numFmtId="0" fontId="89" fillId="0" borderId="0" xfId="0" applyFont="1" applyAlignment="1">
      <alignment horizontal="right" vertical="center"/>
    </xf>
    <xf numFmtId="0" fontId="1" fillId="62" borderId="70" xfId="0" applyFont="1" applyFill="1" applyBorder="1" applyAlignment="1">
      <alignment horizontal="left" vertical="center" wrapText="1" indent="1"/>
    </xf>
    <xf numFmtId="1" fontId="1" fillId="0" borderId="0" xfId="0" applyNumberFormat="1" applyFont="1" applyAlignment="1">
      <alignment horizontal="right"/>
    </xf>
    <xf numFmtId="0" fontId="31" fillId="43" borderId="13" xfId="42" applyFont="1" applyFill="1" applyBorder="1" applyAlignment="1" applyProtection="1">
      <alignment horizontal="left" vertical="center" wrapText="1" indent="1"/>
    </xf>
    <xf numFmtId="0" fontId="1" fillId="62" borderId="15" xfId="0" applyFont="1" applyFill="1" applyBorder="1" applyAlignment="1">
      <alignment horizontal="left" vertical="center" wrapText="1" indent="1"/>
    </xf>
    <xf numFmtId="0" fontId="1" fillId="62" borderId="16" xfId="0" applyFont="1" applyFill="1" applyBorder="1" applyAlignment="1">
      <alignment horizontal="left" vertical="center" wrapText="1" indent="1"/>
    </xf>
    <xf numFmtId="0" fontId="1" fillId="62" borderId="17" xfId="0" applyFont="1" applyFill="1" applyBorder="1" applyAlignment="1">
      <alignment horizontal="left" vertical="center" wrapText="1" indent="1"/>
    </xf>
    <xf numFmtId="0" fontId="1" fillId="62" borderId="15" xfId="0" applyFont="1" applyFill="1" applyBorder="1" applyAlignment="1">
      <alignment horizontal="center" vertical="center" wrapText="1"/>
    </xf>
    <xf numFmtId="0" fontId="1" fillId="62" borderId="16" xfId="0" applyFont="1" applyFill="1" applyBorder="1" applyAlignment="1">
      <alignment horizontal="center" vertical="center" wrapText="1"/>
    </xf>
    <xf numFmtId="0" fontId="1" fillId="62" borderId="17" xfId="0" applyFont="1" applyFill="1" applyBorder="1" applyAlignment="1">
      <alignment horizontal="center" vertical="center" wrapText="1"/>
    </xf>
    <xf numFmtId="0" fontId="1" fillId="62" borderId="21" xfId="0" applyFont="1" applyFill="1" applyBorder="1" applyAlignment="1">
      <alignment horizontal="center" vertical="center" wrapText="1"/>
    </xf>
    <xf numFmtId="0" fontId="1" fillId="62" borderId="68" xfId="0" applyFont="1" applyFill="1" applyBorder="1" applyAlignment="1">
      <alignment horizontal="center" vertical="center" wrapText="1"/>
    </xf>
    <xf numFmtId="0" fontId="1" fillId="62" borderId="15" xfId="0" applyFont="1" applyFill="1" applyBorder="1" applyAlignment="1">
      <alignment horizontal="left" vertical="center" wrapText="1"/>
    </xf>
    <xf numFmtId="0" fontId="83" fillId="97" borderId="12" xfId="42" applyFont="1" applyFill="1" applyBorder="1" applyAlignment="1" applyProtection="1">
      <alignment horizontal="center" vertical="center" wrapText="1"/>
    </xf>
    <xf numFmtId="0" fontId="1" fillId="97" borderId="12" xfId="42" applyFont="1" applyFill="1" applyBorder="1" applyAlignment="1" applyProtection="1">
      <alignment horizontal="center" vertical="center" wrapText="1"/>
    </xf>
    <xf numFmtId="0" fontId="27" fillId="97" borderId="0" xfId="0" applyFont="1" applyFill="1"/>
    <xf numFmtId="0" fontId="85" fillId="97" borderId="12" xfId="42" applyFont="1" applyFill="1" applyBorder="1" applyAlignment="1" applyProtection="1">
      <alignment horizontal="left" vertical="center" wrapText="1" indent="1"/>
    </xf>
    <xf numFmtId="0" fontId="83" fillId="97" borderId="13" xfId="42" applyFont="1" applyFill="1" applyBorder="1" applyAlignment="1" applyProtection="1">
      <alignment horizontal="center" vertical="center" wrapText="1"/>
    </xf>
    <xf numFmtId="0" fontId="1" fillId="97" borderId="13" xfId="42" applyFont="1" applyFill="1" applyBorder="1" applyAlignment="1" applyProtection="1">
      <alignment horizontal="center" vertical="center" wrapText="1"/>
    </xf>
    <xf numFmtId="0" fontId="31" fillId="97" borderId="12" xfId="42" applyFont="1" applyFill="1" applyBorder="1" applyAlignment="1" applyProtection="1">
      <alignment horizontal="left" vertical="center" wrapText="1" indent="1"/>
    </xf>
    <xf numFmtId="0" fontId="36" fillId="64" borderId="0" xfId="42" applyFont="1" applyFill="1" applyAlignment="1" applyProtection="1">
      <alignment horizontal="center" vertical="center"/>
    </xf>
    <xf numFmtId="0" fontId="1" fillId="62" borderId="11" xfId="0" applyFont="1" applyFill="1" applyBorder="1" applyAlignment="1">
      <alignment horizontal="left" vertical="center" wrapText="1" indent="1"/>
    </xf>
    <xf numFmtId="0" fontId="1" fillId="33" borderId="13" xfId="0" applyFont="1" applyFill="1" applyBorder="1" applyAlignment="1">
      <alignment horizontal="center" vertical="center" wrapText="1"/>
    </xf>
    <xf numFmtId="0" fontId="1" fillId="54" borderId="12" xfId="0" applyFont="1" applyFill="1" applyBorder="1" applyAlignment="1">
      <alignment horizontal="center" vertical="center" wrapText="1"/>
    </xf>
    <xf numFmtId="0" fontId="1" fillId="54" borderId="15" xfId="0" applyFont="1" applyFill="1" applyBorder="1" applyAlignment="1">
      <alignment vertical="center" wrapText="1"/>
    </xf>
    <xf numFmtId="0" fontId="1" fillId="54" borderId="16" xfId="0" applyFont="1" applyFill="1" applyBorder="1" applyAlignment="1">
      <alignment vertical="center" wrapText="1"/>
    </xf>
    <xf numFmtId="0" fontId="1" fillId="54" borderId="17" xfId="0" applyFont="1" applyFill="1" applyBorder="1" applyAlignment="1">
      <alignment vertical="center" wrapText="1"/>
    </xf>
    <xf numFmtId="0" fontId="1" fillId="34" borderId="12" xfId="0" applyFont="1" applyFill="1" applyBorder="1" applyAlignment="1">
      <alignment horizontal="center" vertical="center" wrapText="1"/>
    </xf>
    <xf numFmtId="0" fontId="1" fillId="35" borderId="12" xfId="0" applyFont="1" applyFill="1" applyBorder="1" applyAlignment="1">
      <alignment horizontal="center" vertical="center" wrapText="1"/>
    </xf>
    <xf numFmtId="0" fontId="1" fillId="36" borderId="13" xfId="0" applyFont="1" applyFill="1" applyBorder="1" applyAlignment="1">
      <alignment horizontal="center" vertical="center" wrapText="1"/>
    </xf>
    <xf numFmtId="0" fontId="1" fillId="96" borderId="12" xfId="0" applyFont="1" applyFill="1" applyBorder="1" applyAlignment="1">
      <alignment horizontal="center" vertical="center" wrapText="1"/>
    </xf>
    <xf numFmtId="0" fontId="1" fillId="55" borderId="12" xfId="0" applyFont="1" applyFill="1" applyBorder="1" applyAlignment="1">
      <alignment horizontal="center" vertical="center" wrapText="1"/>
    </xf>
    <xf numFmtId="0" fontId="1" fillId="55" borderId="13" xfId="0" applyFont="1" applyFill="1" applyBorder="1" applyAlignment="1">
      <alignment horizontal="center" vertical="center" wrapText="1"/>
    </xf>
    <xf numFmtId="0" fontId="1" fillId="38" borderId="24" xfId="0" applyFont="1" applyFill="1" applyBorder="1" applyAlignment="1">
      <alignment horizontal="center" vertical="center" wrapText="1"/>
    </xf>
    <xf numFmtId="0" fontId="1" fillId="38" borderId="62" xfId="0" applyFont="1" applyFill="1" applyBorder="1" applyAlignment="1">
      <alignment horizontal="center" vertical="center" wrapText="1"/>
    </xf>
    <xf numFmtId="0" fontId="1" fillId="62" borderId="21" xfId="0" applyFont="1" applyFill="1" applyBorder="1" applyAlignment="1">
      <alignment horizontal="left" vertical="center" wrapText="1"/>
    </xf>
    <xf numFmtId="0" fontId="1" fillId="62" borderId="22" xfId="0" applyFont="1" applyFill="1" applyBorder="1" applyAlignment="1">
      <alignment horizontal="left" vertical="center" wrapText="1"/>
    </xf>
    <xf numFmtId="0" fontId="1" fillId="62" borderId="23" xfId="0" applyFont="1" applyFill="1" applyBorder="1" applyAlignment="1">
      <alignment horizontal="left" vertical="center" wrapText="1"/>
    </xf>
    <xf numFmtId="0" fontId="1" fillId="38" borderId="72" xfId="0" applyFont="1" applyFill="1" applyBorder="1" applyAlignment="1">
      <alignment horizontal="center" vertical="center" wrapText="1"/>
    </xf>
    <xf numFmtId="0" fontId="1" fillId="62" borderId="68" xfId="0" applyFont="1" applyFill="1" applyBorder="1" applyAlignment="1">
      <alignment horizontal="left" vertical="center" wrapText="1"/>
    </xf>
    <xf numFmtId="0" fontId="1" fillId="62" borderId="33" xfId="0" applyFont="1" applyFill="1" applyBorder="1" applyAlignment="1">
      <alignment horizontal="left" vertical="center" wrapText="1"/>
    </xf>
    <xf numFmtId="0" fontId="1" fillId="62" borderId="69" xfId="0" applyFont="1" applyFill="1" applyBorder="1" applyAlignment="1">
      <alignment horizontal="left" vertical="center" wrapText="1"/>
    </xf>
    <xf numFmtId="0" fontId="1" fillId="39" borderId="14" xfId="0" applyFont="1" applyFill="1" applyBorder="1" applyAlignment="1">
      <alignment horizontal="center" vertical="center" wrapText="1"/>
    </xf>
    <xf numFmtId="0" fontId="1" fillId="39" borderId="12" xfId="0" applyFont="1" applyFill="1" applyBorder="1" applyAlignment="1">
      <alignment horizontal="center" vertical="center" wrapText="1"/>
    </xf>
    <xf numFmtId="0" fontId="1" fillId="97" borderId="12" xfId="0" applyFont="1" applyFill="1" applyBorder="1" applyAlignment="1">
      <alignment horizontal="center" vertical="center" wrapText="1"/>
    </xf>
    <xf numFmtId="0" fontId="1" fillId="97" borderId="13" xfId="0" applyFont="1" applyFill="1" applyBorder="1" applyAlignment="1">
      <alignment horizontal="center" vertical="center" wrapText="1"/>
    </xf>
    <xf numFmtId="0" fontId="1" fillId="57" borderId="24" xfId="0" applyFont="1" applyFill="1" applyBorder="1" applyAlignment="1">
      <alignment horizontal="center" vertical="center" wrapText="1"/>
    </xf>
    <xf numFmtId="0" fontId="1" fillId="60" borderId="14" xfId="0" applyFont="1" applyFill="1" applyBorder="1" applyAlignment="1">
      <alignment horizontal="center" vertical="center" wrapText="1"/>
    </xf>
    <xf numFmtId="0" fontId="1" fillId="40" borderId="13" xfId="0" applyFont="1" applyFill="1" applyBorder="1" applyAlignment="1">
      <alignment horizontal="center" vertical="center" wrapText="1"/>
    </xf>
    <xf numFmtId="0" fontId="1" fillId="34" borderId="24" xfId="0" applyFont="1" applyFill="1" applyBorder="1" applyAlignment="1">
      <alignment horizontal="center" vertical="center" wrapText="1"/>
    </xf>
    <xf numFmtId="0" fontId="1" fillId="41" borderId="31" xfId="0" applyFont="1" applyFill="1" applyBorder="1" applyAlignment="1">
      <alignment horizontal="center" vertical="center" wrapText="1"/>
    </xf>
    <xf numFmtId="0" fontId="1" fillId="42" borderId="13" xfId="0" applyFont="1" applyFill="1" applyBorder="1" applyAlignment="1">
      <alignment horizontal="center" vertical="center" wrapText="1"/>
    </xf>
    <xf numFmtId="0" fontId="1" fillId="42" borderId="12" xfId="0" applyFont="1" applyFill="1" applyBorder="1" applyAlignment="1">
      <alignment horizontal="center" vertical="center" wrapText="1"/>
    </xf>
    <xf numFmtId="0" fontId="1" fillId="61" borderId="12" xfId="0" applyFont="1" applyFill="1" applyBorder="1" applyAlignment="1">
      <alignment horizontal="center" vertical="center" wrapText="1"/>
    </xf>
    <xf numFmtId="0" fontId="1" fillId="43" borderId="12" xfId="0" applyFont="1" applyFill="1" applyBorder="1" applyAlignment="1">
      <alignment horizontal="center" vertical="center" wrapText="1"/>
    </xf>
    <xf numFmtId="0" fontId="1" fillId="43" borderId="13" xfId="0" applyFont="1" applyFill="1" applyBorder="1" applyAlignment="1">
      <alignment horizontal="center" vertical="center" wrapText="1"/>
    </xf>
    <xf numFmtId="0" fontId="1" fillId="62" borderId="13" xfId="0" applyFont="1" applyFill="1" applyBorder="1" applyAlignment="1">
      <alignment horizontal="center" vertical="center" wrapText="1"/>
    </xf>
    <xf numFmtId="0" fontId="1" fillId="62" borderId="22" xfId="0" applyFont="1" applyFill="1" applyBorder="1" applyAlignment="1">
      <alignment horizontal="center" vertical="center" wrapText="1"/>
    </xf>
    <xf numFmtId="0" fontId="1" fillId="62" borderId="23" xfId="0" applyFont="1" applyFill="1" applyBorder="1" applyAlignment="1">
      <alignment horizontal="center" vertical="center" wrapText="1"/>
    </xf>
    <xf numFmtId="0" fontId="1" fillId="62" borderId="33" xfId="0" applyFont="1" applyFill="1" applyBorder="1" applyAlignment="1">
      <alignment horizontal="center" vertical="center" wrapText="1"/>
    </xf>
    <xf numFmtId="0" fontId="1" fillId="62" borderId="69" xfId="0" applyFont="1" applyFill="1" applyBorder="1" applyAlignment="1">
      <alignment horizontal="center" vertical="center" wrapText="1"/>
    </xf>
    <xf numFmtId="0" fontId="1" fillId="62" borderId="74" xfId="0" applyFont="1" applyFill="1" applyBorder="1" applyAlignment="1">
      <alignment horizontal="center" vertical="center" wrapText="1"/>
    </xf>
    <xf numFmtId="0" fontId="1" fillId="62" borderId="0" xfId="0" applyFont="1" applyFill="1" applyAlignment="1">
      <alignment horizontal="center" vertical="center" wrapText="1"/>
    </xf>
    <xf numFmtId="0" fontId="1" fillId="62" borderId="59" xfId="0" applyFont="1" applyFill="1" applyBorder="1" applyAlignment="1">
      <alignment horizontal="center" vertical="center" wrapText="1"/>
    </xf>
    <xf numFmtId="0" fontId="43" fillId="62" borderId="19" xfId="42" applyFont="1" applyFill="1" applyBorder="1" applyAlignment="1" applyProtection="1">
      <alignment horizontal="left" vertical="center" wrapText="1" indent="1"/>
    </xf>
    <xf numFmtId="0" fontId="1" fillId="62" borderId="19" xfId="0" applyFont="1" applyFill="1" applyBorder="1" applyAlignment="1">
      <alignment horizontal="center" wrapText="1"/>
    </xf>
    <xf numFmtId="1" fontId="1" fillId="62" borderId="18" xfId="0" applyNumberFormat="1" applyFont="1" applyFill="1" applyBorder="1" applyAlignment="1">
      <alignment horizontal="center" vertical="center" wrapText="1"/>
    </xf>
    <xf numFmtId="1" fontId="1" fillId="62" borderId="19" xfId="0" applyNumberFormat="1" applyFont="1" applyFill="1" applyBorder="1" applyAlignment="1">
      <alignment horizontal="center" vertical="center" wrapText="1"/>
    </xf>
    <xf numFmtId="0" fontId="1" fillId="44" borderId="12" xfId="0" applyFont="1" applyFill="1" applyBorder="1" applyAlignment="1">
      <alignment horizontal="center" vertical="center" wrapText="1"/>
    </xf>
    <xf numFmtId="0" fontId="1" fillId="45" borderId="12" xfId="0" applyFont="1" applyFill="1" applyBorder="1" applyAlignment="1">
      <alignment horizontal="center" vertical="center" wrapText="1"/>
    </xf>
    <xf numFmtId="0" fontId="1" fillId="45" borderId="13" xfId="0" applyFont="1" applyFill="1" applyBorder="1" applyAlignment="1">
      <alignment horizontal="center" vertical="center" wrapText="1"/>
    </xf>
    <xf numFmtId="0" fontId="1" fillId="95" borderId="12" xfId="0" applyFont="1" applyFill="1" applyBorder="1" applyAlignment="1">
      <alignment horizontal="center" vertical="center" wrapText="1"/>
    </xf>
    <xf numFmtId="0" fontId="1" fillId="37" borderId="12" xfId="0" applyFont="1" applyFill="1" applyBorder="1" applyAlignment="1">
      <alignment horizontal="center" vertical="center" wrapText="1"/>
    </xf>
    <xf numFmtId="0" fontId="1" fillId="46" borderId="12" xfId="0" applyFont="1" applyFill="1" applyBorder="1" applyAlignment="1">
      <alignment horizontal="center" vertical="center" wrapText="1"/>
    </xf>
    <xf numFmtId="0" fontId="1" fillId="57" borderId="12" xfId="0" applyFont="1" applyFill="1" applyBorder="1" applyAlignment="1">
      <alignment horizontal="center" vertical="center" wrapText="1"/>
    </xf>
    <xf numFmtId="0" fontId="1" fillId="57" borderId="13" xfId="0" applyFont="1" applyFill="1" applyBorder="1" applyAlignment="1">
      <alignment horizontal="center" vertical="center" wrapText="1"/>
    </xf>
    <xf numFmtId="0" fontId="43" fillId="47" borderId="60" xfId="42" applyFont="1" applyFill="1" applyBorder="1" applyAlignment="1" applyProtection="1">
      <alignment horizontal="left" vertical="center" wrapText="1"/>
    </xf>
    <xf numFmtId="0" fontId="1" fillId="47" borderId="36" xfId="0" applyFont="1" applyFill="1" applyBorder="1" applyAlignment="1">
      <alignment horizontal="center" vertical="center" wrapText="1"/>
    </xf>
    <xf numFmtId="0" fontId="1" fillId="51" borderId="26" xfId="0" applyFont="1" applyFill="1" applyBorder="1" applyAlignment="1">
      <alignment horizontal="left" vertical="center" wrapText="1"/>
    </xf>
    <xf numFmtId="9" fontId="1" fillId="94" borderId="27" xfId="61" applyFont="1" applyFill="1" applyBorder="1" applyAlignment="1">
      <alignment horizontal="center" vertical="center" wrapText="1"/>
    </xf>
    <xf numFmtId="0" fontId="31" fillId="60" borderId="14" xfId="42" applyFont="1" applyFill="1" applyBorder="1" applyAlignment="1" applyProtection="1">
      <alignment horizontal="center" vertical="center" wrapText="1"/>
    </xf>
    <xf numFmtId="1" fontId="89" fillId="0" borderId="0" xfId="0" applyNumberFormat="1" applyFont="1" applyAlignment="1">
      <alignment horizontal="right"/>
    </xf>
    <xf numFmtId="0" fontId="36" fillId="98" borderId="0" xfId="42" applyFont="1" applyFill="1" applyAlignment="1" applyProtection="1">
      <alignment horizontal="center" vertical="center"/>
    </xf>
    <xf numFmtId="49" fontId="1" fillId="62" borderId="15" xfId="0" applyNumberFormat="1" applyFont="1" applyFill="1" applyBorder="1" applyAlignment="1">
      <alignment horizontal="left" vertical="center" wrapText="1" indent="2"/>
    </xf>
    <xf numFmtId="49" fontId="1" fillId="62" borderId="16" xfId="0" applyNumberFormat="1" applyFont="1" applyFill="1" applyBorder="1" applyAlignment="1">
      <alignment horizontal="left" vertical="center" wrapText="1" indent="2"/>
    </xf>
    <xf numFmtId="49" fontId="1" fillId="62" borderId="17" xfId="0" applyNumberFormat="1" applyFont="1" applyFill="1" applyBorder="1" applyAlignment="1">
      <alignment horizontal="left" vertical="center" wrapText="1" indent="2"/>
    </xf>
    <xf numFmtId="0" fontId="31" fillId="44" borderId="12" xfId="42" applyFont="1" applyFill="1" applyBorder="1" applyAlignment="1" applyProtection="1">
      <alignment horizontal="left" vertical="center" wrapText="1" indent="1"/>
    </xf>
    <xf numFmtId="0" fontId="31" fillId="95" borderId="18" xfId="42" applyFont="1" applyFill="1" applyBorder="1" applyAlignment="1" applyProtection="1">
      <alignment horizontal="left" vertical="center" wrapText="1" indent="1"/>
    </xf>
    <xf numFmtId="0" fontId="31" fillId="37" borderId="12" xfId="42" applyFont="1" applyFill="1" applyBorder="1" applyAlignment="1" applyProtection="1">
      <alignment horizontal="left" vertical="center" wrapText="1" indent="1"/>
    </xf>
    <xf numFmtId="0" fontId="31" fillId="46" borderId="12" xfId="42" applyFont="1" applyFill="1" applyBorder="1" applyAlignment="1" applyProtection="1">
      <alignment horizontal="left" vertical="center" wrapText="1" indent="1"/>
    </xf>
    <xf numFmtId="0" fontId="31" fillId="60" borderId="14" xfId="42" applyFont="1" applyFill="1" applyBorder="1" applyAlignment="1" applyProtection="1">
      <alignment horizontal="left" vertical="center" wrapText="1" indent="1"/>
    </xf>
    <xf numFmtId="0" fontId="31" fillId="40" borderId="13" xfId="42" applyFont="1" applyFill="1" applyBorder="1" applyAlignment="1" applyProtection="1">
      <alignment horizontal="left" vertical="center" wrapText="1" indent="1"/>
    </xf>
    <xf numFmtId="0" fontId="31" fillId="41" borderId="31" xfId="42" applyFont="1" applyFill="1" applyBorder="1" applyAlignment="1" applyProtection="1">
      <alignment horizontal="left" vertical="center" wrapText="1" indent="1"/>
    </xf>
    <xf numFmtId="0" fontId="31" fillId="42" borderId="13" xfId="42" applyFont="1" applyFill="1" applyBorder="1" applyAlignment="1" applyProtection="1">
      <alignment horizontal="left" vertical="center" wrapText="1" indent="1"/>
    </xf>
    <xf numFmtId="0" fontId="31" fillId="61" borderId="12" xfId="42" applyFont="1" applyFill="1" applyBorder="1" applyAlignment="1" applyProtection="1">
      <alignment horizontal="left" vertical="center" wrapText="1" indent="1"/>
    </xf>
    <xf numFmtId="0" fontId="31" fillId="39" borderId="14" xfId="42" applyFont="1" applyFill="1" applyBorder="1" applyAlignment="1" applyProtection="1">
      <alignment horizontal="left" vertical="center" wrapText="1" indent="1"/>
    </xf>
    <xf numFmtId="0" fontId="31" fillId="34" borderId="14" xfId="42" applyFont="1" applyFill="1" applyBorder="1" applyAlignment="1" applyProtection="1">
      <alignment horizontal="left" vertical="center" wrapText="1" indent="1"/>
    </xf>
    <xf numFmtId="0" fontId="31" fillId="35" borderId="12" xfId="42" applyFont="1" applyFill="1" applyBorder="1" applyAlignment="1" applyProtection="1">
      <alignment horizontal="left" vertical="center" wrapText="1" indent="1"/>
    </xf>
    <xf numFmtId="0" fontId="31" fillId="36" borderId="13" xfId="42" applyFont="1" applyFill="1" applyBorder="1" applyAlignment="1" applyProtection="1">
      <alignment horizontal="left" vertical="center" wrapText="1" indent="1"/>
    </xf>
    <xf numFmtId="3" fontId="89" fillId="0" borderId="0" xfId="0" applyNumberFormat="1" applyFont="1" applyAlignment="1">
      <alignment horizontal="right"/>
    </xf>
    <xf numFmtId="2" fontId="89" fillId="0" borderId="0" xfId="0" applyNumberFormat="1" applyFont="1" applyAlignment="1">
      <alignment horizontal="right"/>
    </xf>
    <xf numFmtId="166" fontId="89" fillId="0" borderId="0" xfId="0" applyNumberFormat="1" applyFont="1" applyAlignment="1">
      <alignment horizontal="right"/>
    </xf>
    <xf numFmtId="0" fontId="1" fillId="62" borderId="15" xfId="0" applyFont="1" applyFill="1" applyBorder="1" applyAlignment="1">
      <alignment horizontal="left" vertical="center" wrapText="1" indent="1"/>
    </xf>
    <xf numFmtId="0" fontId="1" fillId="62" borderId="16" xfId="0" applyFont="1" applyFill="1" applyBorder="1" applyAlignment="1">
      <alignment horizontal="left" vertical="center" wrapText="1" indent="1"/>
    </xf>
    <xf numFmtId="0" fontId="1" fillId="62" borderId="17" xfId="0" applyFont="1" applyFill="1" applyBorder="1" applyAlignment="1">
      <alignment horizontal="left" vertical="center" wrapText="1" indent="1"/>
    </xf>
    <xf numFmtId="0" fontId="1" fillId="62" borderId="15" xfId="0" applyFont="1" applyFill="1" applyBorder="1" applyAlignment="1">
      <alignment horizontal="center" vertical="center" wrapText="1"/>
    </xf>
    <xf numFmtId="0" fontId="1" fillId="62" borderId="16" xfId="0" applyFont="1" applyFill="1" applyBorder="1" applyAlignment="1">
      <alignment horizontal="center" vertical="center" wrapText="1"/>
    </xf>
    <xf numFmtId="49" fontId="1" fillId="62" borderId="15" xfId="0" applyNumberFormat="1" applyFont="1" applyFill="1" applyBorder="1" applyAlignment="1">
      <alignment horizontal="left" vertical="center" wrapText="1" indent="2"/>
    </xf>
    <xf numFmtId="49" fontId="1" fillId="62" borderId="16" xfId="0" applyNumberFormat="1" applyFont="1" applyFill="1" applyBorder="1" applyAlignment="1">
      <alignment horizontal="left" vertical="center" wrapText="1" indent="2"/>
    </xf>
    <xf numFmtId="49" fontId="1" fillId="62" borderId="17" xfId="0" applyNumberFormat="1" applyFont="1" applyFill="1" applyBorder="1" applyAlignment="1">
      <alignment horizontal="left" vertical="center" wrapText="1" indent="2"/>
    </xf>
    <xf numFmtId="0" fontId="1" fillId="54" borderId="15" xfId="0" applyFont="1" applyFill="1" applyBorder="1" applyAlignment="1">
      <alignment horizontal="left" vertical="center" wrapText="1" indent="1"/>
    </xf>
    <xf numFmtId="0" fontId="1" fillId="54" borderId="16" xfId="0" applyFont="1" applyFill="1" applyBorder="1" applyAlignment="1">
      <alignment horizontal="left" vertical="center" wrapText="1" indent="1"/>
    </xf>
    <xf numFmtId="0" fontId="1" fillId="54" borderId="17" xfId="0" applyFont="1" applyFill="1" applyBorder="1" applyAlignment="1">
      <alignment horizontal="left" vertical="center" wrapText="1" indent="1"/>
    </xf>
    <xf numFmtId="0" fontId="1" fillId="54" borderId="15" xfId="0" applyFont="1" applyFill="1" applyBorder="1" applyAlignment="1">
      <alignment vertical="center" wrapText="1"/>
    </xf>
    <xf numFmtId="0" fontId="1" fillId="54" borderId="16" xfId="0" applyFont="1" applyFill="1" applyBorder="1" applyAlignment="1">
      <alignment vertical="center" wrapText="1"/>
    </xf>
    <xf numFmtId="0" fontId="1" fillId="54" borderId="17" xfId="0" applyFont="1" applyFill="1" applyBorder="1" applyAlignment="1">
      <alignment vertical="center" wrapText="1"/>
    </xf>
    <xf numFmtId="3" fontId="1" fillId="54" borderId="15" xfId="0" applyNumberFormat="1" applyFont="1" applyFill="1" applyBorder="1" applyAlignment="1">
      <alignment horizontal="center" vertical="center" wrapText="1"/>
    </xf>
    <xf numFmtId="3" fontId="1" fillId="54" borderId="16" xfId="0" applyNumberFormat="1" applyFont="1" applyFill="1" applyBorder="1" applyAlignment="1">
      <alignment horizontal="center" vertical="center" wrapText="1"/>
    </xf>
    <xf numFmtId="14" fontId="1" fillId="54" borderId="15" xfId="0" applyNumberFormat="1" applyFont="1" applyFill="1" applyBorder="1" applyAlignment="1">
      <alignment horizontal="left" vertical="center" wrapText="1" indent="2"/>
    </xf>
    <xf numFmtId="14" fontId="1" fillId="54" borderId="16" xfId="0" applyNumberFormat="1" applyFont="1" applyFill="1" applyBorder="1" applyAlignment="1">
      <alignment horizontal="left" vertical="center" wrapText="1" indent="2"/>
    </xf>
    <xf numFmtId="14" fontId="1" fillId="54" borderId="17" xfId="0" applyNumberFormat="1" applyFont="1" applyFill="1" applyBorder="1" applyAlignment="1">
      <alignment horizontal="left" vertical="center" wrapText="1" indent="2"/>
    </xf>
    <xf numFmtId="0" fontId="1" fillId="54" borderId="15" xfId="0" applyFont="1" applyFill="1" applyBorder="1" applyAlignment="1">
      <alignment horizontal="center" vertical="center" wrapText="1"/>
    </xf>
    <xf numFmtId="0" fontId="1" fillId="54" borderId="17" xfId="0" applyFont="1" applyFill="1" applyBorder="1" applyAlignment="1">
      <alignment horizontal="center" vertical="center" wrapText="1"/>
    </xf>
    <xf numFmtId="0" fontId="1" fillId="54" borderId="21" xfId="0" applyFont="1" applyFill="1" applyBorder="1" applyAlignment="1">
      <alignment horizontal="left" vertical="center" wrapText="1" indent="1"/>
    </xf>
    <xf numFmtId="0" fontId="1" fillId="54" borderId="22" xfId="0" applyFont="1" applyFill="1" applyBorder="1" applyAlignment="1">
      <alignment horizontal="left" vertical="center" wrapText="1" indent="1"/>
    </xf>
    <xf numFmtId="0" fontId="1" fillId="54" borderId="23" xfId="0" applyFont="1" applyFill="1" applyBorder="1" applyAlignment="1">
      <alignment horizontal="left" vertical="center" wrapText="1" indent="1"/>
    </xf>
    <xf numFmtId="0" fontId="1" fillId="62" borderId="17" xfId="0" applyFont="1" applyFill="1" applyBorder="1" applyAlignment="1">
      <alignment horizontal="center" vertical="center" wrapText="1"/>
    </xf>
    <xf numFmtId="3" fontId="1" fillId="62" borderId="15" xfId="0" applyNumberFormat="1" applyFont="1" applyFill="1" applyBorder="1" applyAlignment="1">
      <alignment horizontal="center" vertical="center" wrapText="1"/>
    </xf>
    <xf numFmtId="1" fontId="1" fillId="62" borderId="15" xfId="0" applyNumberFormat="1" applyFont="1" applyFill="1" applyBorder="1" applyAlignment="1">
      <alignment horizontal="center" vertical="center" wrapText="1"/>
    </xf>
    <xf numFmtId="1" fontId="1" fillId="62" borderId="17" xfId="0" applyNumberFormat="1" applyFont="1" applyFill="1" applyBorder="1" applyAlignment="1">
      <alignment horizontal="center" vertical="center" wrapText="1"/>
    </xf>
    <xf numFmtId="0" fontId="1" fillId="62" borderId="21" xfId="0" applyFont="1" applyFill="1" applyBorder="1" applyAlignment="1">
      <alignment horizontal="left" vertical="center" wrapText="1" indent="1"/>
    </xf>
    <xf numFmtId="0" fontId="1" fillId="62" borderId="22" xfId="0" applyFont="1" applyFill="1" applyBorder="1" applyAlignment="1">
      <alignment horizontal="left" vertical="center" wrapText="1" indent="1"/>
    </xf>
    <xf numFmtId="0" fontId="1" fillId="62" borderId="23" xfId="0" applyFont="1" applyFill="1" applyBorder="1" applyAlignment="1">
      <alignment horizontal="left" vertical="center" wrapText="1" indent="1"/>
    </xf>
    <xf numFmtId="0" fontId="1" fillId="62" borderId="21" xfId="0" applyFont="1" applyFill="1" applyBorder="1" applyAlignment="1">
      <alignment horizontal="center" vertical="center" wrapText="1"/>
    </xf>
    <xf numFmtId="0" fontId="1" fillId="62" borderId="23" xfId="0" applyFont="1" applyFill="1" applyBorder="1" applyAlignment="1">
      <alignment horizontal="center" vertical="center" wrapText="1"/>
    </xf>
    <xf numFmtId="49" fontId="1" fillId="62" borderId="21" xfId="0" applyNumberFormat="1" applyFont="1" applyFill="1" applyBorder="1" applyAlignment="1">
      <alignment horizontal="left" vertical="center" wrapText="1" indent="2"/>
    </xf>
    <xf numFmtId="49" fontId="1" fillId="62" borderId="22" xfId="0" applyNumberFormat="1" applyFont="1" applyFill="1" applyBorder="1" applyAlignment="1">
      <alignment horizontal="left" vertical="center" wrapText="1" indent="2"/>
    </xf>
    <xf numFmtId="49" fontId="1" fillId="62" borderId="23" xfId="0" applyNumberFormat="1" applyFont="1" applyFill="1" applyBorder="1" applyAlignment="1">
      <alignment horizontal="left" vertical="center" wrapText="1" indent="2"/>
    </xf>
    <xf numFmtId="0" fontId="1" fillId="62" borderId="15" xfId="0" applyFont="1" applyFill="1" applyBorder="1" applyAlignment="1">
      <alignment horizontal="left" vertical="center" wrapText="1"/>
    </xf>
    <xf numFmtId="0" fontId="1" fillId="62" borderId="16" xfId="0" applyFont="1" applyFill="1" applyBorder="1" applyAlignment="1">
      <alignment horizontal="left" vertical="center" wrapText="1"/>
    </xf>
    <xf numFmtId="0" fontId="1" fillId="62" borderId="17" xfId="0" applyFont="1" applyFill="1" applyBorder="1" applyAlignment="1">
      <alignment horizontal="left" vertical="center" wrapText="1"/>
    </xf>
    <xf numFmtId="49" fontId="1" fillId="43" borderId="15" xfId="0" applyNumberFormat="1" applyFont="1" applyFill="1" applyBorder="1" applyAlignment="1">
      <alignment horizontal="left" vertical="center" wrapText="1" indent="2"/>
    </xf>
    <xf numFmtId="49" fontId="1" fillId="43" borderId="16" xfId="0" applyNumberFormat="1" applyFont="1" applyFill="1" applyBorder="1" applyAlignment="1">
      <alignment horizontal="left" vertical="center" wrapText="1" indent="2"/>
    </xf>
    <xf numFmtId="49" fontId="1" fillId="43" borderId="17" xfId="0" applyNumberFormat="1" applyFont="1" applyFill="1" applyBorder="1" applyAlignment="1">
      <alignment horizontal="left" vertical="center" wrapText="1" indent="2"/>
    </xf>
    <xf numFmtId="0" fontId="1" fillId="43" borderId="15" xfId="0" applyFont="1" applyFill="1" applyBorder="1" applyAlignment="1">
      <alignment horizontal="left" vertical="center" wrapText="1" indent="1"/>
    </xf>
    <xf numFmtId="0" fontId="1" fillId="43" borderId="17" xfId="0" applyFont="1" applyFill="1" applyBorder="1" applyAlignment="1">
      <alignment horizontal="left" vertical="center" wrapText="1" indent="1"/>
    </xf>
    <xf numFmtId="0" fontId="34" fillId="53" borderId="21" xfId="0" applyFont="1" applyFill="1" applyBorder="1" applyAlignment="1">
      <alignment horizontal="left" vertical="center" wrapText="1" indent="1"/>
    </xf>
    <xf numFmtId="0" fontId="34" fillId="53" borderId="22" xfId="0" applyFont="1" applyFill="1" applyBorder="1" applyAlignment="1">
      <alignment horizontal="left" vertical="center" wrapText="1" indent="1"/>
    </xf>
    <xf numFmtId="0" fontId="34" fillId="53" borderId="23" xfId="0" applyFont="1" applyFill="1" applyBorder="1" applyAlignment="1">
      <alignment horizontal="left" vertical="center" wrapText="1" indent="1"/>
    </xf>
    <xf numFmtId="0" fontId="34" fillId="53" borderId="15" xfId="0" applyFont="1" applyFill="1" applyBorder="1" applyAlignment="1">
      <alignment horizontal="left" vertical="center" wrapText="1" indent="1"/>
    </xf>
    <xf numFmtId="0" fontId="34" fillId="53" borderId="16" xfId="0" applyFont="1" applyFill="1" applyBorder="1" applyAlignment="1">
      <alignment horizontal="left" vertical="center" wrapText="1" indent="1"/>
    </xf>
    <xf numFmtId="0" fontId="34" fillId="53" borderId="17" xfId="0" applyFont="1" applyFill="1" applyBorder="1" applyAlignment="1">
      <alignment horizontal="left" vertical="center" wrapText="1" indent="1"/>
    </xf>
    <xf numFmtId="0" fontId="34" fillId="53" borderId="15" xfId="0" applyFont="1" applyFill="1" applyBorder="1" applyAlignment="1">
      <alignment horizontal="left" vertical="center" wrapText="1" indent="2"/>
    </xf>
    <xf numFmtId="0" fontId="34" fillId="53" borderId="16" xfId="0" applyFont="1" applyFill="1" applyBorder="1" applyAlignment="1">
      <alignment horizontal="left" vertical="center" wrapText="1" indent="2"/>
    </xf>
    <xf numFmtId="0" fontId="34" fillId="53" borderId="17" xfId="0" applyFont="1" applyFill="1" applyBorder="1" applyAlignment="1">
      <alignment horizontal="left" vertical="center" wrapText="1" indent="2"/>
    </xf>
    <xf numFmtId="3" fontId="1" fillId="62" borderId="16" xfId="0" applyNumberFormat="1" applyFont="1" applyFill="1" applyBorder="1" applyAlignment="1">
      <alignment horizontal="center" vertical="center" wrapText="1"/>
    </xf>
    <xf numFmtId="0" fontId="34" fillId="53" borderId="15" xfId="0" applyFont="1" applyFill="1" applyBorder="1" applyAlignment="1">
      <alignment horizontal="center" vertical="center" wrapText="1"/>
    </xf>
    <xf numFmtId="0" fontId="34" fillId="53" borderId="17" xfId="0" applyFont="1" applyFill="1" applyBorder="1" applyAlignment="1">
      <alignment horizontal="center" vertical="center" wrapText="1"/>
    </xf>
    <xf numFmtId="2" fontId="1" fillId="62" borderId="15" xfId="0" applyNumberFormat="1" applyFont="1" applyFill="1" applyBorder="1" applyAlignment="1">
      <alignment horizontal="center" vertical="center" wrapText="1"/>
    </xf>
    <xf numFmtId="2" fontId="1" fillId="62" borderId="17" xfId="0" applyNumberFormat="1" applyFont="1" applyFill="1" applyBorder="1" applyAlignment="1">
      <alignment horizontal="center" vertical="center" wrapText="1"/>
    </xf>
    <xf numFmtId="0" fontId="1" fillId="43" borderId="15" xfId="0" applyFont="1" applyFill="1" applyBorder="1" applyAlignment="1">
      <alignment horizontal="left" vertical="center" wrapText="1"/>
    </xf>
    <xf numFmtId="0" fontId="1" fillId="43" borderId="16" xfId="0" applyFont="1" applyFill="1" applyBorder="1" applyAlignment="1">
      <alignment horizontal="left" vertical="center" wrapText="1"/>
    </xf>
    <xf numFmtId="0" fontId="1" fillId="43" borderId="17" xfId="0" applyFont="1" applyFill="1" applyBorder="1" applyAlignment="1">
      <alignment horizontal="left" vertical="center" wrapText="1"/>
    </xf>
    <xf numFmtId="3" fontId="1" fillId="43" borderId="15" xfId="0" applyNumberFormat="1" applyFont="1" applyFill="1" applyBorder="1" applyAlignment="1">
      <alignment horizontal="center" vertical="center" wrapText="1"/>
    </xf>
    <xf numFmtId="3" fontId="1" fillId="43" borderId="17" xfId="0" applyNumberFormat="1" applyFont="1" applyFill="1" applyBorder="1" applyAlignment="1">
      <alignment horizontal="center" vertical="center" wrapText="1"/>
    </xf>
    <xf numFmtId="166" fontId="1" fillId="43" borderId="15" xfId="0" applyNumberFormat="1" applyFont="1" applyFill="1" applyBorder="1" applyAlignment="1">
      <alignment horizontal="center" vertical="center" wrapText="1"/>
    </xf>
    <xf numFmtId="166" fontId="1" fillId="43" borderId="17" xfId="0" applyNumberFormat="1" applyFont="1" applyFill="1" applyBorder="1" applyAlignment="1">
      <alignment horizontal="center" vertical="center" wrapText="1"/>
    </xf>
    <xf numFmtId="0" fontId="32" fillId="62" borderId="15" xfId="0" applyFont="1" applyFill="1" applyBorder="1" applyAlignment="1">
      <alignment horizontal="center" vertical="center" wrapText="1"/>
    </xf>
    <xf numFmtId="0" fontId="32" fillId="62" borderId="17" xfId="0" applyFont="1" applyFill="1" applyBorder="1" applyAlignment="1">
      <alignment horizontal="center" vertical="center" wrapText="1"/>
    </xf>
    <xf numFmtId="0" fontId="1" fillId="43" borderId="15" xfId="0" applyFont="1" applyFill="1" applyBorder="1" applyAlignment="1">
      <alignment horizontal="center" vertical="center" wrapText="1"/>
    </xf>
    <xf numFmtId="0" fontId="1" fillId="43" borderId="17" xfId="0" applyFont="1" applyFill="1" applyBorder="1" applyAlignment="1">
      <alignment horizontal="center" vertical="center" wrapText="1"/>
    </xf>
    <xf numFmtId="0" fontId="1" fillId="55" borderId="15" xfId="0" applyFont="1" applyFill="1" applyBorder="1" applyAlignment="1">
      <alignment horizontal="left" vertical="center" wrapText="1" indent="1"/>
    </xf>
    <xf numFmtId="0" fontId="1" fillId="55" borderId="16" xfId="0" applyFont="1" applyFill="1" applyBorder="1" applyAlignment="1">
      <alignment horizontal="left" vertical="center" wrapText="1" indent="1"/>
    </xf>
    <xf numFmtId="0" fontId="1" fillId="55" borderId="17" xfId="0" applyFont="1" applyFill="1" applyBorder="1" applyAlignment="1">
      <alignment horizontal="left" vertical="center" wrapText="1" indent="1"/>
    </xf>
    <xf numFmtId="14" fontId="1" fillId="55" borderId="15" xfId="0" applyNumberFormat="1" applyFont="1" applyFill="1" applyBorder="1" applyAlignment="1">
      <alignment horizontal="left" vertical="center" wrapText="1" indent="2"/>
    </xf>
    <xf numFmtId="14" fontId="1" fillId="55" borderId="16" xfId="0" applyNumberFormat="1" applyFont="1" applyFill="1" applyBorder="1" applyAlignment="1">
      <alignment horizontal="left" vertical="center" wrapText="1" indent="2"/>
    </xf>
    <xf numFmtId="14" fontId="1" fillId="55" borderId="17" xfId="0" applyNumberFormat="1" applyFont="1" applyFill="1" applyBorder="1" applyAlignment="1">
      <alignment horizontal="left" vertical="center" wrapText="1" indent="2"/>
    </xf>
    <xf numFmtId="0" fontId="1" fillId="55" borderId="15" xfId="0" applyFont="1" applyFill="1" applyBorder="1" applyAlignment="1">
      <alignment horizontal="left" vertical="center" wrapText="1"/>
    </xf>
    <xf numFmtId="0" fontId="1" fillId="55" borderId="16" xfId="0" applyFont="1" applyFill="1" applyBorder="1" applyAlignment="1">
      <alignment horizontal="left" vertical="center" wrapText="1"/>
    </xf>
    <xf numFmtId="0" fontId="1" fillId="55" borderId="17" xfId="0" applyFont="1" applyFill="1" applyBorder="1" applyAlignment="1">
      <alignment horizontal="left" vertical="center" wrapText="1"/>
    </xf>
    <xf numFmtId="0" fontId="1" fillId="55" borderId="15" xfId="0" applyFont="1" applyFill="1" applyBorder="1" applyAlignment="1">
      <alignment horizontal="center" vertical="center" wrapText="1"/>
    </xf>
    <xf numFmtId="0" fontId="1" fillId="55" borderId="17" xfId="0" applyFont="1" applyFill="1" applyBorder="1" applyAlignment="1">
      <alignment horizontal="center" vertical="center" wrapText="1"/>
    </xf>
    <xf numFmtId="49" fontId="1" fillId="55" borderId="15" xfId="0" applyNumberFormat="1" applyFont="1" applyFill="1" applyBorder="1" applyAlignment="1">
      <alignment horizontal="left" vertical="center" wrapText="1" indent="2"/>
    </xf>
    <xf numFmtId="49" fontId="1" fillId="55" borderId="16" xfId="0" applyNumberFormat="1" applyFont="1" applyFill="1" applyBorder="1" applyAlignment="1">
      <alignment horizontal="left" vertical="center" wrapText="1" indent="2"/>
    </xf>
    <xf numFmtId="49" fontId="1" fillId="55" borderId="17" xfId="0" applyNumberFormat="1" applyFont="1" applyFill="1" applyBorder="1" applyAlignment="1">
      <alignment horizontal="left" vertical="center" wrapText="1" indent="2"/>
    </xf>
    <xf numFmtId="0" fontId="1" fillId="62" borderId="21" xfId="0" applyFont="1" applyFill="1" applyBorder="1" applyAlignment="1">
      <alignment horizontal="left" vertical="center" wrapText="1"/>
    </xf>
    <xf numFmtId="0" fontId="1" fillId="62" borderId="22" xfId="0" applyFont="1" applyFill="1" applyBorder="1" applyAlignment="1">
      <alignment horizontal="left" vertical="center" wrapText="1"/>
    </xf>
    <xf numFmtId="0" fontId="1" fillId="62" borderId="23" xfId="0" applyFont="1" applyFill="1" applyBorder="1" applyAlignment="1">
      <alignment horizontal="left" vertical="center" wrapText="1"/>
    </xf>
    <xf numFmtId="3" fontId="1" fillId="62" borderId="17" xfId="0" applyNumberFormat="1" applyFont="1" applyFill="1" applyBorder="1" applyAlignment="1">
      <alignment horizontal="center" vertical="center" wrapText="1"/>
    </xf>
    <xf numFmtId="166" fontId="1" fillId="62" borderId="15" xfId="0" applyNumberFormat="1" applyFont="1" applyFill="1" applyBorder="1" applyAlignment="1">
      <alignment horizontal="center" vertical="center" wrapText="1"/>
    </xf>
    <xf numFmtId="166" fontId="1" fillId="62" borderId="17" xfId="0" applyNumberFormat="1" applyFont="1" applyFill="1" applyBorder="1" applyAlignment="1">
      <alignment horizontal="center" vertical="center" wrapText="1"/>
    </xf>
    <xf numFmtId="0" fontId="90" fillId="49" borderId="0" xfId="44" applyFont="1" applyFill="1" applyAlignment="1">
      <alignment horizontal="left" vertical="center"/>
    </xf>
    <xf numFmtId="0" fontId="1" fillId="46" borderId="15" xfId="0" applyFont="1" applyFill="1" applyBorder="1" applyAlignment="1">
      <alignment horizontal="left" vertical="center" wrapText="1" indent="1"/>
    </xf>
    <xf numFmtId="0" fontId="1" fillId="46" borderId="17" xfId="0" applyFont="1" applyFill="1" applyBorder="1" applyAlignment="1">
      <alignment horizontal="left" vertical="center" wrapText="1" indent="1"/>
    </xf>
    <xf numFmtId="0" fontId="1" fillId="46" borderId="15" xfId="0" applyFont="1" applyFill="1" applyBorder="1" applyAlignment="1">
      <alignment horizontal="left" vertical="center" wrapText="1"/>
    </xf>
    <xf numFmtId="0" fontId="27" fillId="0" borderId="16" xfId="0" applyFont="1" applyBorder="1"/>
    <xf numFmtId="0" fontId="27" fillId="0" borderId="17" xfId="0" applyFont="1" applyBorder="1"/>
    <xf numFmtId="166" fontId="1" fillId="62" borderId="15" xfId="0" applyNumberFormat="1" applyFont="1" applyFill="1" applyBorder="1" applyAlignment="1">
      <alignment horizontal="center" vertical="center"/>
    </xf>
    <xf numFmtId="166" fontId="1" fillId="62" borderId="17" xfId="0" applyNumberFormat="1" applyFont="1" applyFill="1" applyBorder="1" applyAlignment="1">
      <alignment horizontal="center" vertical="center"/>
    </xf>
    <xf numFmtId="1" fontId="1" fillId="62" borderId="15" xfId="0" quotePrefix="1" applyNumberFormat="1" applyFont="1" applyFill="1" applyBorder="1" applyAlignment="1">
      <alignment horizontal="left" vertical="center" wrapText="1" indent="2"/>
    </xf>
    <xf numFmtId="1" fontId="1" fillId="62" borderId="16" xfId="0" applyNumberFormat="1" applyFont="1" applyFill="1" applyBorder="1" applyAlignment="1">
      <alignment horizontal="left" vertical="center" wrapText="1" indent="2"/>
    </xf>
    <xf numFmtId="1" fontId="1" fillId="62" borderId="17" xfId="0" applyNumberFormat="1" applyFont="1" applyFill="1" applyBorder="1" applyAlignment="1">
      <alignment horizontal="left" vertical="center" wrapText="1" indent="2"/>
    </xf>
    <xf numFmtId="1" fontId="1" fillId="62" borderId="21" xfId="0" applyNumberFormat="1" applyFont="1" applyFill="1" applyBorder="1" applyAlignment="1">
      <alignment horizontal="center" vertical="center" wrapText="1"/>
    </xf>
    <xf numFmtId="1" fontId="1" fillId="62" borderId="23" xfId="0" applyNumberFormat="1" applyFont="1" applyFill="1" applyBorder="1" applyAlignment="1">
      <alignment horizontal="center" vertical="center" wrapText="1"/>
    </xf>
    <xf numFmtId="1" fontId="1" fillId="62" borderId="15" xfId="0" applyNumberFormat="1" applyFont="1" applyFill="1" applyBorder="1" applyAlignment="1">
      <alignment horizontal="left" vertical="center" wrapText="1" indent="2"/>
    </xf>
    <xf numFmtId="1" fontId="1" fillId="62" borderId="16" xfId="0" quotePrefix="1" applyNumberFormat="1" applyFont="1" applyFill="1" applyBorder="1" applyAlignment="1">
      <alignment horizontal="left" vertical="center" wrapText="1" indent="2"/>
    </xf>
    <xf numFmtId="1" fontId="1" fillId="62" borderId="17" xfId="0" quotePrefix="1" applyNumberFormat="1" applyFont="1" applyFill="1" applyBorder="1" applyAlignment="1">
      <alignment horizontal="left" vertical="center" wrapText="1" indent="2"/>
    </xf>
    <xf numFmtId="1" fontId="1" fillId="62" borderId="28" xfId="0" applyNumberFormat="1" applyFont="1" applyFill="1" applyBorder="1" applyAlignment="1">
      <alignment horizontal="center" vertical="center" wrapText="1"/>
    </xf>
    <xf numFmtId="1" fontId="1" fillId="62" borderId="30" xfId="0" applyNumberFormat="1" applyFont="1" applyFill="1" applyBorder="1" applyAlignment="1">
      <alignment horizontal="center" vertical="center" wrapText="1"/>
    </xf>
    <xf numFmtId="0" fontId="1" fillId="41" borderId="28" xfId="0" applyFont="1" applyFill="1" applyBorder="1" applyAlignment="1">
      <alignment horizontal="left" vertical="center" wrapText="1" indent="1"/>
    </xf>
    <xf numFmtId="0" fontId="1" fillId="41" borderId="30" xfId="0" applyFont="1" applyFill="1" applyBorder="1" applyAlignment="1">
      <alignment horizontal="left" vertical="center" wrapText="1" indent="1"/>
    </xf>
    <xf numFmtId="0" fontId="1" fillId="42" borderId="15" xfId="0" applyFont="1" applyFill="1" applyBorder="1" applyAlignment="1">
      <alignment horizontal="left" vertical="center" wrapText="1"/>
    </xf>
    <xf numFmtId="0" fontId="1" fillId="42" borderId="16" xfId="0" applyFont="1" applyFill="1" applyBorder="1" applyAlignment="1">
      <alignment horizontal="left" vertical="center" wrapText="1"/>
    </xf>
    <xf numFmtId="0" fontId="1" fillId="42" borderId="17" xfId="0" applyFont="1" applyFill="1" applyBorder="1" applyAlignment="1">
      <alignment horizontal="left" vertical="center" wrapText="1"/>
    </xf>
    <xf numFmtId="0" fontId="1" fillId="42" borderId="15" xfId="0" applyFont="1" applyFill="1" applyBorder="1" applyAlignment="1">
      <alignment horizontal="left" vertical="center" wrapText="1" indent="1"/>
    </xf>
    <xf numFmtId="0" fontId="1" fillId="42" borderId="16" xfId="0" applyFont="1" applyFill="1" applyBorder="1" applyAlignment="1">
      <alignment horizontal="left" vertical="center" wrapText="1" indent="1"/>
    </xf>
    <xf numFmtId="0" fontId="1" fillId="42" borderId="17" xfId="0" applyFont="1" applyFill="1" applyBorder="1" applyAlignment="1">
      <alignment horizontal="left" vertical="center" wrapText="1" indent="1"/>
    </xf>
    <xf numFmtId="0" fontId="1" fillId="42" borderId="15" xfId="0" applyFont="1" applyFill="1" applyBorder="1" applyAlignment="1">
      <alignment horizontal="center" vertical="center" wrapText="1"/>
    </xf>
    <xf numFmtId="0" fontId="1" fillId="42" borderId="17" xfId="0" applyFont="1" applyFill="1" applyBorder="1" applyAlignment="1">
      <alignment horizontal="center" vertical="center" wrapText="1"/>
    </xf>
    <xf numFmtId="14" fontId="1" fillId="42" borderId="15" xfId="0" applyNumberFormat="1" applyFont="1" applyFill="1" applyBorder="1" applyAlignment="1">
      <alignment horizontal="left" vertical="center" wrapText="1" indent="2"/>
    </xf>
    <xf numFmtId="14" fontId="1" fillId="42" borderId="16" xfId="0" applyNumberFormat="1" applyFont="1" applyFill="1" applyBorder="1" applyAlignment="1">
      <alignment horizontal="left" vertical="center" wrapText="1" indent="2"/>
    </xf>
    <xf numFmtId="14" fontId="1" fillId="42" borderId="17" xfId="0" applyNumberFormat="1" applyFont="1" applyFill="1" applyBorder="1" applyAlignment="1">
      <alignment horizontal="left" vertical="center" wrapText="1" indent="2"/>
    </xf>
    <xf numFmtId="0" fontId="1" fillId="60" borderId="28" xfId="0" applyFont="1" applyFill="1" applyBorder="1" applyAlignment="1">
      <alignment horizontal="left" vertical="center" wrapText="1"/>
    </xf>
    <xf numFmtId="0" fontId="1" fillId="60" borderId="29" xfId="0" applyFont="1" applyFill="1" applyBorder="1" applyAlignment="1">
      <alignment horizontal="left" vertical="center" wrapText="1"/>
    </xf>
    <xf numFmtId="0" fontId="1" fillId="60" borderId="30" xfId="0" applyFont="1" applyFill="1" applyBorder="1" applyAlignment="1">
      <alignment horizontal="left" vertical="center" wrapText="1"/>
    </xf>
    <xf numFmtId="0" fontId="1" fillId="60" borderId="28" xfId="0" applyFont="1" applyFill="1" applyBorder="1" applyAlignment="1">
      <alignment horizontal="center" vertical="center" wrapText="1"/>
    </xf>
    <xf numFmtId="0" fontId="1" fillId="60" borderId="30" xfId="0" applyFont="1" applyFill="1" applyBorder="1" applyAlignment="1">
      <alignment horizontal="center" vertical="center" wrapText="1"/>
    </xf>
    <xf numFmtId="0" fontId="1" fillId="62" borderId="28" xfId="0" applyFont="1" applyFill="1" applyBorder="1" applyAlignment="1">
      <alignment horizontal="center" vertical="center" wrapText="1"/>
    </xf>
    <xf numFmtId="0" fontId="1" fillId="62" borderId="29" xfId="0" applyFont="1" applyFill="1" applyBorder="1" applyAlignment="1">
      <alignment horizontal="center" vertical="center" wrapText="1"/>
    </xf>
    <xf numFmtId="0" fontId="1" fillId="62" borderId="30" xfId="0" applyFont="1" applyFill="1" applyBorder="1" applyAlignment="1">
      <alignment horizontal="center" vertical="center" wrapText="1"/>
    </xf>
    <xf numFmtId="1" fontId="1" fillId="62" borderId="67" xfId="0" applyNumberFormat="1" applyFont="1" applyFill="1" applyBorder="1" applyAlignment="1">
      <alignment horizontal="center" vertical="center" wrapText="1"/>
    </xf>
    <xf numFmtId="1" fontId="1" fillId="62" borderId="35" xfId="0" applyNumberFormat="1" applyFont="1" applyFill="1" applyBorder="1" applyAlignment="1">
      <alignment horizontal="center" vertical="center" wrapText="1"/>
    </xf>
    <xf numFmtId="0" fontId="1" fillId="57" borderId="15" xfId="0" applyFont="1" applyFill="1" applyBorder="1" applyAlignment="1">
      <alignment horizontal="left" vertical="center" wrapText="1" indent="1"/>
    </xf>
    <xf numFmtId="0" fontId="1" fillId="57" borderId="17" xfId="0" applyFont="1" applyFill="1" applyBorder="1" applyAlignment="1">
      <alignment horizontal="left" vertical="center" wrapText="1" indent="1"/>
    </xf>
    <xf numFmtId="49" fontId="1" fillId="46" borderId="15" xfId="0" applyNumberFormat="1" applyFont="1" applyFill="1" applyBorder="1" applyAlignment="1">
      <alignment horizontal="left" vertical="center" wrapText="1" indent="2"/>
    </xf>
    <xf numFmtId="49" fontId="1" fillId="46" borderId="16" xfId="0" applyNumberFormat="1" applyFont="1" applyFill="1" applyBorder="1" applyAlignment="1">
      <alignment horizontal="left" vertical="center" wrapText="1" indent="2"/>
    </xf>
    <xf numFmtId="49" fontId="1" fillId="46" borderId="17" xfId="0" applyNumberFormat="1" applyFont="1" applyFill="1" applyBorder="1" applyAlignment="1">
      <alignment horizontal="left" vertical="center" wrapText="1" indent="2"/>
    </xf>
    <xf numFmtId="49" fontId="32" fillId="62" borderId="15" xfId="0" applyNumberFormat="1" applyFont="1" applyFill="1" applyBorder="1" applyAlignment="1">
      <alignment horizontal="left" vertical="center" wrapText="1" indent="2"/>
    </xf>
    <xf numFmtId="49" fontId="32" fillId="62" borderId="16" xfId="0" applyNumberFormat="1" applyFont="1" applyFill="1" applyBorder="1" applyAlignment="1">
      <alignment horizontal="left" vertical="center" wrapText="1" indent="2"/>
    </xf>
    <xf numFmtId="49" fontId="32" fillId="62" borderId="17" xfId="0" applyNumberFormat="1" applyFont="1" applyFill="1" applyBorder="1" applyAlignment="1">
      <alignment horizontal="left" vertical="center" wrapText="1" indent="2"/>
    </xf>
    <xf numFmtId="0" fontId="22" fillId="49" borderId="11" xfId="0" applyFont="1" applyFill="1" applyBorder="1" applyAlignment="1">
      <alignment horizontal="left" vertical="center" wrapText="1" indent="2"/>
    </xf>
    <xf numFmtId="0" fontId="43" fillId="49" borderId="0" xfId="42" applyFont="1" applyFill="1" applyAlignment="1" applyProtection="1">
      <alignment horizontal="left" vertical="center" wrapText="1" indent="2"/>
    </xf>
    <xf numFmtId="0" fontId="22" fillId="49" borderId="0" xfId="0" applyFont="1" applyFill="1" applyAlignment="1">
      <alignment horizontal="left" vertical="center" wrapText="1" indent="2"/>
    </xf>
    <xf numFmtId="0" fontId="1" fillId="57" borderId="25" xfId="0" applyFont="1" applyFill="1" applyBorder="1" applyAlignment="1">
      <alignment horizontal="left" vertical="center" wrapText="1"/>
    </xf>
    <xf numFmtId="0" fontId="1" fillId="57" borderId="26" xfId="0" applyFont="1" applyFill="1" applyBorder="1" applyAlignment="1">
      <alignment horizontal="left" vertical="center" wrapText="1"/>
    </xf>
    <xf numFmtId="0" fontId="1" fillId="57" borderId="27" xfId="0" applyFont="1" applyFill="1" applyBorder="1" applyAlignment="1">
      <alignment horizontal="left" vertical="center" wrapText="1"/>
    </xf>
    <xf numFmtId="0" fontId="1" fillId="57" borderId="25" xfId="0" applyFont="1" applyFill="1" applyBorder="1" applyAlignment="1">
      <alignment horizontal="center" vertical="center" wrapText="1"/>
    </xf>
    <xf numFmtId="0" fontId="1" fillId="57" borderId="27" xfId="0" applyFont="1" applyFill="1" applyBorder="1" applyAlignment="1">
      <alignment horizontal="center" vertical="center" wrapText="1"/>
    </xf>
    <xf numFmtId="14" fontId="1" fillId="57" borderId="25" xfId="0" applyNumberFormat="1" applyFont="1" applyFill="1" applyBorder="1" applyAlignment="1">
      <alignment horizontal="left" vertical="center" wrapText="1" indent="2"/>
    </xf>
    <xf numFmtId="14" fontId="1" fillId="57" borderId="26" xfId="0" applyNumberFormat="1" applyFont="1" applyFill="1" applyBorder="1" applyAlignment="1">
      <alignment horizontal="left" vertical="center" wrapText="1" indent="2"/>
    </xf>
    <xf numFmtId="14" fontId="1" fillId="57" borderId="27" xfId="0" applyNumberFormat="1" applyFont="1" applyFill="1" applyBorder="1" applyAlignment="1">
      <alignment horizontal="left" vertical="center" wrapText="1" indent="2"/>
    </xf>
    <xf numFmtId="0" fontId="1" fillId="57" borderId="25" xfId="0" applyFont="1" applyFill="1" applyBorder="1" applyAlignment="1">
      <alignment horizontal="left" vertical="center" wrapText="1" indent="1"/>
    </xf>
    <xf numFmtId="0" fontId="1" fillId="57" borderId="27" xfId="0" applyFont="1" applyFill="1" applyBorder="1" applyAlignment="1">
      <alignment horizontal="left" vertical="center" wrapText="1" indent="1"/>
    </xf>
    <xf numFmtId="0" fontId="1" fillId="57" borderId="26" xfId="0" applyFont="1" applyFill="1" applyBorder="1" applyAlignment="1">
      <alignment horizontal="left" vertical="center" wrapText="1" indent="1"/>
    </xf>
    <xf numFmtId="0" fontId="1" fillId="46" borderId="15" xfId="0" applyFont="1" applyFill="1" applyBorder="1" applyAlignment="1">
      <alignment horizontal="center" vertical="center" wrapText="1"/>
    </xf>
    <xf numFmtId="0" fontId="1" fillId="46" borderId="17" xfId="0" applyFont="1" applyFill="1" applyBorder="1" applyAlignment="1">
      <alignment horizontal="center" vertical="center" wrapText="1"/>
    </xf>
    <xf numFmtId="0" fontId="1" fillId="45" borderId="15" xfId="0" applyFont="1" applyFill="1" applyBorder="1" applyAlignment="1">
      <alignment horizontal="left" vertical="center" wrapText="1" indent="1"/>
    </xf>
    <xf numFmtId="0" fontId="1" fillId="45" borderId="16" xfId="0" applyFont="1" applyFill="1" applyBorder="1" applyAlignment="1">
      <alignment horizontal="left" vertical="center" wrapText="1" indent="1"/>
    </xf>
    <xf numFmtId="0" fontId="1" fillId="45" borderId="17" xfId="0" applyFont="1" applyFill="1" applyBorder="1" applyAlignment="1">
      <alignment horizontal="left" vertical="center" wrapText="1" indent="1"/>
    </xf>
    <xf numFmtId="0" fontId="1" fillId="62" borderId="28" xfId="0" applyFont="1" applyFill="1" applyBorder="1" applyAlignment="1">
      <alignment horizontal="left" vertical="center" wrapText="1"/>
    </xf>
    <xf numFmtId="0" fontId="1" fillId="62" borderId="29" xfId="0" applyFont="1" applyFill="1" applyBorder="1" applyAlignment="1">
      <alignment horizontal="left" vertical="center" wrapText="1"/>
    </xf>
    <xf numFmtId="0" fontId="1" fillId="62" borderId="30" xfId="0" applyFont="1" applyFill="1" applyBorder="1" applyAlignment="1">
      <alignment horizontal="left" vertical="center" wrapText="1"/>
    </xf>
    <xf numFmtId="0" fontId="32" fillId="62" borderId="28" xfId="0" applyFont="1" applyFill="1" applyBorder="1" applyAlignment="1">
      <alignment horizontal="center" vertical="center" wrapText="1"/>
    </xf>
    <xf numFmtId="0" fontId="32" fillId="62" borderId="30" xfId="0" applyFont="1" applyFill="1" applyBorder="1" applyAlignment="1">
      <alignment horizontal="center" vertical="center" wrapText="1"/>
    </xf>
    <xf numFmtId="0" fontId="22" fillId="49" borderId="33" xfId="0" applyFont="1" applyFill="1" applyBorder="1" applyAlignment="1">
      <alignment horizontal="center" vertical="center" wrapText="1"/>
    </xf>
    <xf numFmtId="0" fontId="1" fillId="62" borderId="28" xfId="0" applyFont="1" applyFill="1" applyBorder="1" applyAlignment="1">
      <alignment horizontal="left" vertical="center" wrapText="1" indent="1"/>
    </xf>
    <xf numFmtId="0" fontId="1" fillId="62" borderId="29" xfId="0" applyFont="1" applyFill="1" applyBorder="1" applyAlignment="1">
      <alignment horizontal="left" vertical="center" wrapText="1" indent="1"/>
    </xf>
    <xf numFmtId="0" fontId="1" fillId="62" borderId="30" xfId="0" applyFont="1" applyFill="1" applyBorder="1" applyAlignment="1">
      <alignment horizontal="left" vertical="center" wrapText="1" indent="1"/>
    </xf>
    <xf numFmtId="165" fontId="1" fillId="57" borderId="25" xfId="0" applyNumberFormat="1" applyFont="1" applyFill="1" applyBorder="1" applyAlignment="1">
      <alignment horizontal="center" vertical="center" wrapText="1"/>
    </xf>
    <xf numFmtId="165" fontId="1" fillId="57" borderId="27" xfId="0" applyNumberFormat="1" applyFont="1" applyFill="1" applyBorder="1" applyAlignment="1">
      <alignment horizontal="center" vertical="center" wrapText="1"/>
    </xf>
    <xf numFmtId="0" fontId="1" fillId="97" borderId="15" xfId="0" applyFont="1" applyFill="1" applyBorder="1" applyAlignment="1">
      <alignment horizontal="left" vertical="center" wrapText="1"/>
    </xf>
    <xf numFmtId="0" fontId="1" fillId="97" borderId="16" xfId="0" applyFont="1" applyFill="1" applyBorder="1" applyAlignment="1">
      <alignment horizontal="left" vertical="center" wrapText="1"/>
    </xf>
    <xf numFmtId="0" fontId="1" fillId="97" borderId="17" xfId="0" applyFont="1" applyFill="1" applyBorder="1" applyAlignment="1">
      <alignment horizontal="left" vertical="center" wrapText="1"/>
    </xf>
    <xf numFmtId="0" fontId="1" fillId="97" borderId="15" xfId="0" applyFont="1" applyFill="1" applyBorder="1" applyAlignment="1">
      <alignment horizontal="center" vertical="center" wrapText="1"/>
    </xf>
    <xf numFmtId="0" fontId="1" fillId="97" borderId="17" xfId="0" applyFont="1" applyFill="1" applyBorder="1" applyAlignment="1">
      <alignment horizontal="center" vertical="center" wrapText="1"/>
    </xf>
    <xf numFmtId="49" fontId="1" fillId="97" borderId="15" xfId="0" applyNumberFormat="1" applyFont="1" applyFill="1" applyBorder="1" applyAlignment="1">
      <alignment horizontal="left" vertical="center" wrapText="1" indent="2"/>
    </xf>
    <xf numFmtId="49" fontId="1" fillId="97" borderId="16" xfId="0" applyNumberFormat="1" applyFont="1" applyFill="1" applyBorder="1" applyAlignment="1">
      <alignment horizontal="left" vertical="center" wrapText="1" indent="2"/>
    </xf>
    <xf numFmtId="49" fontId="1" fillId="97" borderId="17" xfId="0" applyNumberFormat="1" applyFont="1" applyFill="1" applyBorder="1" applyAlignment="1">
      <alignment horizontal="left" vertical="center" wrapText="1" indent="2"/>
    </xf>
    <xf numFmtId="0" fontId="1" fillId="97" borderId="15" xfId="0" applyFont="1" applyFill="1" applyBorder="1" applyAlignment="1">
      <alignment horizontal="left" vertical="center" wrapText="1" indent="1"/>
    </xf>
    <xf numFmtId="0" fontId="1" fillId="97" borderId="17" xfId="0" applyFont="1" applyFill="1" applyBorder="1" applyAlignment="1">
      <alignment horizontal="left" vertical="center" wrapText="1" indent="1"/>
    </xf>
    <xf numFmtId="0" fontId="1" fillId="39" borderId="15" xfId="0" applyFont="1" applyFill="1" applyBorder="1" applyAlignment="1">
      <alignment horizontal="left" vertical="center" wrapText="1"/>
    </xf>
    <xf numFmtId="0" fontId="1" fillId="39" borderId="16" xfId="0" applyFont="1" applyFill="1" applyBorder="1" applyAlignment="1">
      <alignment horizontal="left" vertical="center" wrapText="1"/>
    </xf>
    <xf numFmtId="0" fontId="1" fillId="39" borderId="17" xfId="0" applyFont="1" applyFill="1" applyBorder="1" applyAlignment="1">
      <alignment horizontal="left" vertical="center" wrapText="1"/>
    </xf>
    <xf numFmtId="0" fontId="1" fillId="39" borderId="15" xfId="0" applyFont="1" applyFill="1" applyBorder="1" applyAlignment="1">
      <alignment horizontal="center" vertical="center" wrapText="1"/>
    </xf>
    <xf numFmtId="0" fontId="1" fillId="39" borderId="17" xfId="0" applyFont="1" applyFill="1" applyBorder="1" applyAlignment="1">
      <alignment horizontal="center" vertical="center" wrapText="1"/>
    </xf>
    <xf numFmtId="14" fontId="1" fillId="39" borderId="15" xfId="0" applyNumberFormat="1" applyFont="1" applyFill="1" applyBorder="1" applyAlignment="1">
      <alignment horizontal="left" vertical="center" wrapText="1" indent="2"/>
    </xf>
    <xf numFmtId="14" fontId="1" fillId="39" borderId="16" xfId="0" applyNumberFormat="1" applyFont="1" applyFill="1" applyBorder="1" applyAlignment="1">
      <alignment horizontal="left" vertical="center" wrapText="1" indent="2"/>
    </xf>
    <xf numFmtId="14" fontId="1" fillId="39" borderId="17" xfId="0" applyNumberFormat="1" applyFont="1" applyFill="1" applyBorder="1" applyAlignment="1">
      <alignment horizontal="left" vertical="center" wrapText="1" indent="2"/>
    </xf>
    <xf numFmtId="0" fontId="1" fillId="39" borderId="15" xfId="0" applyFont="1" applyFill="1" applyBorder="1" applyAlignment="1">
      <alignment horizontal="left" vertical="center" wrapText="1" indent="1"/>
    </xf>
    <xf numFmtId="0" fontId="1" fillId="39" borderId="17" xfId="0" applyFont="1" applyFill="1" applyBorder="1" applyAlignment="1">
      <alignment horizontal="left" vertical="center" wrapText="1" indent="1"/>
    </xf>
    <xf numFmtId="49" fontId="1" fillId="97" borderId="15" xfId="0" applyNumberFormat="1" applyFont="1" applyFill="1" applyBorder="1" applyAlignment="1">
      <alignment horizontal="left" vertical="center" wrapText="1" indent="1"/>
    </xf>
    <xf numFmtId="49" fontId="1" fillId="97" borderId="16" xfId="0" applyNumberFormat="1" applyFont="1" applyFill="1" applyBorder="1" applyAlignment="1">
      <alignment horizontal="left" vertical="center" wrapText="1" indent="1"/>
    </xf>
    <xf numFmtId="49" fontId="1" fillId="97" borderId="17" xfId="0" applyNumberFormat="1" applyFont="1" applyFill="1" applyBorder="1" applyAlignment="1">
      <alignment horizontal="left" vertical="center" wrapText="1" indent="1"/>
    </xf>
    <xf numFmtId="0" fontId="1" fillId="55" borderId="16" xfId="0" applyFont="1" applyFill="1" applyBorder="1" applyAlignment="1">
      <alignment horizontal="center" vertical="center" wrapText="1"/>
    </xf>
    <xf numFmtId="0" fontId="24" fillId="49" borderId="0" xfId="44" applyFont="1" applyFill="1" applyAlignment="1">
      <alignment horizontal="left" vertical="center"/>
    </xf>
    <xf numFmtId="0" fontId="35" fillId="49" borderId="0" xfId="0" applyFont="1" applyFill="1" applyAlignment="1">
      <alignment horizontal="left" vertical="center"/>
    </xf>
    <xf numFmtId="0" fontId="22" fillId="63" borderId="37" xfId="0" applyFont="1" applyFill="1" applyBorder="1" applyAlignment="1">
      <alignment horizontal="center" wrapText="1"/>
    </xf>
    <xf numFmtId="0" fontId="22" fillId="63" borderId="38" xfId="0" applyFont="1" applyFill="1" applyBorder="1" applyAlignment="1">
      <alignment horizontal="center" wrapText="1"/>
    </xf>
    <xf numFmtId="0" fontId="22" fillId="63" borderId="39" xfId="0" applyFont="1" applyFill="1" applyBorder="1" applyAlignment="1">
      <alignment horizontal="center" wrapText="1"/>
    </xf>
    <xf numFmtId="0" fontId="44" fillId="63" borderId="40" xfId="0" applyFont="1" applyFill="1" applyBorder="1" applyAlignment="1">
      <alignment horizontal="center" vertical="center" wrapText="1"/>
    </xf>
    <xf numFmtId="0" fontId="44" fillId="63" borderId="0" xfId="0" applyFont="1" applyFill="1" applyAlignment="1">
      <alignment horizontal="center" vertical="center" wrapText="1"/>
    </xf>
    <xf numFmtId="0" fontId="44" fillId="63" borderId="41" xfId="0" applyFont="1" applyFill="1" applyBorder="1" applyAlignment="1">
      <alignment horizontal="center" vertical="center" wrapText="1"/>
    </xf>
    <xf numFmtId="0" fontId="41" fillId="63" borderId="40" xfId="0" applyFont="1" applyFill="1" applyBorder="1" applyAlignment="1">
      <alignment horizontal="center" vertical="center"/>
    </xf>
    <xf numFmtId="0" fontId="41" fillId="63" borderId="0" xfId="0" applyFont="1" applyFill="1" applyAlignment="1">
      <alignment horizontal="center" vertical="center"/>
    </xf>
    <xf numFmtId="0" fontId="41" fillId="63" borderId="41" xfId="0" applyFont="1" applyFill="1" applyBorder="1" applyAlignment="1">
      <alignment horizontal="center" vertical="center"/>
    </xf>
    <xf numFmtId="0" fontId="42" fillId="63" borderId="40" xfId="0" applyFont="1" applyFill="1" applyBorder="1" applyAlignment="1">
      <alignment horizontal="center" wrapText="1"/>
    </xf>
    <xf numFmtId="0" fontId="42" fillId="63" borderId="0" xfId="0" applyFont="1" applyFill="1" applyAlignment="1">
      <alignment horizontal="center" wrapText="1"/>
    </xf>
    <xf numFmtId="0" fontId="42" fillId="63" borderId="41" xfId="0" applyFont="1" applyFill="1" applyBorder="1" applyAlignment="1">
      <alignment horizontal="center" wrapText="1"/>
    </xf>
    <xf numFmtId="0" fontId="40" fillId="63" borderId="40" xfId="0" applyFont="1" applyFill="1" applyBorder="1" applyAlignment="1">
      <alignment horizontal="center" wrapText="1"/>
    </xf>
    <xf numFmtId="0" fontId="40" fillId="63" borderId="0" xfId="0" applyFont="1" applyFill="1" applyAlignment="1">
      <alignment horizontal="center" wrapText="1"/>
    </xf>
    <xf numFmtId="0" fontId="40" fillId="63" borderId="41" xfId="0" applyFont="1" applyFill="1" applyBorder="1" applyAlignment="1">
      <alignment horizontal="center" wrapText="1"/>
    </xf>
    <xf numFmtId="0" fontId="78" fillId="63" borderId="42" xfId="0" applyFont="1" applyFill="1" applyBorder="1" applyAlignment="1">
      <alignment horizontal="center" vertical="center" wrapText="1"/>
    </xf>
    <xf numFmtId="0" fontId="78" fillId="63" borderId="43" xfId="0" applyFont="1" applyFill="1" applyBorder="1" applyAlignment="1">
      <alignment horizontal="center" vertical="center" wrapText="1"/>
    </xf>
    <xf numFmtId="0" fontId="78" fillId="63" borderId="44" xfId="0" applyFont="1" applyFill="1" applyBorder="1" applyAlignment="1">
      <alignment horizontal="center" vertical="center" wrapText="1"/>
    </xf>
    <xf numFmtId="0" fontId="23" fillId="48" borderId="43" xfId="0" applyFont="1" applyFill="1" applyBorder="1" applyAlignment="1">
      <alignment horizontal="center" vertical="center" wrapText="1"/>
    </xf>
    <xf numFmtId="0" fontId="43" fillId="49" borderId="0" xfId="42" applyFont="1" applyFill="1" applyAlignment="1" applyProtection="1">
      <alignment horizontal="center"/>
    </xf>
    <xf numFmtId="0" fontId="25" fillId="49" borderId="0" xfId="0" applyFont="1" applyFill="1" applyAlignment="1">
      <alignment horizontal="center" vertical="center" wrapText="1"/>
    </xf>
    <xf numFmtId="0" fontId="26" fillId="49" borderId="0" xfId="42" applyFont="1" applyFill="1" applyAlignment="1" applyProtection="1">
      <alignment horizontal="center" vertical="center" wrapText="1"/>
    </xf>
    <xf numFmtId="0" fontId="1" fillId="33" borderId="64" xfId="0" applyFont="1" applyFill="1" applyBorder="1" applyAlignment="1">
      <alignment horizontal="left" vertical="center" wrapText="1"/>
    </xf>
    <xf numFmtId="0" fontId="1" fillId="33" borderId="16" xfId="0" applyFont="1" applyFill="1" applyBorder="1" applyAlignment="1">
      <alignment horizontal="left" vertical="center" wrapText="1"/>
    </xf>
    <xf numFmtId="0" fontId="1" fillId="33" borderId="17" xfId="0" applyFont="1" applyFill="1" applyBorder="1" applyAlignment="1">
      <alignment horizontal="left" vertical="center" wrapText="1"/>
    </xf>
    <xf numFmtId="0" fontId="1" fillId="33" borderId="15" xfId="0" applyFont="1" applyFill="1" applyBorder="1" applyAlignment="1">
      <alignment horizontal="center" vertical="center" wrapText="1"/>
    </xf>
    <xf numFmtId="0" fontId="1" fillId="33" borderId="17" xfId="0" applyFont="1" applyFill="1" applyBorder="1" applyAlignment="1">
      <alignment horizontal="center" vertical="center" wrapText="1"/>
    </xf>
    <xf numFmtId="14" fontId="1" fillId="33" borderId="15" xfId="0" applyNumberFormat="1" applyFont="1" applyFill="1" applyBorder="1" applyAlignment="1">
      <alignment horizontal="left" vertical="center" wrapText="1" indent="2"/>
    </xf>
    <xf numFmtId="14" fontId="1" fillId="33" borderId="16" xfId="0" applyNumberFormat="1" applyFont="1" applyFill="1" applyBorder="1" applyAlignment="1">
      <alignment horizontal="left" vertical="center" wrapText="1" indent="2"/>
    </xf>
    <xf numFmtId="14" fontId="1" fillId="33" borderId="17" xfId="0" applyNumberFormat="1" applyFont="1" applyFill="1" applyBorder="1" applyAlignment="1">
      <alignment horizontal="left" vertical="center" wrapText="1" indent="2"/>
    </xf>
    <xf numFmtId="0" fontId="1" fillId="33" borderId="15" xfId="0" applyFont="1" applyFill="1" applyBorder="1" applyAlignment="1">
      <alignment horizontal="left" vertical="center" wrapText="1" indent="1"/>
    </xf>
    <xf numFmtId="0" fontId="1" fillId="33" borderId="17" xfId="0" applyFont="1" applyFill="1" applyBorder="1" applyAlignment="1">
      <alignment horizontal="left" vertical="center" wrapText="1" indent="1"/>
    </xf>
    <xf numFmtId="0" fontId="1" fillId="34" borderId="28" xfId="0" applyFont="1" applyFill="1" applyBorder="1" applyAlignment="1">
      <alignment vertical="center" wrapText="1"/>
    </xf>
    <xf numFmtId="0" fontId="1" fillId="34" borderId="29" xfId="0" applyFont="1" applyFill="1" applyBorder="1" applyAlignment="1">
      <alignment vertical="center" wrapText="1"/>
    </xf>
    <xf numFmtId="0" fontId="1" fillId="34" borderId="30" xfId="0" applyFont="1" applyFill="1" applyBorder="1" applyAlignment="1">
      <alignment vertical="center" wrapText="1"/>
    </xf>
    <xf numFmtId="0" fontId="30" fillId="50" borderId="0" xfId="0" applyFont="1" applyFill="1" applyAlignment="1">
      <alignment horizontal="center" vertical="center" wrapText="1"/>
    </xf>
    <xf numFmtId="0" fontId="80" fillId="52" borderId="10" xfId="0" applyFont="1" applyFill="1" applyBorder="1" applyAlignment="1">
      <alignment horizontal="center" vertical="center" wrapText="1"/>
    </xf>
    <xf numFmtId="0" fontId="1" fillId="54" borderId="16" xfId="0" applyFont="1" applyFill="1" applyBorder="1" applyAlignment="1">
      <alignment horizontal="center" vertical="center" wrapText="1"/>
    </xf>
    <xf numFmtId="1" fontId="1" fillId="54" borderId="15" xfId="0" applyNumberFormat="1" applyFont="1" applyFill="1" applyBorder="1" applyAlignment="1">
      <alignment horizontal="center" vertical="center" wrapText="1"/>
    </xf>
    <xf numFmtId="1" fontId="1" fillId="54" borderId="17" xfId="0" applyNumberFormat="1" applyFont="1" applyFill="1" applyBorder="1" applyAlignment="1">
      <alignment horizontal="center" vertical="center" wrapText="1"/>
    </xf>
    <xf numFmtId="0" fontId="33" fillId="33" borderId="25" xfId="0" applyFont="1" applyFill="1" applyBorder="1" applyAlignment="1">
      <alignment horizontal="center" vertical="center" wrapText="1"/>
    </xf>
    <xf numFmtId="0" fontId="33" fillId="33" borderId="26" xfId="0" applyFont="1" applyFill="1" applyBorder="1" applyAlignment="1">
      <alignment horizontal="center" vertical="center" wrapText="1"/>
    </xf>
    <xf numFmtId="0" fontId="33" fillId="33" borderId="27" xfId="0" applyFont="1" applyFill="1" applyBorder="1" applyAlignment="1">
      <alignment horizontal="center" vertical="center" wrapText="1"/>
    </xf>
    <xf numFmtId="0" fontId="1" fillId="34" borderId="15" xfId="0" applyFont="1" applyFill="1" applyBorder="1" applyAlignment="1">
      <alignment vertical="center" wrapText="1"/>
    </xf>
    <xf numFmtId="0" fontId="1" fillId="34" borderId="16" xfId="0" applyFont="1" applyFill="1" applyBorder="1" applyAlignment="1">
      <alignment vertical="center" wrapText="1"/>
    </xf>
    <xf numFmtId="0" fontId="1" fillId="34" borderId="17" xfId="0" applyFont="1" applyFill="1" applyBorder="1" applyAlignment="1">
      <alignment vertical="center" wrapText="1"/>
    </xf>
    <xf numFmtId="0" fontId="1" fillId="34" borderId="15" xfId="0" applyFont="1" applyFill="1" applyBorder="1" applyAlignment="1">
      <alignment horizontal="center" vertical="center" wrapText="1"/>
    </xf>
    <xf numFmtId="0" fontId="1" fillId="34" borderId="17" xfId="0" applyFont="1" applyFill="1" applyBorder="1" applyAlignment="1">
      <alignment horizontal="center" vertical="center" wrapText="1"/>
    </xf>
    <xf numFmtId="14" fontId="1" fillId="34" borderId="15" xfId="0" applyNumberFormat="1" applyFont="1" applyFill="1" applyBorder="1" applyAlignment="1">
      <alignment horizontal="left" vertical="center" wrapText="1" indent="2"/>
    </xf>
    <xf numFmtId="14" fontId="1" fillId="34" borderId="16" xfId="0" applyNumberFormat="1" applyFont="1" applyFill="1" applyBorder="1" applyAlignment="1">
      <alignment horizontal="left" vertical="center" wrapText="1" indent="2"/>
    </xf>
    <xf numFmtId="14" fontId="1" fillId="34" borderId="17" xfId="0" applyNumberFormat="1" applyFont="1" applyFill="1" applyBorder="1" applyAlignment="1">
      <alignment horizontal="left" vertical="center" wrapText="1" indent="2"/>
    </xf>
    <xf numFmtId="0" fontId="1" fillId="34" borderId="15" xfId="0" applyFont="1" applyFill="1" applyBorder="1" applyAlignment="1">
      <alignment horizontal="left" vertical="center" wrapText="1" indent="1"/>
    </xf>
    <xf numFmtId="0" fontId="1" fillId="34" borderId="17" xfId="0" applyFont="1" applyFill="1" applyBorder="1" applyAlignment="1">
      <alignment horizontal="left" vertical="center" wrapText="1" indent="1"/>
    </xf>
    <xf numFmtId="3" fontId="1" fillId="54" borderId="17" xfId="0" applyNumberFormat="1" applyFont="1" applyFill="1" applyBorder="1" applyAlignment="1">
      <alignment horizontal="center" vertical="center" wrapText="1"/>
    </xf>
    <xf numFmtId="0" fontId="1" fillId="96" borderId="15" xfId="0" applyFont="1" applyFill="1" applyBorder="1" applyAlignment="1">
      <alignment horizontal="center" vertical="center" wrapText="1"/>
    </xf>
    <xf numFmtId="0" fontId="1" fillId="96" borderId="17" xfId="0" applyFont="1" applyFill="1" applyBorder="1" applyAlignment="1">
      <alignment horizontal="center" vertical="center" wrapText="1"/>
    </xf>
    <xf numFmtId="14" fontId="1" fillId="96" borderId="15" xfId="0" applyNumberFormat="1" applyFont="1" applyFill="1" applyBorder="1" applyAlignment="1">
      <alignment horizontal="left" vertical="center" wrapText="1" indent="2"/>
    </xf>
    <xf numFmtId="14" fontId="1" fillId="96" borderId="16" xfId="0" applyNumberFormat="1" applyFont="1" applyFill="1" applyBorder="1" applyAlignment="1">
      <alignment horizontal="left" vertical="center" wrapText="1" indent="2"/>
    </xf>
    <xf numFmtId="14" fontId="1" fillId="96" borderId="17" xfId="0" applyNumberFormat="1" applyFont="1" applyFill="1" applyBorder="1" applyAlignment="1">
      <alignment horizontal="left" vertical="center" wrapText="1" indent="2"/>
    </xf>
    <xf numFmtId="0" fontId="1" fillId="35" borderId="15" xfId="0" applyFont="1" applyFill="1" applyBorder="1" applyAlignment="1">
      <alignment horizontal="center" vertical="center" wrapText="1"/>
    </xf>
    <xf numFmtId="0" fontId="1" fillId="35" borderId="17" xfId="0" applyFont="1" applyFill="1" applyBorder="1" applyAlignment="1">
      <alignment horizontal="center" vertical="center" wrapText="1"/>
    </xf>
    <xf numFmtId="0" fontId="1" fillId="96" borderId="15" xfId="0" applyFont="1" applyFill="1" applyBorder="1" applyAlignment="1">
      <alignment horizontal="left" vertical="center" wrapText="1" indent="1"/>
    </xf>
    <xf numFmtId="0" fontId="1" fillId="96" borderId="17" xfId="0" applyFont="1" applyFill="1" applyBorder="1" applyAlignment="1">
      <alignment horizontal="left" vertical="center" wrapText="1" indent="1"/>
    </xf>
    <xf numFmtId="0" fontId="1" fillId="36" borderId="15" xfId="0" applyFont="1" applyFill="1" applyBorder="1" applyAlignment="1">
      <alignment horizontal="left" vertical="center" wrapText="1" indent="1"/>
    </xf>
    <xf numFmtId="0" fontId="1" fillId="36" borderId="17" xfId="0" applyFont="1" applyFill="1" applyBorder="1" applyAlignment="1">
      <alignment horizontal="left" vertical="center" wrapText="1" indent="1"/>
    </xf>
    <xf numFmtId="0" fontId="1" fillId="96" borderId="15" xfId="0" applyFont="1" applyFill="1" applyBorder="1" applyAlignment="1">
      <alignment vertical="center" wrapText="1"/>
    </xf>
    <xf numFmtId="0" fontId="1" fillId="96" borderId="16" xfId="0" applyFont="1" applyFill="1" applyBorder="1" applyAlignment="1">
      <alignment vertical="center" wrapText="1"/>
    </xf>
    <xf numFmtId="0" fontId="1" fillId="96" borderId="17" xfId="0" applyFont="1" applyFill="1" applyBorder="1" applyAlignment="1">
      <alignment vertical="center" wrapText="1"/>
    </xf>
    <xf numFmtId="0" fontId="1" fillId="96" borderId="16" xfId="0" applyFont="1" applyFill="1" applyBorder="1" applyAlignment="1">
      <alignment horizontal="left" vertical="center" wrapText="1" indent="1"/>
    </xf>
    <xf numFmtId="0" fontId="1" fillId="36" borderId="15" xfId="0" applyFont="1" applyFill="1" applyBorder="1" applyAlignment="1">
      <alignment vertical="center" wrapText="1"/>
    </xf>
    <xf numFmtId="0" fontId="1" fillId="36" borderId="16" xfId="0" applyFont="1" applyFill="1" applyBorder="1" applyAlignment="1">
      <alignment vertical="center" wrapText="1"/>
    </xf>
    <xf numFmtId="0" fontId="1" fillId="36" borderId="17" xfId="0" applyFont="1" applyFill="1" applyBorder="1" applyAlignment="1">
      <alignment vertical="center" wrapText="1"/>
    </xf>
    <xf numFmtId="0" fontId="1" fillId="36" borderId="15" xfId="0" applyFont="1" applyFill="1" applyBorder="1" applyAlignment="1">
      <alignment horizontal="center" vertical="center" wrapText="1"/>
    </xf>
    <xf numFmtId="0" fontId="1" fillId="36" borderId="17" xfId="0" applyFont="1" applyFill="1" applyBorder="1" applyAlignment="1">
      <alignment horizontal="center" vertical="center" wrapText="1"/>
    </xf>
    <xf numFmtId="14" fontId="1" fillId="36" borderId="15" xfId="0" applyNumberFormat="1" applyFont="1" applyFill="1" applyBorder="1" applyAlignment="1">
      <alignment horizontal="left" vertical="center" wrapText="1" indent="2"/>
    </xf>
    <xf numFmtId="14" fontId="1" fillId="36" borderId="16" xfId="0" applyNumberFormat="1" applyFont="1" applyFill="1" applyBorder="1" applyAlignment="1">
      <alignment horizontal="left" vertical="center" wrapText="1" indent="2"/>
    </xf>
    <xf numFmtId="14" fontId="1" fillId="36" borderId="17" xfId="0" applyNumberFormat="1" applyFont="1" applyFill="1" applyBorder="1" applyAlignment="1">
      <alignment horizontal="left" vertical="center" wrapText="1" indent="2"/>
    </xf>
    <xf numFmtId="0" fontId="1" fillId="35" borderId="15" xfId="0" applyFont="1" applyFill="1" applyBorder="1" applyAlignment="1">
      <alignment horizontal="left" vertical="center" wrapText="1" indent="1"/>
    </xf>
    <xf numFmtId="0" fontId="1" fillId="35" borderId="16" xfId="0" applyFont="1" applyFill="1" applyBorder="1" applyAlignment="1">
      <alignment horizontal="left" vertical="center" wrapText="1" indent="1"/>
    </xf>
    <xf numFmtId="0" fontId="1" fillId="35" borderId="17" xfId="0" applyFont="1" applyFill="1" applyBorder="1" applyAlignment="1">
      <alignment horizontal="left" vertical="center" wrapText="1" indent="1"/>
    </xf>
    <xf numFmtId="0" fontId="1" fillId="35" borderId="15" xfId="0" applyFont="1" applyFill="1" applyBorder="1" applyAlignment="1">
      <alignment vertical="center" wrapText="1"/>
    </xf>
    <xf numFmtId="0" fontId="1" fillId="35" borderId="16" xfId="0" applyFont="1" applyFill="1" applyBorder="1" applyAlignment="1">
      <alignment vertical="center" wrapText="1"/>
    </xf>
    <xf numFmtId="0" fontId="1" fillId="35" borderId="17" xfId="0" applyFont="1" applyFill="1" applyBorder="1" applyAlignment="1">
      <alignment vertical="center" wrapText="1"/>
    </xf>
    <xf numFmtId="14" fontId="1" fillId="35" borderId="15" xfId="0" applyNumberFormat="1" applyFont="1" applyFill="1" applyBorder="1" applyAlignment="1">
      <alignment horizontal="left" vertical="center" wrapText="1" indent="2"/>
    </xf>
    <xf numFmtId="14" fontId="1" fillId="35" borderId="16" xfId="0" applyNumberFormat="1" applyFont="1" applyFill="1" applyBorder="1" applyAlignment="1">
      <alignment horizontal="left" vertical="center" wrapText="1" indent="2"/>
    </xf>
    <xf numFmtId="14" fontId="1" fillId="35" borderId="17" xfId="0" applyNumberFormat="1" applyFont="1" applyFill="1" applyBorder="1" applyAlignment="1">
      <alignment horizontal="left" vertical="center" wrapText="1" indent="2"/>
    </xf>
    <xf numFmtId="14" fontId="1" fillId="55" borderId="15" xfId="0" quotePrefix="1" applyNumberFormat="1" applyFont="1" applyFill="1" applyBorder="1" applyAlignment="1">
      <alignment horizontal="left" vertical="center" wrapText="1" indent="2"/>
    </xf>
    <xf numFmtId="0" fontId="32" fillId="55" borderId="16" xfId="0" applyFont="1" applyFill="1" applyBorder="1" applyAlignment="1">
      <alignment horizontal="left" vertical="center" wrapText="1" indent="1"/>
    </xf>
    <xf numFmtId="0" fontId="32" fillId="55" borderId="17" xfId="0" applyFont="1" applyFill="1" applyBorder="1" applyAlignment="1">
      <alignment horizontal="left" vertical="center" wrapText="1" indent="1"/>
    </xf>
    <xf numFmtId="0" fontId="32" fillId="55" borderId="15" xfId="0" applyFont="1" applyFill="1" applyBorder="1" applyAlignment="1">
      <alignment horizontal="center" vertical="center" wrapText="1"/>
    </xf>
    <xf numFmtId="0" fontId="32" fillId="55" borderId="17" xfId="0" applyFont="1" applyFill="1" applyBorder="1" applyAlignment="1">
      <alignment horizontal="center" vertical="center" wrapText="1"/>
    </xf>
    <xf numFmtId="49" fontId="32" fillId="55" borderId="15" xfId="0" applyNumberFormat="1" applyFont="1" applyFill="1" applyBorder="1" applyAlignment="1">
      <alignment horizontal="left" vertical="center" wrapText="1" indent="2"/>
    </xf>
    <xf numFmtId="49" fontId="32" fillId="55" borderId="16" xfId="0" applyNumberFormat="1" applyFont="1" applyFill="1" applyBorder="1" applyAlignment="1">
      <alignment horizontal="left" vertical="center" wrapText="1" indent="2"/>
    </xf>
    <xf numFmtId="49" fontId="32" fillId="55" borderId="17" xfId="0" applyNumberFormat="1" applyFont="1" applyFill="1" applyBorder="1" applyAlignment="1">
      <alignment horizontal="left" vertical="center" wrapText="1" indent="2"/>
    </xf>
    <xf numFmtId="0" fontId="1" fillId="61" borderId="25" xfId="0" applyFont="1" applyFill="1" applyBorder="1" applyAlignment="1">
      <alignment horizontal="left" vertical="center" wrapText="1" indent="1"/>
    </xf>
    <xf numFmtId="0" fontId="1" fillId="61" borderId="26" xfId="0" applyFont="1" applyFill="1" applyBorder="1" applyAlignment="1">
      <alignment horizontal="left" vertical="center" wrapText="1" indent="1"/>
    </xf>
    <xf numFmtId="0" fontId="1" fillId="61" borderId="27" xfId="0" applyFont="1" applyFill="1" applyBorder="1" applyAlignment="1">
      <alignment horizontal="left" vertical="center" wrapText="1" indent="1"/>
    </xf>
    <xf numFmtId="2" fontId="1" fillId="61" borderId="25" xfId="0" applyNumberFormat="1" applyFont="1" applyFill="1" applyBorder="1" applyAlignment="1">
      <alignment horizontal="center" vertical="center" wrapText="1"/>
    </xf>
    <xf numFmtId="2" fontId="1" fillId="61" borderId="27" xfId="0" applyNumberFormat="1" applyFont="1" applyFill="1" applyBorder="1" applyAlignment="1">
      <alignment horizontal="center" vertical="center" wrapText="1"/>
    </xf>
    <xf numFmtId="14" fontId="1" fillId="61" borderId="25" xfId="0" quotePrefix="1" applyNumberFormat="1" applyFont="1" applyFill="1" applyBorder="1" applyAlignment="1">
      <alignment horizontal="left" vertical="center" wrapText="1" indent="2"/>
    </xf>
    <xf numFmtId="14" fontId="1" fillId="61" borderId="26" xfId="0" applyNumberFormat="1" applyFont="1" applyFill="1" applyBorder="1" applyAlignment="1">
      <alignment horizontal="left" vertical="center" wrapText="1" indent="2"/>
    </xf>
    <xf numFmtId="14" fontId="1" fillId="61" borderId="27" xfId="0" applyNumberFormat="1" applyFont="1" applyFill="1" applyBorder="1" applyAlignment="1">
      <alignment horizontal="left" vertical="center" wrapText="1" indent="2"/>
    </xf>
    <xf numFmtId="0" fontId="1" fillId="61" borderId="25" xfId="0" applyFont="1" applyFill="1" applyBorder="1" applyAlignment="1">
      <alignment horizontal="center" vertical="center" wrapText="1"/>
    </xf>
    <xf numFmtId="0" fontId="1" fillId="61" borderId="27" xfId="0" applyFont="1" applyFill="1" applyBorder="1" applyAlignment="1">
      <alignment horizontal="center" vertical="center" wrapText="1"/>
    </xf>
    <xf numFmtId="0" fontId="1" fillId="61" borderId="57" xfId="0" applyFont="1" applyFill="1" applyBorder="1" applyAlignment="1">
      <alignment horizontal="left" vertical="center" wrapText="1" indent="1"/>
    </xf>
    <xf numFmtId="0" fontId="1" fillId="61" borderId="58" xfId="0" applyFont="1" applyFill="1" applyBorder="1" applyAlignment="1">
      <alignment horizontal="left" vertical="center" wrapText="1" indent="1"/>
    </xf>
    <xf numFmtId="0" fontId="1" fillId="55" borderId="21" xfId="0" applyFont="1" applyFill="1" applyBorder="1" applyAlignment="1">
      <alignment horizontal="left" vertical="center" wrapText="1"/>
    </xf>
    <xf numFmtId="0" fontId="1" fillId="55" borderId="22" xfId="0" applyFont="1" applyFill="1" applyBorder="1" applyAlignment="1">
      <alignment horizontal="left" vertical="center" wrapText="1"/>
    </xf>
    <xf numFmtId="0" fontId="1" fillId="55" borderId="23" xfId="0" applyFont="1" applyFill="1" applyBorder="1" applyAlignment="1">
      <alignment horizontal="left" vertical="center" wrapText="1"/>
    </xf>
    <xf numFmtId="0" fontId="32" fillId="55" borderId="21" xfId="0" applyFont="1" applyFill="1" applyBorder="1" applyAlignment="1">
      <alignment horizontal="center" vertical="center" wrapText="1"/>
    </xf>
    <xf numFmtId="0" fontId="32" fillId="55" borderId="23" xfId="0" applyFont="1" applyFill="1" applyBorder="1" applyAlignment="1">
      <alignment horizontal="center" vertical="center" wrapText="1"/>
    </xf>
    <xf numFmtId="14" fontId="32" fillId="55" borderId="21" xfId="0" applyNumberFormat="1" applyFont="1" applyFill="1" applyBorder="1" applyAlignment="1">
      <alignment horizontal="left" vertical="center" wrapText="1" indent="2"/>
    </xf>
    <xf numFmtId="14" fontId="32" fillId="55" borderId="22" xfId="0" applyNumberFormat="1" applyFont="1" applyFill="1" applyBorder="1" applyAlignment="1">
      <alignment horizontal="left" vertical="center" wrapText="1" indent="2"/>
    </xf>
    <xf numFmtId="14" fontId="32" fillId="55" borderId="23" xfId="0" applyNumberFormat="1" applyFont="1" applyFill="1" applyBorder="1" applyAlignment="1">
      <alignment horizontal="left" vertical="center" wrapText="1" indent="2"/>
    </xf>
    <xf numFmtId="0" fontId="1" fillId="38" borderId="57" xfId="0" applyFont="1" applyFill="1" applyBorder="1" applyAlignment="1">
      <alignment horizontal="left" vertical="center" wrapText="1" indent="1"/>
    </xf>
    <xf numFmtId="0" fontId="1" fillId="38" borderId="22" xfId="0" applyFont="1" applyFill="1" applyBorder="1" applyAlignment="1">
      <alignment horizontal="left" vertical="center" wrapText="1" indent="1"/>
    </xf>
    <xf numFmtId="0" fontId="1" fillId="38" borderId="58" xfId="0" applyFont="1" applyFill="1" applyBorder="1" applyAlignment="1">
      <alignment horizontal="left" vertical="center" wrapText="1" indent="1"/>
    </xf>
    <xf numFmtId="0" fontId="1" fillId="38" borderId="25" xfId="0" applyFont="1" applyFill="1" applyBorder="1" applyAlignment="1">
      <alignment horizontal="left" vertical="center" wrapText="1" indent="1"/>
    </xf>
    <xf numFmtId="0" fontId="1" fillId="38" borderId="26" xfId="0" applyFont="1" applyFill="1" applyBorder="1" applyAlignment="1">
      <alignment horizontal="left" vertical="center" wrapText="1" indent="1"/>
    </xf>
    <xf numFmtId="0" fontId="1" fillId="38" borderId="27" xfId="0" applyFont="1" applyFill="1" applyBorder="1" applyAlignment="1">
      <alignment horizontal="left" vertical="center" wrapText="1" indent="1"/>
    </xf>
    <xf numFmtId="0" fontId="1" fillId="38" borderId="25" xfId="0" applyFont="1" applyFill="1" applyBorder="1" applyAlignment="1">
      <alignment horizontal="center" vertical="center" wrapText="1"/>
    </xf>
    <xf numFmtId="0" fontId="1" fillId="38" borderId="27" xfId="0" applyFont="1" applyFill="1" applyBorder="1" applyAlignment="1">
      <alignment horizontal="center" vertical="center" wrapText="1"/>
    </xf>
    <xf numFmtId="14" fontId="1" fillId="38" borderId="25" xfId="0" applyNumberFormat="1" applyFont="1" applyFill="1" applyBorder="1" applyAlignment="1">
      <alignment horizontal="left" vertical="center" wrapText="1" indent="2"/>
    </xf>
    <xf numFmtId="14" fontId="1" fillId="38" borderId="26" xfId="0" applyNumberFormat="1" applyFont="1" applyFill="1" applyBorder="1" applyAlignment="1">
      <alignment horizontal="left" vertical="center" wrapText="1" indent="2"/>
    </xf>
    <xf numFmtId="14" fontId="1" fillId="38" borderId="27" xfId="0" applyNumberFormat="1" applyFont="1" applyFill="1" applyBorder="1" applyAlignment="1">
      <alignment horizontal="left" vertical="center" wrapText="1" indent="2"/>
    </xf>
    <xf numFmtId="0" fontId="1" fillId="61" borderId="65" xfId="0" applyFont="1" applyFill="1" applyBorder="1" applyAlignment="1">
      <alignment horizontal="left" vertical="center" wrapText="1" indent="1"/>
    </xf>
    <xf numFmtId="0" fontId="1" fillId="61" borderId="29" xfId="0" applyFont="1" applyFill="1" applyBorder="1" applyAlignment="1">
      <alignment horizontal="left" vertical="center" wrapText="1" indent="1"/>
    </xf>
    <xf numFmtId="0" fontId="1" fillId="61" borderId="66" xfId="0" applyFont="1" applyFill="1" applyBorder="1" applyAlignment="1">
      <alignment horizontal="left" vertical="center" wrapText="1" indent="1"/>
    </xf>
    <xf numFmtId="0" fontId="1" fillId="38" borderId="28" xfId="0" applyFont="1" applyFill="1" applyBorder="1" applyAlignment="1">
      <alignment horizontal="left" vertical="center" wrapText="1"/>
    </xf>
    <xf numFmtId="0" fontId="1" fillId="38" borderId="29" xfId="0" applyFont="1" applyFill="1" applyBorder="1" applyAlignment="1">
      <alignment horizontal="left" vertical="center" wrapText="1"/>
    </xf>
    <xf numFmtId="0" fontId="1" fillId="38" borderId="30" xfId="0" applyFont="1" applyFill="1" applyBorder="1" applyAlignment="1">
      <alignment horizontal="left" vertical="center" wrapText="1"/>
    </xf>
    <xf numFmtId="0" fontId="1" fillId="38" borderId="28" xfId="0" applyFont="1" applyFill="1" applyBorder="1" applyAlignment="1">
      <alignment horizontal="center" vertical="center" wrapText="1"/>
    </xf>
    <xf numFmtId="0" fontId="1" fillId="38" borderId="30" xfId="0" applyFont="1" applyFill="1" applyBorder="1" applyAlignment="1">
      <alignment horizontal="center" vertical="center" wrapText="1"/>
    </xf>
    <xf numFmtId="49" fontId="1" fillId="97" borderId="21" xfId="0" applyNumberFormat="1" applyFont="1" applyFill="1" applyBorder="1" applyAlignment="1">
      <alignment horizontal="left" vertical="center" wrapText="1" indent="1"/>
    </xf>
    <xf numFmtId="49" fontId="1" fillId="97" borderId="22" xfId="0" applyNumberFormat="1" applyFont="1" applyFill="1" applyBorder="1" applyAlignment="1">
      <alignment horizontal="left" vertical="center" wrapText="1" indent="1"/>
    </xf>
    <xf numFmtId="49" fontId="1" fillId="97" borderId="23" xfId="0" applyNumberFormat="1" applyFont="1" applyFill="1" applyBorder="1" applyAlignment="1">
      <alignment horizontal="left" vertical="center" wrapText="1" indent="1"/>
    </xf>
    <xf numFmtId="3" fontId="1" fillId="97" borderId="15" xfId="0" applyNumberFormat="1" applyFont="1" applyFill="1" applyBorder="1" applyAlignment="1">
      <alignment horizontal="center" vertical="center" wrapText="1"/>
    </xf>
    <xf numFmtId="3" fontId="1" fillId="97" borderId="17" xfId="0" applyNumberFormat="1" applyFont="1" applyFill="1" applyBorder="1" applyAlignment="1">
      <alignment horizontal="center" vertical="center" wrapText="1"/>
    </xf>
    <xf numFmtId="14" fontId="1" fillId="38" borderId="28" xfId="0" applyNumberFormat="1" applyFont="1" applyFill="1" applyBorder="1" applyAlignment="1">
      <alignment horizontal="left" vertical="center" wrapText="1" indent="2"/>
    </xf>
    <xf numFmtId="14" fontId="1" fillId="38" borderId="29" xfId="0" applyNumberFormat="1" applyFont="1" applyFill="1" applyBorder="1" applyAlignment="1">
      <alignment horizontal="left" vertical="center" wrapText="1" indent="2"/>
    </xf>
    <xf numFmtId="14" fontId="1" fillId="38" borderId="66" xfId="0" applyNumberFormat="1" applyFont="1" applyFill="1" applyBorder="1" applyAlignment="1">
      <alignment horizontal="left" vertical="center" wrapText="1" indent="2"/>
    </xf>
    <xf numFmtId="0" fontId="1" fillId="38" borderId="65" xfId="0" applyFont="1" applyFill="1" applyBorder="1" applyAlignment="1">
      <alignment horizontal="left" vertical="center" wrapText="1" indent="1"/>
    </xf>
    <xf numFmtId="0" fontId="1" fillId="38" borderId="29" xfId="0" applyFont="1" applyFill="1" applyBorder="1" applyAlignment="1">
      <alignment horizontal="left" vertical="center" wrapText="1" indent="1"/>
    </xf>
    <xf numFmtId="0" fontId="1" fillId="38" borderId="30" xfId="0" applyFont="1" applyFill="1" applyBorder="1" applyAlignment="1">
      <alignment horizontal="left" vertical="center" wrapText="1" indent="1"/>
    </xf>
    <xf numFmtId="0" fontId="1" fillId="39" borderId="28" xfId="0" applyFont="1" applyFill="1" applyBorder="1" applyAlignment="1">
      <alignment horizontal="left" vertical="center" wrapText="1"/>
    </xf>
    <xf numFmtId="0" fontId="1" fillId="39" borderId="29" xfId="0" applyFont="1" applyFill="1" applyBorder="1" applyAlignment="1">
      <alignment horizontal="left" vertical="center" wrapText="1"/>
    </xf>
    <xf numFmtId="0" fontId="1" fillId="39" borderId="30" xfId="0" applyFont="1" applyFill="1" applyBorder="1" applyAlignment="1">
      <alignment horizontal="left" vertical="center" wrapText="1"/>
    </xf>
    <xf numFmtId="0" fontId="1" fillId="39" borderId="28" xfId="0" applyFont="1" applyFill="1" applyBorder="1" applyAlignment="1">
      <alignment horizontal="left" vertical="center" wrapText="1" indent="1"/>
    </xf>
    <xf numFmtId="0" fontId="1" fillId="39" borderId="29" xfId="0" applyFont="1" applyFill="1" applyBorder="1" applyAlignment="1">
      <alignment horizontal="left" vertical="center" wrapText="1" indent="1"/>
    </xf>
    <xf numFmtId="0" fontId="1" fillId="39" borderId="30" xfId="0" applyFont="1" applyFill="1" applyBorder="1" applyAlignment="1">
      <alignment horizontal="left" vertical="center" wrapText="1" indent="1"/>
    </xf>
    <xf numFmtId="0" fontId="1" fillId="39" borderId="28" xfId="0" applyFont="1" applyFill="1" applyBorder="1" applyAlignment="1">
      <alignment horizontal="center" vertical="center" wrapText="1"/>
    </xf>
    <xf numFmtId="0" fontId="1" fillId="39" borderId="30" xfId="0" applyFont="1" applyFill="1" applyBorder="1" applyAlignment="1">
      <alignment horizontal="center" vertical="center" wrapText="1"/>
    </xf>
    <xf numFmtId="14" fontId="1" fillId="39" borderId="28" xfId="0" applyNumberFormat="1" applyFont="1" applyFill="1" applyBorder="1" applyAlignment="1">
      <alignment horizontal="left" vertical="center" wrapText="1" indent="2"/>
    </xf>
    <xf numFmtId="14" fontId="1" fillId="39" borderId="29" xfId="0" applyNumberFormat="1" applyFont="1" applyFill="1" applyBorder="1" applyAlignment="1">
      <alignment horizontal="left" vertical="center" wrapText="1" indent="2"/>
    </xf>
    <xf numFmtId="14" fontId="1" fillId="39" borderId="30" xfId="0" applyNumberFormat="1" applyFont="1" applyFill="1" applyBorder="1" applyAlignment="1">
      <alignment horizontal="left" vertical="center" wrapText="1" indent="2"/>
    </xf>
    <xf numFmtId="0" fontId="1" fillId="62" borderId="68" xfId="0" applyFont="1" applyFill="1" applyBorder="1" applyAlignment="1">
      <alignment horizontal="center" vertical="center" wrapText="1"/>
    </xf>
    <xf numFmtId="0" fontId="1" fillId="62" borderId="69" xfId="0" applyFont="1" applyFill="1" applyBorder="1" applyAlignment="1">
      <alignment horizontal="center" vertical="center" wrapText="1"/>
    </xf>
    <xf numFmtId="0" fontId="1" fillId="40" borderId="21" xfId="0" applyFont="1" applyFill="1" applyBorder="1" applyAlignment="1">
      <alignment horizontal="left" vertical="center" wrapText="1"/>
    </xf>
    <xf numFmtId="0" fontId="1" fillId="40" borderId="22" xfId="0" applyFont="1" applyFill="1" applyBorder="1" applyAlignment="1">
      <alignment horizontal="left" vertical="center" wrapText="1"/>
    </xf>
    <xf numFmtId="0" fontId="1" fillId="40" borderId="23" xfId="0" applyFont="1" applyFill="1" applyBorder="1" applyAlignment="1">
      <alignment horizontal="left" vertical="center" wrapText="1"/>
    </xf>
    <xf numFmtId="0" fontId="1" fillId="40" borderId="21" xfId="0" applyFont="1" applyFill="1" applyBorder="1" applyAlignment="1">
      <alignment horizontal="center" vertical="center" wrapText="1"/>
    </xf>
    <xf numFmtId="0" fontId="1" fillId="40" borderId="23" xfId="0" applyFont="1" applyFill="1" applyBorder="1" applyAlignment="1">
      <alignment horizontal="center" vertical="center" wrapText="1"/>
    </xf>
    <xf numFmtId="14" fontId="1" fillId="40" borderId="21" xfId="0" applyNumberFormat="1" applyFont="1" applyFill="1" applyBorder="1" applyAlignment="1">
      <alignment horizontal="left" vertical="center" wrapText="1" indent="2"/>
    </xf>
    <xf numFmtId="14" fontId="1" fillId="40" borderId="22" xfId="0" applyNumberFormat="1" applyFont="1" applyFill="1" applyBorder="1" applyAlignment="1">
      <alignment horizontal="left" vertical="center" wrapText="1" indent="2"/>
    </xf>
    <xf numFmtId="14" fontId="1" fillId="40" borderId="23" xfId="0" applyNumberFormat="1" applyFont="1" applyFill="1" applyBorder="1" applyAlignment="1">
      <alignment horizontal="left" vertical="center" wrapText="1" indent="2"/>
    </xf>
    <xf numFmtId="0" fontId="1" fillId="40" borderId="21" xfId="0" applyFont="1" applyFill="1" applyBorder="1" applyAlignment="1">
      <alignment horizontal="left" vertical="center" wrapText="1" indent="1"/>
    </xf>
    <xf numFmtId="0" fontId="1" fillId="40" borderId="23" xfId="0" applyFont="1" applyFill="1" applyBorder="1" applyAlignment="1">
      <alignment horizontal="left" vertical="center" wrapText="1" indent="1"/>
    </xf>
    <xf numFmtId="0" fontId="1" fillId="34" borderId="25" xfId="0" applyFont="1" applyFill="1" applyBorder="1" applyAlignment="1">
      <alignment horizontal="left" vertical="center" wrapText="1" indent="1"/>
    </xf>
    <xf numFmtId="0" fontId="1" fillId="34" borderId="26" xfId="0" applyFont="1" applyFill="1" applyBorder="1" applyAlignment="1">
      <alignment horizontal="left" vertical="center" wrapText="1" indent="1"/>
    </xf>
    <xf numFmtId="0" fontId="1" fillId="34" borderId="27" xfId="0" applyFont="1" applyFill="1" applyBorder="1" applyAlignment="1">
      <alignment horizontal="left" vertical="center" wrapText="1" indent="1"/>
    </xf>
    <xf numFmtId="0" fontId="1" fillId="34" borderId="25" xfId="0" applyFont="1" applyFill="1" applyBorder="1" applyAlignment="1">
      <alignment horizontal="center" vertical="center" wrapText="1"/>
    </xf>
    <xf numFmtId="0" fontId="1" fillId="34" borderId="27" xfId="0" applyFont="1" applyFill="1" applyBorder="1" applyAlignment="1">
      <alignment horizontal="center" vertical="center" wrapText="1"/>
    </xf>
    <xf numFmtId="14" fontId="1" fillId="34" borderId="25" xfId="0" applyNumberFormat="1" applyFont="1" applyFill="1" applyBorder="1" applyAlignment="1">
      <alignment horizontal="left" vertical="center" wrapText="1" indent="2"/>
    </xf>
    <xf numFmtId="14" fontId="1" fillId="34" borderId="26" xfId="0" applyNumberFormat="1" applyFont="1" applyFill="1" applyBorder="1" applyAlignment="1">
      <alignment horizontal="left" vertical="center" wrapText="1" indent="2"/>
    </xf>
    <xf numFmtId="14" fontId="1" fillId="34" borderId="27" xfId="0" applyNumberFormat="1" applyFont="1" applyFill="1" applyBorder="1" applyAlignment="1">
      <alignment horizontal="left" vertical="center" wrapText="1" indent="2"/>
    </xf>
    <xf numFmtId="0" fontId="1" fillId="34" borderId="25" xfId="0" applyFont="1" applyFill="1" applyBorder="1" applyAlignment="1">
      <alignment horizontal="left" vertical="center" wrapText="1"/>
    </xf>
    <xf numFmtId="0" fontId="1" fillId="34" borderId="26" xfId="0" applyFont="1" applyFill="1" applyBorder="1" applyAlignment="1">
      <alignment horizontal="left" vertical="center" wrapText="1"/>
    </xf>
    <xf numFmtId="0" fontId="1" fillId="34" borderId="27" xfId="0" applyFont="1" applyFill="1" applyBorder="1" applyAlignment="1">
      <alignment horizontal="left" vertical="center" wrapText="1"/>
    </xf>
    <xf numFmtId="0" fontId="1" fillId="41" borderId="29" xfId="0" applyFont="1" applyFill="1" applyBorder="1" applyAlignment="1">
      <alignment horizontal="left" vertical="center" wrapText="1" indent="1"/>
    </xf>
    <xf numFmtId="0" fontId="1" fillId="41" borderId="28" xfId="0" applyFont="1" applyFill="1" applyBorder="1" applyAlignment="1">
      <alignment horizontal="center" vertical="center" wrapText="1"/>
    </xf>
    <xf numFmtId="0" fontId="1" fillId="41" borderId="30" xfId="0" applyFont="1" applyFill="1" applyBorder="1" applyAlignment="1">
      <alignment horizontal="center" vertical="center" wrapText="1"/>
    </xf>
    <xf numFmtId="14" fontId="1" fillId="41" borderId="28" xfId="0" applyNumberFormat="1" applyFont="1" applyFill="1" applyBorder="1" applyAlignment="1">
      <alignment horizontal="left" vertical="center" wrapText="1" indent="2"/>
    </xf>
    <xf numFmtId="14" fontId="1" fillId="41" borderId="29" xfId="0" applyNumberFormat="1" applyFont="1" applyFill="1" applyBorder="1" applyAlignment="1">
      <alignment horizontal="left" vertical="center" wrapText="1" indent="2"/>
    </xf>
    <xf numFmtId="14" fontId="1" fillId="41" borderId="30" xfId="0" applyNumberFormat="1" applyFont="1" applyFill="1" applyBorder="1" applyAlignment="1">
      <alignment horizontal="left" vertical="center" wrapText="1" indent="2"/>
    </xf>
    <xf numFmtId="0" fontId="1" fillId="41" borderId="28" xfId="0" applyFont="1" applyFill="1" applyBorder="1" applyAlignment="1">
      <alignment horizontal="left" vertical="center" wrapText="1"/>
    </xf>
    <xf numFmtId="0" fontId="1" fillId="41" borderId="29" xfId="0" applyFont="1" applyFill="1" applyBorder="1" applyAlignment="1">
      <alignment horizontal="left" vertical="center" wrapText="1"/>
    </xf>
    <xf numFmtId="0" fontId="1" fillId="41" borderId="30" xfId="0" applyFont="1" applyFill="1" applyBorder="1" applyAlignment="1">
      <alignment horizontal="left" vertical="center" wrapText="1"/>
    </xf>
    <xf numFmtId="14" fontId="1" fillId="60" borderId="28" xfId="0" applyNumberFormat="1" applyFont="1" applyFill="1" applyBorder="1" applyAlignment="1">
      <alignment horizontal="left" vertical="center" wrapText="1" indent="2"/>
    </xf>
    <xf numFmtId="14" fontId="1" fillId="60" borderId="29" xfId="0" applyNumberFormat="1" applyFont="1" applyFill="1" applyBorder="1" applyAlignment="1">
      <alignment horizontal="left" vertical="center" wrapText="1" indent="2"/>
    </xf>
    <xf numFmtId="14" fontId="1" fillId="60" borderId="30" xfId="0" applyNumberFormat="1" applyFont="1" applyFill="1" applyBorder="1" applyAlignment="1">
      <alignment horizontal="left" vertical="center" wrapText="1" indent="2"/>
    </xf>
    <xf numFmtId="0" fontId="1" fillId="60" borderId="28" xfId="0" applyFont="1" applyFill="1" applyBorder="1" applyAlignment="1">
      <alignment horizontal="left" vertical="center" wrapText="1" indent="1"/>
    </xf>
    <xf numFmtId="0" fontId="1" fillId="60" borderId="30" xfId="0" applyFont="1" applyFill="1" applyBorder="1" applyAlignment="1">
      <alignment horizontal="left" vertical="center" wrapText="1" indent="1"/>
    </xf>
    <xf numFmtId="0" fontId="1" fillId="61" borderId="15" xfId="0" applyFont="1" applyFill="1" applyBorder="1" applyAlignment="1">
      <alignment horizontal="left" vertical="center" wrapText="1"/>
    </xf>
    <xf numFmtId="0" fontId="1" fillId="61" borderId="16" xfId="0" applyFont="1" applyFill="1" applyBorder="1" applyAlignment="1">
      <alignment horizontal="left" vertical="center" wrapText="1"/>
    </xf>
    <xf numFmtId="0" fontId="1" fillId="61" borderId="17" xfId="0" applyFont="1" applyFill="1" applyBorder="1" applyAlignment="1">
      <alignment horizontal="left" vertical="center" wrapText="1"/>
    </xf>
    <xf numFmtId="0" fontId="1" fillId="61" borderId="15" xfId="0" applyFont="1" applyFill="1" applyBorder="1" applyAlignment="1">
      <alignment horizontal="left" vertical="center" wrapText="1" indent="1"/>
    </xf>
    <xf numFmtId="0" fontId="1" fillId="61" borderId="16" xfId="0" applyFont="1" applyFill="1" applyBorder="1" applyAlignment="1">
      <alignment horizontal="left" vertical="center" wrapText="1" indent="1"/>
    </xf>
    <xf numFmtId="0" fontId="1" fillId="61" borderId="17" xfId="0" applyFont="1" applyFill="1" applyBorder="1" applyAlignment="1">
      <alignment horizontal="left" vertical="center" wrapText="1" indent="1"/>
    </xf>
    <xf numFmtId="0" fontId="1" fillId="61" borderId="15" xfId="0" applyFont="1" applyFill="1" applyBorder="1" applyAlignment="1">
      <alignment horizontal="center" vertical="center" wrapText="1"/>
    </xf>
    <xf numFmtId="0" fontId="1" fillId="61" borderId="17" xfId="0" applyFont="1" applyFill="1" applyBorder="1" applyAlignment="1">
      <alignment horizontal="center" vertical="center" wrapText="1"/>
    </xf>
    <xf numFmtId="14" fontId="1" fillId="61" borderId="15" xfId="0" applyNumberFormat="1" applyFont="1" applyFill="1" applyBorder="1" applyAlignment="1">
      <alignment horizontal="left" vertical="center" wrapText="1" indent="2"/>
    </xf>
    <xf numFmtId="14" fontId="1" fillId="61" borderId="16" xfId="0" applyNumberFormat="1" applyFont="1" applyFill="1" applyBorder="1" applyAlignment="1">
      <alignment horizontal="left" vertical="center" wrapText="1" indent="2"/>
    </xf>
    <xf numFmtId="14" fontId="1" fillId="61" borderId="17" xfId="0" applyNumberFormat="1" applyFont="1" applyFill="1" applyBorder="1" applyAlignment="1">
      <alignment horizontal="left" vertical="center" wrapText="1" indent="2"/>
    </xf>
    <xf numFmtId="14" fontId="1" fillId="62" borderId="15" xfId="0" applyNumberFormat="1" applyFont="1" applyFill="1" applyBorder="1" applyAlignment="1">
      <alignment horizontal="left" vertical="center" wrapText="1" indent="2"/>
    </xf>
    <xf numFmtId="14" fontId="1" fillId="62" borderId="16" xfId="0" applyNumberFormat="1" applyFont="1" applyFill="1" applyBorder="1" applyAlignment="1">
      <alignment horizontal="left" vertical="center" wrapText="1" indent="2"/>
    </xf>
    <xf numFmtId="14" fontId="1" fillId="62" borderId="17" xfId="0" applyNumberFormat="1" applyFont="1" applyFill="1" applyBorder="1" applyAlignment="1">
      <alignment horizontal="left" vertical="center" wrapText="1" indent="2"/>
    </xf>
    <xf numFmtId="0" fontId="32" fillId="62" borderId="15" xfId="0" applyFont="1" applyFill="1" applyBorder="1" applyAlignment="1">
      <alignment horizontal="left" vertical="center" wrapText="1" indent="1"/>
    </xf>
    <xf numFmtId="0" fontId="32" fillId="62" borderId="16" xfId="0" applyFont="1" applyFill="1" applyBorder="1" applyAlignment="1">
      <alignment horizontal="left" vertical="center" wrapText="1" indent="1"/>
    </xf>
    <xf numFmtId="0" fontId="32" fillId="62" borderId="17" xfId="0" applyFont="1" applyFill="1" applyBorder="1" applyAlignment="1">
      <alignment horizontal="left" vertical="center" wrapText="1" indent="1"/>
    </xf>
    <xf numFmtId="0" fontId="32" fillId="62" borderId="15" xfId="0" applyFont="1" applyFill="1" applyBorder="1" applyAlignment="1">
      <alignment horizontal="left" vertical="center" wrapText="1"/>
    </xf>
    <xf numFmtId="0" fontId="32" fillId="62" borderId="16" xfId="0" applyFont="1" applyFill="1" applyBorder="1" applyAlignment="1">
      <alignment horizontal="left" vertical="center" wrapText="1"/>
    </xf>
    <xf numFmtId="0" fontId="32" fillId="62" borderId="17" xfId="0" applyFont="1" applyFill="1" applyBorder="1" applyAlignment="1">
      <alignment horizontal="left" vertical="center" wrapText="1"/>
    </xf>
    <xf numFmtId="1" fontId="1" fillId="62" borderId="17" xfId="0" applyNumberFormat="1" applyFont="1" applyFill="1" applyBorder="1" applyAlignment="1">
      <alignment horizontal="center" vertical="center"/>
    </xf>
    <xf numFmtId="1" fontId="1" fillId="62" borderId="15" xfId="0" applyNumberFormat="1" applyFont="1" applyFill="1" applyBorder="1" applyAlignment="1">
      <alignment horizontal="center" vertical="center"/>
    </xf>
    <xf numFmtId="2" fontId="1" fillId="62" borderId="15" xfId="0" applyNumberFormat="1" applyFont="1" applyFill="1" applyBorder="1" applyAlignment="1">
      <alignment horizontal="center" vertical="center"/>
    </xf>
    <xf numFmtId="2" fontId="1" fillId="62" borderId="17" xfId="0" applyNumberFormat="1" applyFont="1" applyFill="1" applyBorder="1" applyAlignment="1">
      <alignment horizontal="center" vertical="center"/>
    </xf>
    <xf numFmtId="0" fontId="1" fillId="44" borderId="15" xfId="0" applyFont="1" applyFill="1" applyBorder="1" applyAlignment="1">
      <alignment horizontal="left" vertical="center" wrapText="1"/>
    </xf>
    <xf numFmtId="0" fontId="1" fillId="44" borderId="16" xfId="0" applyFont="1" applyFill="1" applyBorder="1" applyAlignment="1">
      <alignment horizontal="left" vertical="center" wrapText="1"/>
    </xf>
    <xf numFmtId="0" fontId="1" fillId="44" borderId="17" xfId="0" applyFont="1" applyFill="1" applyBorder="1" applyAlignment="1">
      <alignment horizontal="left" vertical="center" wrapText="1"/>
    </xf>
    <xf numFmtId="0" fontId="1" fillId="44" borderId="15" xfId="0" applyFont="1" applyFill="1" applyBorder="1" applyAlignment="1">
      <alignment horizontal="center" vertical="center" wrapText="1"/>
    </xf>
    <xf numFmtId="0" fontId="1" fillId="44" borderId="17" xfId="0" applyFont="1" applyFill="1" applyBorder="1" applyAlignment="1">
      <alignment horizontal="center" vertical="center" wrapText="1"/>
    </xf>
    <xf numFmtId="14" fontId="1" fillId="44" borderId="15" xfId="0" applyNumberFormat="1" applyFont="1" applyFill="1" applyBorder="1" applyAlignment="1">
      <alignment horizontal="left" vertical="center" wrapText="1" indent="2"/>
    </xf>
    <xf numFmtId="14" fontId="1" fillId="44" borderId="16" xfId="0" applyNumberFormat="1" applyFont="1" applyFill="1" applyBorder="1" applyAlignment="1">
      <alignment horizontal="left" vertical="center" wrapText="1" indent="2"/>
    </xf>
    <xf numFmtId="14" fontId="1" fillId="44" borderId="17" xfId="0" applyNumberFormat="1" applyFont="1" applyFill="1" applyBorder="1" applyAlignment="1">
      <alignment horizontal="left" vertical="center" wrapText="1" indent="2"/>
    </xf>
    <xf numFmtId="14" fontId="32" fillId="62" borderId="15" xfId="0" applyNumberFormat="1" applyFont="1" applyFill="1" applyBorder="1" applyAlignment="1">
      <alignment horizontal="left" vertical="center" wrapText="1" indent="2"/>
    </xf>
    <xf numFmtId="14" fontId="32" fillId="62" borderId="16" xfId="0" applyNumberFormat="1" applyFont="1" applyFill="1" applyBorder="1" applyAlignment="1">
      <alignment horizontal="left" vertical="center" wrapText="1" indent="2"/>
    </xf>
    <xf numFmtId="14" fontId="32" fillId="62" borderId="17" xfId="0" applyNumberFormat="1" applyFont="1" applyFill="1" applyBorder="1" applyAlignment="1">
      <alignment horizontal="left" vertical="center" wrapText="1" indent="2"/>
    </xf>
    <xf numFmtId="0" fontId="1" fillId="45" borderId="15" xfId="0" applyFont="1" applyFill="1" applyBorder="1" applyAlignment="1">
      <alignment horizontal="center" vertical="center" wrapText="1"/>
    </xf>
    <xf numFmtId="0" fontId="1" fillId="45" borderId="17" xfId="0" applyFont="1" applyFill="1" applyBorder="1" applyAlignment="1">
      <alignment horizontal="center" vertical="center" wrapText="1"/>
    </xf>
    <xf numFmtId="0" fontId="1" fillId="37" borderId="15" xfId="0" applyFont="1" applyFill="1" applyBorder="1" applyAlignment="1">
      <alignment horizontal="center" vertical="center" wrapText="1"/>
    </xf>
    <xf numFmtId="0" fontId="1" fillId="37" borderId="17" xfId="0" applyFont="1" applyFill="1" applyBorder="1" applyAlignment="1">
      <alignment horizontal="center" vertical="center" wrapText="1"/>
    </xf>
    <xf numFmtId="14" fontId="1" fillId="46" borderId="15" xfId="0" applyNumberFormat="1" applyFont="1" applyFill="1" applyBorder="1" applyAlignment="1">
      <alignment horizontal="left" vertical="center" wrapText="1" indent="2"/>
    </xf>
    <xf numFmtId="14" fontId="1" fillId="46" borderId="16" xfId="0" applyNumberFormat="1" applyFont="1" applyFill="1" applyBorder="1" applyAlignment="1">
      <alignment horizontal="left" vertical="center" wrapText="1" indent="2"/>
    </xf>
    <xf numFmtId="14" fontId="1" fillId="46" borderId="17" xfId="0" applyNumberFormat="1" applyFont="1" applyFill="1" applyBorder="1" applyAlignment="1">
      <alignment horizontal="left" vertical="center" wrapText="1" indent="2"/>
    </xf>
    <xf numFmtId="0" fontId="1" fillId="62" borderId="22" xfId="0" applyFont="1" applyFill="1" applyBorder="1" applyAlignment="1">
      <alignment horizontal="center" vertical="center" wrapText="1"/>
    </xf>
    <xf numFmtId="0" fontId="43" fillId="49" borderId="33" xfId="42" applyFont="1" applyFill="1" applyBorder="1" applyAlignment="1" applyProtection="1">
      <alignment horizontal="left" vertical="center" wrapText="1"/>
    </xf>
    <xf numFmtId="0" fontId="34" fillId="53" borderId="21" xfId="0" applyFont="1" applyFill="1" applyBorder="1" applyAlignment="1">
      <alignment horizontal="center" vertical="center" wrapText="1"/>
    </xf>
    <xf numFmtId="0" fontId="34" fillId="53" borderId="23" xfId="0" applyFont="1" applyFill="1" applyBorder="1" applyAlignment="1">
      <alignment horizontal="center" vertical="center" wrapText="1"/>
    </xf>
    <xf numFmtId="0" fontId="34" fillId="53" borderId="21" xfId="0" applyFont="1" applyFill="1" applyBorder="1" applyAlignment="1">
      <alignment horizontal="left" vertical="center" wrapText="1" indent="2"/>
    </xf>
    <xf numFmtId="0" fontId="34" fillId="53" borderId="22" xfId="0" applyFont="1" applyFill="1" applyBorder="1" applyAlignment="1">
      <alignment horizontal="left" vertical="center" wrapText="1" indent="2"/>
    </xf>
    <xf numFmtId="0" fontId="34" fillId="53" borderId="23" xfId="0" applyFont="1" applyFill="1" applyBorder="1" applyAlignment="1">
      <alignment horizontal="left" vertical="center" wrapText="1" indent="2"/>
    </xf>
    <xf numFmtId="0" fontId="33" fillId="93" borderId="25" xfId="0" applyFont="1" applyFill="1" applyBorder="1" applyAlignment="1">
      <alignment horizontal="right" vertical="center" wrapText="1"/>
    </xf>
    <xf numFmtId="0" fontId="33" fillId="93" borderId="26" xfId="0" applyFont="1" applyFill="1" applyBorder="1" applyAlignment="1">
      <alignment horizontal="right" vertical="center" wrapText="1"/>
    </xf>
    <xf numFmtId="14" fontId="1" fillId="57" borderId="15" xfId="0" applyNumberFormat="1" applyFont="1" applyFill="1" applyBorder="1" applyAlignment="1">
      <alignment horizontal="left" vertical="center" wrapText="1" indent="2"/>
    </xf>
    <xf numFmtId="14" fontId="1" fillId="57" borderId="16" xfId="0" applyNumberFormat="1" applyFont="1" applyFill="1" applyBorder="1" applyAlignment="1">
      <alignment horizontal="left" vertical="center" wrapText="1" indent="2"/>
    </xf>
    <xf numFmtId="14" fontId="1" fillId="57" borderId="17" xfId="0" applyNumberFormat="1" applyFont="1" applyFill="1" applyBorder="1" applyAlignment="1">
      <alignment horizontal="left" vertical="center" wrapText="1" indent="2"/>
    </xf>
    <xf numFmtId="0" fontId="1" fillId="47" borderId="25" xfId="0" applyFont="1" applyFill="1" applyBorder="1" applyAlignment="1">
      <alignment horizontal="left" vertical="center" wrapText="1"/>
    </xf>
    <xf numFmtId="0" fontId="27" fillId="0" borderId="26" xfId="0" applyFont="1" applyBorder="1"/>
    <xf numFmtId="0" fontId="27" fillId="0" borderId="35" xfId="0" applyFont="1" applyBorder="1"/>
    <xf numFmtId="0" fontId="1" fillId="47" borderId="67" xfId="0" applyFont="1" applyFill="1" applyBorder="1" applyAlignment="1">
      <alignment horizontal="left" vertical="center" wrapText="1"/>
    </xf>
    <xf numFmtId="0" fontId="32" fillId="47" borderId="67" xfId="0" applyFont="1" applyFill="1" applyBorder="1" applyAlignment="1">
      <alignment horizontal="center" vertical="center" wrapText="1"/>
    </xf>
    <xf numFmtId="0" fontId="32" fillId="47" borderId="35" xfId="0" applyFont="1" applyFill="1" applyBorder="1" applyAlignment="1">
      <alignment horizontal="center" vertical="center" wrapText="1"/>
    </xf>
    <xf numFmtId="14" fontId="1" fillId="47" borderId="67" xfId="0" applyNumberFormat="1" applyFont="1" applyFill="1" applyBorder="1" applyAlignment="1">
      <alignment horizontal="left" vertical="center" wrapText="1" indent="2"/>
    </xf>
    <xf numFmtId="14" fontId="1" fillId="47" borderId="26" xfId="0" applyNumberFormat="1" applyFont="1" applyFill="1" applyBorder="1" applyAlignment="1">
      <alignment horizontal="left" vertical="center" wrapText="1" indent="2"/>
    </xf>
    <xf numFmtId="14" fontId="1" fillId="47" borderId="35" xfId="0" applyNumberFormat="1" applyFont="1" applyFill="1" applyBorder="1" applyAlignment="1">
      <alignment horizontal="left" vertical="center" wrapText="1" indent="2"/>
    </xf>
    <xf numFmtId="0" fontId="1" fillId="57" borderId="16" xfId="0" applyFont="1" applyFill="1" applyBorder="1" applyAlignment="1">
      <alignment horizontal="left" vertical="center" wrapText="1" indent="1"/>
    </xf>
    <xf numFmtId="0" fontId="1" fillId="57" borderId="15" xfId="0" applyFont="1" applyFill="1" applyBorder="1" applyAlignment="1">
      <alignment horizontal="left" vertical="center" wrapText="1"/>
    </xf>
    <xf numFmtId="0" fontId="1" fillId="57" borderId="15" xfId="0" applyFont="1" applyFill="1" applyBorder="1" applyAlignment="1">
      <alignment horizontal="center" vertical="center" wrapText="1"/>
    </xf>
    <xf numFmtId="0" fontId="1" fillId="57" borderId="17" xfId="0" applyFont="1" applyFill="1" applyBorder="1" applyAlignment="1">
      <alignment horizontal="center" vertical="center" wrapText="1"/>
    </xf>
    <xf numFmtId="14" fontId="1" fillId="57" borderId="21" xfId="0" applyNumberFormat="1" applyFont="1" applyFill="1" applyBorder="1" applyAlignment="1">
      <alignment horizontal="left" vertical="center" wrapText="1" indent="2"/>
    </xf>
    <xf numFmtId="14" fontId="1" fillId="57" borderId="22" xfId="0" applyNumberFormat="1" applyFont="1" applyFill="1" applyBorder="1" applyAlignment="1">
      <alignment horizontal="left" vertical="center" wrapText="1" indent="2"/>
    </xf>
    <xf numFmtId="14" fontId="1" fillId="57" borderId="23" xfId="0" applyNumberFormat="1" applyFont="1" applyFill="1" applyBorder="1" applyAlignment="1">
      <alignment horizontal="left" vertical="center" wrapText="1" indent="2"/>
    </xf>
    <xf numFmtId="0" fontId="1" fillId="57" borderId="21" xfId="0" applyFont="1" applyFill="1" applyBorder="1" applyAlignment="1">
      <alignment horizontal="left" vertical="center" wrapText="1" indent="1"/>
    </xf>
    <xf numFmtId="0" fontId="1" fillId="57" borderId="23" xfId="0" applyFont="1" applyFill="1" applyBorder="1" applyAlignment="1">
      <alignment horizontal="left" vertical="center" wrapText="1" indent="1"/>
    </xf>
    <xf numFmtId="0" fontId="1" fillId="47" borderId="67" xfId="0" applyFont="1" applyFill="1" applyBorder="1" applyAlignment="1">
      <alignment horizontal="left" vertical="center" wrapText="1" indent="1"/>
    </xf>
    <xf numFmtId="0" fontId="1" fillId="47" borderId="35" xfId="0" applyFont="1" applyFill="1" applyBorder="1" applyAlignment="1">
      <alignment horizontal="left" vertical="center" wrapText="1" indent="1"/>
    </xf>
    <xf numFmtId="0" fontId="1" fillId="46" borderId="16" xfId="0" applyFont="1" applyFill="1" applyBorder="1" applyAlignment="1">
      <alignment horizontal="left" vertical="center" wrapText="1" indent="1"/>
    </xf>
    <xf numFmtId="0" fontId="1" fillId="57" borderId="21" xfId="0" applyFont="1" applyFill="1" applyBorder="1" applyAlignment="1">
      <alignment horizontal="left" vertical="center" wrapText="1"/>
    </xf>
    <xf numFmtId="0" fontId="27" fillId="0" borderId="22" xfId="0" applyFont="1" applyBorder="1"/>
    <xf numFmtId="0" fontId="27" fillId="0" borderId="23" xfId="0" applyFont="1" applyBorder="1"/>
    <xf numFmtId="0" fontId="1" fillId="57" borderId="21" xfId="0" applyFont="1" applyFill="1" applyBorder="1" applyAlignment="1">
      <alignment horizontal="center" vertical="center" wrapText="1"/>
    </xf>
    <xf numFmtId="0" fontId="1" fillId="57" borderId="23" xfId="0" applyFont="1" applyFill="1" applyBorder="1" applyAlignment="1">
      <alignment horizontal="center" vertical="center" wrapText="1"/>
    </xf>
    <xf numFmtId="2" fontId="33" fillId="93" borderId="26" xfId="0" applyNumberFormat="1" applyFont="1" applyFill="1" applyBorder="1" applyAlignment="1">
      <alignment horizontal="center" vertical="center" wrapText="1"/>
    </xf>
    <xf numFmtId="2" fontId="33" fillId="93" borderId="27" xfId="0" applyNumberFormat="1" applyFont="1" applyFill="1" applyBorder="1" applyAlignment="1">
      <alignment horizontal="center" vertical="center" wrapText="1"/>
    </xf>
    <xf numFmtId="1" fontId="33" fillId="92" borderId="25" xfId="61" applyNumberFormat="1" applyFont="1" applyFill="1" applyBorder="1" applyAlignment="1">
      <alignment horizontal="right" vertical="center" wrapText="1"/>
    </xf>
    <xf numFmtId="1" fontId="33" fillId="92" borderId="26" xfId="61" applyNumberFormat="1" applyFont="1" applyFill="1" applyBorder="1" applyAlignment="1">
      <alignment horizontal="right" vertical="center" wrapText="1"/>
    </xf>
    <xf numFmtId="14" fontId="33" fillId="92" borderId="26" xfId="0" applyNumberFormat="1" applyFont="1" applyFill="1" applyBorder="1" applyAlignment="1">
      <alignment horizontal="left" vertical="center" wrapText="1"/>
    </xf>
    <xf numFmtId="14" fontId="33" fillId="92" borderId="27" xfId="0" applyNumberFormat="1" applyFont="1" applyFill="1" applyBorder="1" applyAlignment="1">
      <alignment horizontal="left" vertical="center" wrapText="1"/>
    </xf>
    <xf numFmtId="14" fontId="1" fillId="45" borderId="15" xfId="0" applyNumberFormat="1" applyFont="1" applyFill="1" applyBorder="1" applyAlignment="1">
      <alignment horizontal="left" vertical="center" wrapText="1" indent="2"/>
    </xf>
    <xf numFmtId="14" fontId="1" fillId="45" borderId="16" xfId="0" applyNumberFormat="1" applyFont="1" applyFill="1" applyBorder="1" applyAlignment="1">
      <alignment horizontal="left" vertical="center" wrapText="1" indent="2"/>
    </xf>
    <xf numFmtId="14" fontId="1" fillId="45" borderId="17" xfId="0" applyNumberFormat="1" applyFont="1" applyFill="1" applyBorder="1" applyAlignment="1">
      <alignment horizontal="left" vertical="center" wrapText="1" indent="2"/>
    </xf>
    <xf numFmtId="0" fontId="1" fillId="45" borderId="15" xfId="0" applyFont="1" applyFill="1" applyBorder="1" applyAlignment="1">
      <alignment horizontal="left" vertical="center" wrapText="1"/>
    </xf>
    <xf numFmtId="0" fontId="1" fillId="45" borderId="16" xfId="0" applyFont="1" applyFill="1" applyBorder="1" applyAlignment="1">
      <alignment horizontal="left" vertical="center" wrapText="1"/>
    </xf>
    <xf numFmtId="0" fontId="1" fillId="45" borderId="17" xfId="0" applyFont="1" applyFill="1" applyBorder="1" applyAlignment="1">
      <alignment horizontal="left" vertical="center" wrapText="1"/>
    </xf>
    <xf numFmtId="0" fontId="1" fillId="95" borderId="15" xfId="0" applyFont="1" applyFill="1" applyBorder="1" applyAlignment="1">
      <alignment horizontal="center" vertical="center" wrapText="1"/>
    </xf>
    <xf numFmtId="0" fontId="1" fillId="95" borderId="17" xfId="0" applyFont="1" applyFill="1" applyBorder="1" applyAlignment="1">
      <alignment horizontal="center" vertical="center" wrapText="1"/>
    </xf>
    <xf numFmtId="0" fontId="1" fillId="44" borderId="15" xfId="0" applyFont="1" applyFill="1" applyBorder="1" applyAlignment="1">
      <alignment horizontal="left" vertical="center" wrapText="1" indent="1"/>
    </xf>
    <xf numFmtId="0" fontId="1" fillId="44" borderId="17" xfId="0" applyFont="1" applyFill="1" applyBorder="1" applyAlignment="1">
      <alignment horizontal="left" vertical="center" wrapText="1" indent="1"/>
    </xf>
    <xf numFmtId="0" fontId="1" fillId="95" borderId="15" xfId="0" applyFont="1" applyFill="1" applyBorder="1" applyAlignment="1">
      <alignment horizontal="left" vertical="center" wrapText="1" indent="1"/>
    </xf>
    <xf numFmtId="0" fontId="1" fillId="95" borderId="17" xfId="0" applyFont="1" applyFill="1" applyBorder="1" applyAlignment="1">
      <alignment horizontal="left" vertical="center" wrapText="1" indent="1"/>
    </xf>
    <xf numFmtId="0" fontId="1" fillId="95" borderId="16" xfId="0" applyFont="1" applyFill="1" applyBorder="1" applyAlignment="1">
      <alignment horizontal="left" vertical="center" wrapText="1" indent="1"/>
    </xf>
    <xf numFmtId="0" fontId="1" fillId="37" borderId="15" xfId="0" applyFont="1" applyFill="1" applyBorder="1" applyAlignment="1">
      <alignment horizontal="left" vertical="center" wrapText="1"/>
    </xf>
    <xf numFmtId="0" fontId="1" fillId="37" borderId="16" xfId="0" applyFont="1" applyFill="1" applyBorder="1" applyAlignment="1">
      <alignment horizontal="left" vertical="center" wrapText="1"/>
    </xf>
    <xf numFmtId="0" fontId="1" fillId="37" borderId="17" xfId="0" applyFont="1" applyFill="1" applyBorder="1" applyAlignment="1">
      <alignment horizontal="left" vertical="center" wrapText="1"/>
    </xf>
    <xf numFmtId="14" fontId="1" fillId="37" borderId="15" xfId="0" applyNumberFormat="1" applyFont="1" applyFill="1" applyBorder="1" applyAlignment="1">
      <alignment horizontal="left" vertical="center" wrapText="1" indent="2"/>
    </xf>
    <xf numFmtId="14" fontId="1" fillId="37" borderId="16" xfId="0" applyNumberFormat="1" applyFont="1" applyFill="1" applyBorder="1" applyAlignment="1">
      <alignment horizontal="left" vertical="center" wrapText="1" indent="2"/>
    </xf>
    <xf numFmtId="14" fontId="1" fillId="37" borderId="17" xfId="0" applyNumberFormat="1" applyFont="1" applyFill="1" applyBorder="1" applyAlignment="1">
      <alignment horizontal="left" vertical="center" wrapText="1" indent="2"/>
    </xf>
    <xf numFmtId="0" fontId="1" fillId="37" borderId="15" xfId="0" applyFont="1" applyFill="1" applyBorder="1" applyAlignment="1">
      <alignment horizontal="left" vertical="center" wrapText="1" indent="1"/>
    </xf>
    <xf numFmtId="0" fontId="1" fillId="37" borderId="16" xfId="0" applyFont="1" applyFill="1" applyBorder="1" applyAlignment="1">
      <alignment horizontal="left" vertical="center" wrapText="1" indent="1"/>
    </xf>
    <xf numFmtId="0" fontId="1" fillId="37" borderId="17" xfId="0" applyFont="1" applyFill="1" applyBorder="1" applyAlignment="1">
      <alignment horizontal="left" vertical="center" wrapText="1" indent="1"/>
    </xf>
    <xf numFmtId="0" fontId="1" fillId="56" borderId="75" xfId="0" applyFont="1" applyFill="1" applyBorder="1" applyAlignment="1">
      <alignment horizontal="left" vertical="center" wrapText="1" indent="2"/>
    </xf>
    <xf numFmtId="0" fontId="1" fillId="56" borderId="0" xfId="0" applyFont="1" applyFill="1" applyAlignment="1">
      <alignment horizontal="left" vertical="center" wrapText="1" indent="2"/>
    </xf>
    <xf numFmtId="0" fontId="1" fillId="56" borderId="76" xfId="0" applyFont="1" applyFill="1" applyBorder="1" applyAlignment="1">
      <alignment horizontal="left" vertical="center" wrapText="1" indent="2"/>
    </xf>
    <xf numFmtId="14" fontId="32" fillId="62" borderId="28" xfId="0" applyNumberFormat="1" applyFont="1" applyFill="1" applyBorder="1" applyAlignment="1">
      <alignment horizontal="left" vertical="center" wrapText="1" indent="2"/>
    </xf>
    <xf numFmtId="14" fontId="32" fillId="62" borderId="29" xfId="0" applyNumberFormat="1" applyFont="1" applyFill="1" applyBorder="1" applyAlignment="1">
      <alignment horizontal="left" vertical="center" wrapText="1" indent="2"/>
    </xf>
    <xf numFmtId="14" fontId="32" fillId="62" borderId="30" xfId="0" applyNumberFormat="1" applyFont="1" applyFill="1" applyBorder="1" applyAlignment="1">
      <alignment horizontal="left" vertical="center" wrapText="1" indent="2"/>
    </xf>
    <xf numFmtId="0" fontId="23" fillId="49" borderId="0" xfId="0" applyFont="1" applyFill="1" applyAlignment="1">
      <alignment horizontal="right" vertical="center" wrapText="1" indent="2"/>
    </xf>
    <xf numFmtId="164" fontId="22" fillId="49" borderId="0" xfId="0" applyNumberFormat="1" applyFont="1" applyFill="1" applyAlignment="1">
      <alignment horizontal="left" vertical="center" wrapText="1"/>
    </xf>
    <xf numFmtId="0" fontId="23" fillId="49" borderId="0" xfId="0" applyFont="1" applyFill="1" applyAlignment="1">
      <alignment horizontal="left" vertical="center" wrapText="1" indent="2"/>
    </xf>
    <xf numFmtId="166" fontId="1" fillId="62" borderId="16" xfId="0" applyNumberFormat="1" applyFont="1" applyFill="1" applyBorder="1" applyAlignment="1">
      <alignment horizontal="center" vertical="center" wrapText="1"/>
    </xf>
    <xf numFmtId="49" fontId="1" fillId="95" borderId="15" xfId="0" applyNumberFormat="1" applyFont="1" applyFill="1" applyBorder="1" applyAlignment="1">
      <alignment horizontal="left" vertical="center" wrapText="1" indent="2"/>
    </xf>
    <xf numFmtId="49" fontId="1" fillId="95" borderId="16" xfId="0" applyNumberFormat="1" applyFont="1" applyFill="1" applyBorder="1" applyAlignment="1">
      <alignment horizontal="left" vertical="center" wrapText="1" indent="2"/>
    </xf>
    <xf numFmtId="49" fontId="1" fillId="95" borderId="17" xfId="0" applyNumberFormat="1" applyFont="1" applyFill="1" applyBorder="1" applyAlignment="1">
      <alignment horizontal="left" vertical="center" wrapText="1" indent="2"/>
    </xf>
    <xf numFmtId="0" fontId="1" fillId="95" borderId="15" xfId="0" applyFont="1" applyFill="1" applyBorder="1" applyAlignment="1">
      <alignment horizontal="left" vertical="center" wrapText="1"/>
    </xf>
    <xf numFmtId="0" fontId="1" fillId="95" borderId="16" xfId="0" applyFont="1" applyFill="1" applyBorder="1" applyAlignment="1">
      <alignment horizontal="left" vertical="center" wrapText="1"/>
    </xf>
    <xf numFmtId="0" fontId="1" fillId="95" borderId="17" xfId="0" applyFont="1" applyFill="1" applyBorder="1" applyAlignment="1">
      <alignment horizontal="left" vertical="center" wrapText="1"/>
    </xf>
    <xf numFmtId="166" fontId="1" fillId="46" borderId="15" xfId="0" applyNumberFormat="1" applyFont="1" applyFill="1" applyBorder="1" applyAlignment="1">
      <alignment horizontal="center" vertical="center" wrapText="1"/>
    </xf>
    <xf numFmtId="166" fontId="1" fillId="46" borderId="17" xfId="0" applyNumberFormat="1" applyFont="1" applyFill="1" applyBorder="1" applyAlignment="1">
      <alignment horizontal="center" vertical="center" wrapText="1"/>
    </xf>
    <xf numFmtId="0" fontId="1" fillId="62" borderId="20" xfId="0" applyFont="1" applyFill="1" applyBorder="1" applyAlignment="1">
      <alignment horizontal="left" vertical="center" wrapText="1" indent="1"/>
    </xf>
    <xf numFmtId="0" fontId="1" fillId="62" borderId="71" xfId="0" applyFont="1" applyFill="1" applyBorder="1" applyAlignment="1">
      <alignment horizontal="left" vertical="center" wrapText="1" indent="1"/>
    </xf>
    <xf numFmtId="1" fontId="1" fillId="43" borderId="15" xfId="0" applyNumberFormat="1" applyFont="1" applyFill="1" applyBorder="1" applyAlignment="1">
      <alignment horizontal="center" vertical="center" wrapText="1"/>
    </xf>
    <xf numFmtId="1" fontId="1" fillId="43" borderId="17" xfId="0" applyNumberFormat="1" applyFont="1" applyFill="1" applyBorder="1" applyAlignment="1">
      <alignment horizontal="center" vertical="center" wrapText="1"/>
    </xf>
  </cellXfs>
  <cellStyles count="46006">
    <cellStyle name="20% - Accent1" xfId="19" builtinId="30" customBuiltin="1"/>
    <cellStyle name="20% - Accent1 10" xfId="1496" xr:uid="{00000000-0005-0000-0000-000001000000}"/>
    <cellStyle name="20% - Accent1 10 2" xfId="1540" xr:uid="{00000000-0005-0000-0000-000002000000}"/>
    <cellStyle name="20% - Accent1 10 2 2" xfId="3474" xr:uid="{00000000-0005-0000-0000-000003000000}"/>
    <cellStyle name="20% - Accent1 10 2 2 2" xfId="6446" xr:uid="{00000000-0005-0000-0000-000004000000}"/>
    <cellStyle name="20% - Accent1 10 2 2 2 2" xfId="12096" xr:uid="{00000000-0005-0000-0000-000005000000}"/>
    <cellStyle name="20% - Accent1 10 2 2 2 2 2" xfId="23397" xr:uid="{00000000-0005-0000-0000-000006000000}"/>
    <cellStyle name="20% - Accent1 10 2 2 2 2 2 2" xfId="45999" xr:uid="{00000000-0005-0000-0000-000007000000}"/>
    <cellStyle name="20% - Accent1 10 2 2 2 2 3" xfId="34698" xr:uid="{00000000-0005-0000-0000-000008000000}"/>
    <cellStyle name="20% - Accent1 10 2 2 2 3" xfId="17747" xr:uid="{00000000-0005-0000-0000-000009000000}"/>
    <cellStyle name="20% - Accent1 10 2 2 2 3 2" xfId="40349" xr:uid="{00000000-0005-0000-0000-00000A000000}"/>
    <cellStyle name="20% - Accent1 10 2 2 2 4" xfId="29048" xr:uid="{00000000-0005-0000-0000-00000B000000}"/>
    <cellStyle name="20% - Accent1 10 2 2 3" xfId="9264" xr:uid="{00000000-0005-0000-0000-00000C000000}"/>
    <cellStyle name="20% - Accent1 10 2 2 3 2" xfId="20565" xr:uid="{00000000-0005-0000-0000-00000D000000}"/>
    <cellStyle name="20% - Accent1 10 2 2 3 2 2" xfId="43167" xr:uid="{00000000-0005-0000-0000-00000E000000}"/>
    <cellStyle name="20% - Accent1 10 2 2 3 3" xfId="31866" xr:uid="{00000000-0005-0000-0000-00000F000000}"/>
    <cellStyle name="20% - Accent1 10 2 2 4" xfId="14915" xr:uid="{00000000-0005-0000-0000-000010000000}"/>
    <cellStyle name="20% - Accent1 10 2 2 4 2" xfId="37517" xr:uid="{00000000-0005-0000-0000-000011000000}"/>
    <cellStyle name="20% - Accent1 10 2 2 5" xfId="26216" xr:uid="{00000000-0005-0000-0000-000012000000}"/>
    <cellStyle name="20% - Accent1 10 2 3" xfId="5212" xr:uid="{00000000-0005-0000-0000-000013000000}"/>
    <cellStyle name="20% - Accent1 10 2 3 2" xfId="10862" xr:uid="{00000000-0005-0000-0000-000014000000}"/>
    <cellStyle name="20% - Accent1 10 2 3 2 2" xfId="22163" xr:uid="{00000000-0005-0000-0000-000015000000}"/>
    <cellStyle name="20% - Accent1 10 2 3 2 2 2" xfId="44765" xr:uid="{00000000-0005-0000-0000-000016000000}"/>
    <cellStyle name="20% - Accent1 10 2 3 2 3" xfId="33464" xr:uid="{00000000-0005-0000-0000-000017000000}"/>
    <cellStyle name="20% - Accent1 10 2 3 3" xfId="16513" xr:uid="{00000000-0005-0000-0000-000018000000}"/>
    <cellStyle name="20% - Accent1 10 2 3 3 2" xfId="39115" xr:uid="{00000000-0005-0000-0000-000019000000}"/>
    <cellStyle name="20% - Accent1 10 2 3 4" xfId="27814" xr:uid="{00000000-0005-0000-0000-00001A000000}"/>
    <cellStyle name="20% - Accent1 10 2 4" xfId="7396" xr:uid="{00000000-0005-0000-0000-00001B000000}"/>
    <cellStyle name="20% - Accent1 10 2 4 2" xfId="18697" xr:uid="{00000000-0005-0000-0000-00001C000000}"/>
    <cellStyle name="20% - Accent1 10 2 4 2 2" xfId="41299" xr:uid="{00000000-0005-0000-0000-00001D000000}"/>
    <cellStyle name="20% - Accent1 10 2 4 3" xfId="29998" xr:uid="{00000000-0005-0000-0000-00001E000000}"/>
    <cellStyle name="20% - Accent1 10 2 5" xfId="13047" xr:uid="{00000000-0005-0000-0000-00001F000000}"/>
    <cellStyle name="20% - Accent1 10 2 5 2" xfId="35649" xr:uid="{00000000-0005-0000-0000-000020000000}"/>
    <cellStyle name="20% - Accent1 10 2 6" xfId="24348" xr:uid="{00000000-0005-0000-0000-000021000000}"/>
    <cellStyle name="20% - Accent1 10 3" xfId="2805" xr:uid="{00000000-0005-0000-0000-000022000000}"/>
    <cellStyle name="20% - Accent1 10 3 2" xfId="5822" xr:uid="{00000000-0005-0000-0000-000023000000}"/>
    <cellStyle name="20% - Accent1 10 3 2 2" xfId="11472" xr:uid="{00000000-0005-0000-0000-000024000000}"/>
    <cellStyle name="20% - Accent1 10 3 2 2 2" xfId="22773" xr:uid="{00000000-0005-0000-0000-000025000000}"/>
    <cellStyle name="20% - Accent1 10 3 2 2 2 2" xfId="45375" xr:uid="{00000000-0005-0000-0000-000026000000}"/>
    <cellStyle name="20% - Accent1 10 3 2 2 3" xfId="34074" xr:uid="{00000000-0005-0000-0000-000027000000}"/>
    <cellStyle name="20% - Accent1 10 3 2 3" xfId="17123" xr:uid="{00000000-0005-0000-0000-000028000000}"/>
    <cellStyle name="20% - Accent1 10 3 2 3 2" xfId="39725" xr:uid="{00000000-0005-0000-0000-000029000000}"/>
    <cellStyle name="20% - Accent1 10 3 2 4" xfId="28424" xr:uid="{00000000-0005-0000-0000-00002A000000}"/>
    <cellStyle name="20% - Accent1 10 3 3" xfId="8639" xr:uid="{00000000-0005-0000-0000-00002B000000}"/>
    <cellStyle name="20% - Accent1 10 3 3 2" xfId="19940" xr:uid="{00000000-0005-0000-0000-00002C000000}"/>
    <cellStyle name="20% - Accent1 10 3 3 2 2" xfId="42542" xr:uid="{00000000-0005-0000-0000-00002D000000}"/>
    <cellStyle name="20% - Accent1 10 3 3 3" xfId="31241" xr:uid="{00000000-0005-0000-0000-00002E000000}"/>
    <cellStyle name="20% - Accent1 10 3 4" xfId="14290" xr:uid="{00000000-0005-0000-0000-00002F000000}"/>
    <cellStyle name="20% - Accent1 10 3 4 2" xfId="36892" xr:uid="{00000000-0005-0000-0000-000030000000}"/>
    <cellStyle name="20% - Accent1 10 3 5" xfId="25591" xr:uid="{00000000-0005-0000-0000-000031000000}"/>
    <cellStyle name="20% - Accent1 10 4" xfId="4588" xr:uid="{00000000-0005-0000-0000-000032000000}"/>
    <cellStyle name="20% - Accent1 10 4 2" xfId="10238" xr:uid="{00000000-0005-0000-0000-000033000000}"/>
    <cellStyle name="20% - Accent1 10 4 2 2" xfId="21539" xr:uid="{00000000-0005-0000-0000-000034000000}"/>
    <cellStyle name="20% - Accent1 10 4 2 2 2" xfId="44141" xr:uid="{00000000-0005-0000-0000-000035000000}"/>
    <cellStyle name="20% - Accent1 10 4 2 3" xfId="32840" xr:uid="{00000000-0005-0000-0000-000036000000}"/>
    <cellStyle name="20% - Accent1 10 4 3" xfId="15889" xr:uid="{00000000-0005-0000-0000-000037000000}"/>
    <cellStyle name="20% - Accent1 10 4 3 2" xfId="38491" xr:uid="{00000000-0005-0000-0000-000038000000}"/>
    <cellStyle name="20% - Accent1 10 4 4" xfId="27190" xr:uid="{00000000-0005-0000-0000-000039000000}"/>
    <cellStyle name="20% - Accent1 10 5" xfId="7393" xr:uid="{00000000-0005-0000-0000-00003A000000}"/>
    <cellStyle name="20% - Accent1 10 5 2" xfId="18694" xr:uid="{00000000-0005-0000-0000-00003B000000}"/>
    <cellStyle name="20% - Accent1 10 5 2 2" xfId="41296" xr:uid="{00000000-0005-0000-0000-00003C000000}"/>
    <cellStyle name="20% - Accent1 10 5 3" xfId="29995" xr:uid="{00000000-0005-0000-0000-00003D000000}"/>
    <cellStyle name="20% - Accent1 10 6" xfId="13044" xr:uid="{00000000-0005-0000-0000-00003E000000}"/>
    <cellStyle name="20% - Accent1 10 6 2" xfId="35646" xr:uid="{00000000-0005-0000-0000-00003F000000}"/>
    <cellStyle name="20% - Accent1 10 7" xfId="24345" xr:uid="{00000000-0005-0000-0000-000040000000}"/>
    <cellStyle name="20% - Accent1 11" xfId="716" xr:uid="{00000000-0005-0000-0000-000041000000}"/>
    <cellStyle name="20% - Accent1 11 2" xfId="1541" xr:uid="{00000000-0005-0000-0000-000042000000}"/>
    <cellStyle name="20% - Accent1 11 2 2" xfId="3534" xr:uid="{00000000-0005-0000-0000-000043000000}"/>
    <cellStyle name="20% - Accent1 11 2 2 2" xfId="9287" xr:uid="{00000000-0005-0000-0000-000044000000}"/>
    <cellStyle name="20% - Accent1 11 2 2 2 2" xfId="20588" xr:uid="{00000000-0005-0000-0000-000045000000}"/>
    <cellStyle name="20% - Accent1 11 2 2 2 2 2" xfId="43190" xr:uid="{00000000-0005-0000-0000-000046000000}"/>
    <cellStyle name="20% - Accent1 11 2 2 2 3" xfId="31889" xr:uid="{00000000-0005-0000-0000-000047000000}"/>
    <cellStyle name="20% - Accent1 11 2 2 3" xfId="14938" xr:uid="{00000000-0005-0000-0000-000048000000}"/>
    <cellStyle name="20% - Accent1 11 2 2 3 2" xfId="37540" xr:uid="{00000000-0005-0000-0000-000049000000}"/>
    <cellStyle name="20% - Accent1 11 2 2 4" xfId="26239" xr:uid="{00000000-0005-0000-0000-00004A000000}"/>
    <cellStyle name="20% - Accent1 11 2 3" xfId="7397" xr:uid="{00000000-0005-0000-0000-00004B000000}"/>
    <cellStyle name="20% - Accent1 11 2 3 2" xfId="18698" xr:uid="{00000000-0005-0000-0000-00004C000000}"/>
    <cellStyle name="20% - Accent1 11 2 3 2 2" xfId="41300" xr:uid="{00000000-0005-0000-0000-00004D000000}"/>
    <cellStyle name="20% - Accent1 11 2 3 3" xfId="29999" xr:uid="{00000000-0005-0000-0000-00004E000000}"/>
    <cellStyle name="20% - Accent1 11 2 4" xfId="13048" xr:uid="{00000000-0005-0000-0000-00004F000000}"/>
    <cellStyle name="20% - Accent1 11 2 4 2" xfId="35650" xr:uid="{00000000-0005-0000-0000-000050000000}"/>
    <cellStyle name="20% - Accent1 11 2 5" xfId="24349" xr:uid="{00000000-0005-0000-0000-000051000000}"/>
    <cellStyle name="20% - Accent1 11 3" xfId="2175" xr:uid="{00000000-0005-0000-0000-000052000000}"/>
    <cellStyle name="20% - Accent1 11 3 2" xfId="8020" xr:uid="{00000000-0005-0000-0000-000053000000}"/>
    <cellStyle name="20% - Accent1 11 3 2 2" xfId="19321" xr:uid="{00000000-0005-0000-0000-000054000000}"/>
    <cellStyle name="20% - Accent1 11 3 2 2 2" xfId="41923" xr:uid="{00000000-0005-0000-0000-000055000000}"/>
    <cellStyle name="20% - Accent1 11 3 2 3" xfId="30622" xr:uid="{00000000-0005-0000-0000-000056000000}"/>
    <cellStyle name="20% - Accent1 11 3 3" xfId="13671" xr:uid="{00000000-0005-0000-0000-000057000000}"/>
    <cellStyle name="20% - Accent1 11 3 3 2" xfId="36273" xr:uid="{00000000-0005-0000-0000-000058000000}"/>
    <cellStyle name="20% - Accent1 11 3 4" xfId="24972" xr:uid="{00000000-0005-0000-0000-000059000000}"/>
    <cellStyle name="20% - Accent1 11 4" xfId="3973" xr:uid="{00000000-0005-0000-0000-00005A000000}"/>
    <cellStyle name="20% - Accent1 11 4 2" xfId="9623" xr:uid="{00000000-0005-0000-0000-00005B000000}"/>
    <cellStyle name="20% - Accent1 11 4 2 2" xfId="20924" xr:uid="{00000000-0005-0000-0000-00005C000000}"/>
    <cellStyle name="20% - Accent1 11 4 2 2 2" xfId="43526" xr:uid="{00000000-0005-0000-0000-00005D000000}"/>
    <cellStyle name="20% - Accent1 11 4 2 3" xfId="32225" xr:uid="{00000000-0005-0000-0000-00005E000000}"/>
    <cellStyle name="20% - Accent1 11 4 3" xfId="15274" xr:uid="{00000000-0005-0000-0000-00005F000000}"/>
    <cellStyle name="20% - Accent1 11 4 3 2" xfId="37876" xr:uid="{00000000-0005-0000-0000-000060000000}"/>
    <cellStyle name="20% - Accent1 11 4 4" xfId="26575" xr:uid="{00000000-0005-0000-0000-000061000000}"/>
    <cellStyle name="20% - Accent1 11 5" xfId="6775" xr:uid="{00000000-0005-0000-0000-000062000000}"/>
    <cellStyle name="20% - Accent1 11 5 2" xfId="18076" xr:uid="{00000000-0005-0000-0000-000063000000}"/>
    <cellStyle name="20% - Accent1 11 5 2 2" xfId="40678" xr:uid="{00000000-0005-0000-0000-000064000000}"/>
    <cellStyle name="20% - Accent1 11 5 3" xfId="29377" xr:uid="{00000000-0005-0000-0000-000065000000}"/>
    <cellStyle name="20% - Accent1 11 6" xfId="12426" xr:uid="{00000000-0005-0000-0000-000066000000}"/>
    <cellStyle name="20% - Accent1 11 6 2" xfId="35028" xr:uid="{00000000-0005-0000-0000-000067000000}"/>
    <cellStyle name="20% - Accent1 11 7" xfId="23727" xr:uid="{00000000-0005-0000-0000-000068000000}"/>
    <cellStyle name="20% - Accent1 12" xfId="854" xr:uid="{00000000-0005-0000-0000-000069000000}"/>
    <cellStyle name="20% - Accent1 12 2" xfId="3547" xr:uid="{00000000-0005-0000-0000-00006A000000}"/>
    <cellStyle name="20% - Accent1 12 2 2" xfId="9293" xr:uid="{00000000-0005-0000-0000-00006B000000}"/>
    <cellStyle name="20% - Accent1 12 2 2 2" xfId="20594" xr:uid="{00000000-0005-0000-0000-00006C000000}"/>
    <cellStyle name="20% - Accent1 12 2 2 2 2" xfId="43196" xr:uid="{00000000-0005-0000-0000-00006D000000}"/>
    <cellStyle name="20% - Accent1 12 2 2 3" xfId="31895" xr:uid="{00000000-0005-0000-0000-00006E000000}"/>
    <cellStyle name="20% - Accent1 12 2 3" xfId="14944" xr:uid="{00000000-0005-0000-0000-00006F000000}"/>
    <cellStyle name="20% - Accent1 12 2 3 2" xfId="37546" xr:uid="{00000000-0005-0000-0000-000070000000}"/>
    <cellStyle name="20% - Accent1 12 2 4" xfId="26245" xr:uid="{00000000-0005-0000-0000-000071000000}"/>
    <cellStyle name="20% - Accent1 13" xfId="3545" xr:uid="{00000000-0005-0000-0000-000072000000}"/>
    <cellStyle name="20% - Accent1 14" xfId="106" xr:uid="{00000000-0005-0000-0000-000073000000}"/>
    <cellStyle name="20% - Accent1 2" xfId="48" xr:uid="{00000000-0005-0000-0000-000074000000}"/>
    <cellStyle name="20% - Accent1 2 2" xfId="380" xr:uid="{00000000-0005-0000-0000-000075000000}"/>
    <cellStyle name="20% - Accent1 2 2 10" xfId="23483" xr:uid="{00000000-0005-0000-0000-000076000000}"/>
    <cellStyle name="20% - Accent1 2 2 2" xfId="633" xr:uid="{00000000-0005-0000-0000-000077000000}"/>
    <cellStyle name="20% - Accent1 2 2 2 2" xfId="1343" xr:uid="{00000000-0005-0000-0000-000078000000}"/>
    <cellStyle name="20% - Accent1 2 2 2 2 2" xfId="1544" xr:uid="{00000000-0005-0000-0000-000079000000}"/>
    <cellStyle name="20% - Accent1 2 2 2 2 2 2" xfId="3412" xr:uid="{00000000-0005-0000-0000-00007A000000}"/>
    <cellStyle name="20% - Accent1 2 2 2 2 2 2 2" xfId="6384" xr:uid="{00000000-0005-0000-0000-00007B000000}"/>
    <cellStyle name="20% - Accent1 2 2 2 2 2 2 2 2" xfId="12034" xr:uid="{00000000-0005-0000-0000-00007C000000}"/>
    <cellStyle name="20% - Accent1 2 2 2 2 2 2 2 2 2" xfId="23335" xr:uid="{00000000-0005-0000-0000-00007D000000}"/>
    <cellStyle name="20% - Accent1 2 2 2 2 2 2 2 2 2 2" xfId="45937" xr:uid="{00000000-0005-0000-0000-00007E000000}"/>
    <cellStyle name="20% - Accent1 2 2 2 2 2 2 2 2 3" xfId="34636" xr:uid="{00000000-0005-0000-0000-00007F000000}"/>
    <cellStyle name="20% - Accent1 2 2 2 2 2 2 2 3" xfId="17685" xr:uid="{00000000-0005-0000-0000-000080000000}"/>
    <cellStyle name="20% - Accent1 2 2 2 2 2 2 2 3 2" xfId="40287" xr:uid="{00000000-0005-0000-0000-000081000000}"/>
    <cellStyle name="20% - Accent1 2 2 2 2 2 2 2 4" xfId="28986" xr:uid="{00000000-0005-0000-0000-000082000000}"/>
    <cellStyle name="20% - Accent1 2 2 2 2 2 2 3" xfId="9202" xr:uid="{00000000-0005-0000-0000-000083000000}"/>
    <cellStyle name="20% - Accent1 2 2 2 2 2 2 3 2" xfId="20503" xr:uid="{00000000-0005-0000-0000-000084000000}"/>
    <cellStyle name="20% - Accent1 2 2 2 2 2 2 3 2 2" xfId="43105" xr:uid="{00000000-0005-0000-0000-000085000000}"/>
    <cellStyle name="20% - Accent1 2 2 2 2 2 2 3 3" xfId="31804" xr:uid="{00000000-0005-0000-0000-000086000000}"/>
    <cellStyle name="20% - Accent1 2 2 2 2 2 2 4" xfId="14853" xr:uid="{00000000-0005-0000-0000-000087000000}"/>
    <cellStyle name="20% - Accent1 2 2 2 2 2 2 4 2" xfId="37455" xr:uid="{00000000-0005-0000-0000-000088000000}"/>
    <cellStyle name="20% - Accent1 2 2 2 2 2 2 5" xfId="26154" xr:uid="{00000000-0005-0000-0000-000089000000}"/>
    <cellStyle name="20% - Accent1 2 2 2 2 2 3" xfId="5150" xr:uid="{00000000-0005-0000-0000-00008A000000}"/>
    <cellStyle name="20% - Accent1 2 2 2 2 2 3 2" xfId="10800" xr:uid="{00000000-0005-0000-0000-00008B000000}"/>
    <cellStyle name="20% - Accent1 2 2 2 2 2 3 2 2" xfId="22101" xr:uid="{00000000-0005-0000-0000-00008C000000}"/>
    <cellStyle name="20% - Accent1 2 2 2 2 2 3 2 2 2" xfId="44703" xr:uid="{00000000-0005-0000-0000-00008D000000}"/>
    <cellStyle name="20% - Accent1 2 2 2 2 2 3 2 3" xfId="33402" xr:uid="{00000000-0005-0000-0000-00008E000000}"/>
    <cellStyle name="20% - Accent1 2 2 2 2 2 3 3" xfId="16451" xr:uid="{00000000-0005-0000-0000-00008F000000}"/>
    <cellStyle name="20% - Accent1 2 2 2 2 2 3 3 2" xfId="39053" xr:uid="{00000000-0005-0000-0000-000090000000}"/>
    <cellStyle name="20% - Accent1 2 2 2 2 2 3 4" xfId="27752" xr:uid="{00000000-0005-0000-0000-000091000000}"/>
    <cellStyle name="20% - Accent1 2 2 2 2 2 4" xfId="7400" xr:uid="{00000000-0005-0000-0000-000092000000}"/>
    <cellStyle name="20% - Accent1 2 2 2 2 2 4 2" xfId="18701" xr:uid="{00000000-0005-0000-0000-000093000000}"/>
    <cellStyle name="20% - Accent1 2 2 2 2 2 4 2 2" xfId="41303" xr:uid="{00000000-0005-0000-0000-000094000000}"/>
    <cellStyle name="20% - Accent1 2 2 2 2 2 4 3" xfId="30002" xr:uid="{00000000-0005-0000-0000-000095000000}"/>
    <cellStyle name="20% - Accent1 2 2 2 2 2 5" xfId="13051" xr:uid="{00000000-0005-0000-0000-000096000000}"/>
    <cellStyle name="20% - Accent1 2 2 2 2 2 5 2" xfId="35653" xr:uid="{00000000-0005-0000-0000-000097000000}"/>
    <cellStyle name="20% - Accent1 2 2 2 2 2 6" xfId="24352" xr:uid="{00000000-0005-0000-0000-000098000000}"/>
    <cellStyle name="20% - Accent1 2 2 2 2 3" xfId="2741" xr:uid="{00000000-0005-0000-0000-000099000000}"/>
    <cellStyle name="20% - Accent1 2 2 2 2 3 2" xfId="5760" xr:uid="{00000000-0005-0000-0000-00009A000000}"/>
    <cellStyle name="20% - Accent1 2 2 2 2 3 2 2" xfId="11410" xr:uid="{00000000-0005-0000-0000-00009B000000}"/>
    <cellStyle name="20% - Accent1 2 2 2 2 3 2 2 2" xfId="22711" xr:uid="{00000000-0005-0000-0000-00009C000000}"/>
    <cellStyle name="20% - Accent1 2 2 2 2 3 2 2 2 2" xfId="45313" xr:uid="{00000000-0005-0000-0000-00009D000000}"/>
    <cellStyle name="20% - Accent1 2 2 2 2 3 2 2 3" xfId="34012" xr:uid="{00000000-0005-0000-0000-00009E000000}"/>
    <cellStyle name="20% - Accent1 2 2 2 2 3 2 3" xfId="17061" xr:uid="{00000000-0005-0000-0000-00009F000000}"/>
    <cellStyle name="20% - Accent1 2 2 2 2 3 2 3 2" xfId="39663" xr:uid="{00000000-0005-0000-0000-0000A0000000}"/>
    <cellStyle name="20% - Accent1 2 2 2 2 3 2 4" xfId="28362" xr:uid="{00000000-0005-0000-0000-0000A1000000}"/>
    <cellStyle name="20% - Accent1 2 2 2 2 3 3" xfId="8577" xr:uid="{00000000-0005-0000-0000-0000A2000000}"/>
    <cellStyle name="20% - Accent1 2 2 2 2 3 3 2" xfId="19878" xr:uid="{00000000-0005-0000-0000-0000A3000000}"/>
    <cellStyle name="20% - Accent1 2 2 2 2 3 3 2 2" xfId="42480" xr:uid="{00000000-0005-0000-0000-0000A4000000}"/>
    <cellStyle name="20% - Accent1 2 2 2 2 3 3 3" xfId="31179" xr:uid="{00000000-0005-0000-0000-0000A5000000}"/>
    <cellStyle name="20% - Accent1 2 2 2 2 3 4" xfId="14228" xr:uid="{00000000-0005-0000-0000-0000A6000000}"/>
    <cellStyle name="20% - Accent1 2 2 2 2 3 4 2" xfId="36830" xr:uid="{00000000-0005-0000-0000-0000A7000000}"/>
    <cellStyle name="20% - Accent1 2 2 2 2 3 5" xfId="25529" xr:uid="{00000000-0005-0000-0000-0000A8000000}"/>
    <cellStyle name="20% - Accent1 2 2 2 2 4" xfId="4526" xr:uid="{00000000-0005-0000-0000-0000A9000000}"/>
    <cellStyle name="20% - Accent1 2 2 2 2 4 2" xfId="10176" xr:uid="{00000000-0005-0000-0000-0000AA000000}"/>
    <cellStyle name="20% - Accent1 2 2 2 2 4 2 2" xfId="21477" xr:uid="{00000000-0005-0000-0000-0000AB000000}"/>
    <cellStyle name="20% - Accent1 2 2 2 2 4 2 2 2" xfId="44079" xr:uid="{00000000-0005-0000-0000-0000AC000000}"/>
    <cellStyle name="20% - Accent1 2 2 2 2 4 2 3" xfId="32778" xr:uid="{00000000-0005-0000-0000-0000AD000000}"/>
    <cellStyle name="20% - Accent1 2 2 2 2 4 3" xfId="15827" xr:uid="{00000000-0005-0000-0000-0000AE000000}"/>
    <cellStyle name="20% - Accent1 2 2 2 2 4 3 2" xfId="38429" xr:uid="{00000000-0005-0000-0000-0000AF000000}"/>
    <cellStyle name="20% - Accent1 2 2 2 2 4 4" xfId="27128" xr:uid="{00000000-0005-0000-0000-0000B0000000}"/>
    <cellStyle name="20% - Accent1 2 2 2 2 5" xfId="7322" xr:uid="{00000000-0005-0000-0000-0000B1000000}"/>
    <cellStyle name="20% - Accent1 2 2 2 2 5 2" xfId="18623" xr:uid="{00000000-0005-0000-0000-0000B2000000}"/>
    <cellStyle name="20% - Accent1 2 2 2 2 5 2 2" xfId="41225" xr:uid="{00000000-0005-0000-0000-0000B3000000}"/>
    <cellStyle name="20% - Accent1 2 2 2 2 5 3" xfId="29924" xr:uid="{00000000-0005-0000-0000-0000B4000000}"/>
    <cellStyle name="20% - Accent1 2 2 2 2 6" xfId="12973" xr:uid="{00000000-0005-0000-0000-0000B5000000}"/>
    <cellStyle name="20% - Accent1 2 2 2 2 6 2" xfId="35575" xr:uid="{00000000-0005-0000-0000-0000B6000000}"/>
    <cellStyle name="20% - Accent1 2 2 2 2 7" xfId="24274" xr:uid="{00000000-0005-0000-0000-0000B7000000}"/>
    <cellStyle name="20% - Accent1 2 2 2 3" xfId="1041" xr:uid="{00000000-0005-0000-0000-0000B8000000}"/>
    <cellStyle name="20% - Accent1 2 2 2 3 2" xfId="3104" xr:uid="{00000000-0005-0000-0000-0000B9000000}"/>
    <cellStyle name="20% - Accent1 2 2 2 3 2 2" xfId="6076" xr:uid="{00000000-0005-0000-0000-0000BA000000}"/>
    <cellStyle name="20% - Accent1 2 2 2 3 2 2 2" xfId="11726" xr:uid="{00000000-0005-0000-0000-0000BB000000}"/>
    <cellStyle name="20% - Accent1 2 2 2 3 2 2 2 2" xfId="23027" xr:uid="{00000000-0005-0000-0000-0000BC000000}"/>
    <cellStyle name="20% - Accent1 2 2 2 3 2 2 2 2 2" xfId="45629" xr:uid="{00000000-0005-0000-0000-0000BD000000}"/>
    <cellStyle name="20% - Accent1 2 2 2 3 2 2 2 3" xfId="34328" xr:uid="{00000000-0005-0000-0000-0000BE000000}"/>
    <cellStyle name="20% - Accent1 2 2 2 3 2 2 3" xfId="17377" xr:uid="{00000000-0005-0000-0000-0000BF000000}"/>
    <cellStyle name="20% - Accent1 2 2 2 3 2 2 3 2" xfId="39979" xr:uid="{00000000-0005-0000-0000-0000C0000000}"/>
    <cellStyle name="20% - Accent1 2 2 2 3 2 2 4" xfId="28678" xr:uid="{00000000-0005-0000-0000-0000C1000000}"/>
    <cellStyle name="20% - Accent1 2 2 2 3 2 3" xfId="8894" xr:uid="{00000000-0005-0000-0000-0000C2000000}"/>
    <cellStyle name="20% - Accent1 2 2 2 3 2 3 2" xfId="20195" xr:uid="{00000000-0005-0000-0000-0000C3000000}"/>
    <cellStyle name="20% - Accent1 2 2 2 3 2 3 2 2" xfId="42797" xr:uid="{00000000-0005-0000-0000-0000C4000000}"/>
    <cellStyle name="20% - Accent1 2 2 2 3 2 3 3" xfId="31496" xr:uid="{00000000-0005-0000-0000-0000C5000000}"/>
    <cellStyle name="20% - Accent1 2 2 2 3 2 4" xfId="14545" xr:uid="{00000000-0005-0000-0000-0000C6000000}"/>
    <cellStyle name="20% - Accent1 2 2 2 3 2 4 2" xfId="37147" xr:uid="{00000000-0005-0000-0000-0000C7000000}"/>
    <cellStyle name="20% - Accent1 2 2 2 3 2 5" xfId="25846" xr:uid="{00000000-0005-0000-0000-0000C8000000}"/>
    <cellStyle name="20% - Accent1 2 2 2 3 3" xfId="4842" xr:uid="{00000000-0005-0000-0000-0000C9000000}"/>
    <cellStyle name="20% - Accent1 2 2 2 3 3 2" xfId="10492" xr:uid="{00000000-0005-0000-0000-0000CA000000}"/>
    <cellStyle name="20% - Accent1 2 2 2 3 3 2 2" xfId="21793" xr:uid="{00000000-0005-0000-0000-0000CB000000}"/>
    <cellStyle name="20% - Accent1 2 2 2 3 3 2 2 2" xfId="44395" xr:uid="{00000000-0005-0000-0000-0000CC000000}"/>
    <cellStyle name="20% - Accent1 2 2 2 3 3 2 3" xfId="33094" xr:uid="{00000000-0005-0000-0000-0000CD000000}"/>
    <cellStyle name="20% - Accent1 2 2 2 3 3 3" xfId="16143" xr:uid="{00000000-0005-0000-0000-0000CE000000}"/>
    <cellStyle name="20% - Accent1 2 2 2 3 3 3 2" xfId="38745" xr:uid="{00000000-0005-0000-0000-0000CF000000}"/>
    <cellStyle name="20% - Accent1 2 2 2 3 3 4" xfId="27444" xr:uid="{00000000-0005-0000-0000-0000D0000000}"/>
    <cellStyle name="20% - Accent1 2 2 2 3 4" xfId="7029" xr:uid="{00000000-0005-0000-0000-0000D1000000}"/>
    <cellStyle name="20% - Accent1 2 2 2 3 4 2" xfId="18330" xr:uid="{00000000-0005-0000-0000-0000D2000000}"/>
    <cellStyle name="20% - Accent1 2 2 2 3 4 2 2" xfId="40932" xr:uid="{00000000-0005-0000-0000-0000D3000000}"/>
    <cellStyle name="20% - Accent1 2 2 2 3 4 3" xfId="29631" xr:uid="{00000000-0005-0000-0000-0000D4000000}"/>
    <cellStyle name="20% - Accent1 2 2 2 3 5" xfId="12680" xr:uid="{00000000-0005-0000-0000-0000D5000000}"/>
    <cellStyle name="20% - Accent1 2 2 2 3 5 2" xfId="35282" xr:uid="{00000000-0005-0000-0000-0000D6000000}"/>
    <cellStyle name="20% - Accent1 2 2 2 3 6" xfId="23981" xr:uid="{00000000-0005-0000-0000-0000D7000000}"/>
    <cellStyle name="20% - Accent1 2 2 2 4" xfId="1543" xr:uid="{00000000-0005-0000-0000-0000D8000000}"/>
    <cellStyle name="20% - Accent1 2 2 2 4 2" xfId="3498" xr:uid="{00000000-0005-0000-0000-0000D9000000}"/>
    <cellStyle name="20% - Accent1 2 2 2 4 2 2" xfId="9273" xr:uid="{00000000-0005-0000-0000-0000DA000000}"/>
    <cellStyle name="20% - Accent1 2 2 2 4 2 2 2" xfId="20574" xr:uid="{00000000-0005-0000-0000-0000DB000000}"/>
    <cellStyle name="20% - Accent1 2 2 2 4 2 2 2 2" xfId="43176" xr:uid="{00000000-0005-0000-0000-0000DC000000}"/>
    <cellStyle name="20% - Accent1 2 2 2 4 2 2 3" xfId="31875" xr:uid="{00000000-0005-0000-0000-0000DD000000}"/>
    <cellStyle name="20% - Accent1 2 2 2 4 2 3" xfId="14924" xr:uid="{00000000-0005-0000-0000-0000DE000000}"/>
    <cellStyle name="20% - Accent1 2 2 2 4 2 3 2" xfId="37526" xr:uid="{00000000-0005-0000-0000-0000DF000000}"/>
    <cellStyle name="20% - Accent1 2 2 2 4 2 4" xfId="26225" xr:uid="{00000000-0005-0000-0000-0000E0000000}"/>
    <cellStyle name="20% - Accent1 2 2 2 4 3" xfId="5452" xr:uid="{00000000-0005-0000-0000-0000E1000000}"/>
    <cellStyle name="20% - Accent1 2 2 2 4 3 2" xfId="11102" xr:uid="{00000000-0005-0000-0000-0000E2000000}"/>
    <cellStyle name="20% - Accent1 2 2 2 4 3 2 2" xfId="22403" xr:uid="{00000000-0005-0000-0000-0000E3000000}"/>
    <cellStyle name="20% - Accent1 2 2 2 4 3 2 2 2" xfId="45005" xr:uid="{00000000-0005-0000-0000-0000E4000000}"/>
    <cellStyle name="20% - Accent1 2 2 2 4 3 2 3" xfId="33704" xr:uid="{00000000-0005-0000-0000-0000E5000000}"/>
    <cellStyle name="20% - Accent1 2 2 2 4 3 3" xfId="16753" xr:uid="{00000000-0005-0000-0000-0000E6000000}"/>
    <cellStyle name="20% - Accent1 2 2 2 4 3 3 2" xfId="39355" xr:uid="{00000000-0005-0000-0000-0000E7000000}"/>
    <cellStyle name="20% - Accent1 2 2 2 4 3 4" xfId="28054" xr:uid="{00000000-0005-0000-0000-0000E8000000}"/>
    <cellStyle name="20% - Accent1 2 2 2 4 4" xfId="7399" xr:uid="{00000000-0005-0000-0000-0000E9000000}"/>
    <cellStyle name="20% - Accent1 2 2 2 4 4 2" xfId="18700" xr:uid="{00000000-0005-0000-0000-0000EA000000}"/>
    <cellStyle name="20% - Accent1 2 2 2 4 4 2 2" xfId="41302" xr:uid="{00000000-0005-0000-0000-0000EB000000}"/>
    <cellStyle name="20% - Accent1 2 2 2 4 4 3" xfId="30001" xr:uid="{00000000-0005-0000-0000-0000EC000000}"/>
    <cellStyle name="20% - Accent1 2 2 2 4 5" xfId="13050" xr:uid="{00000000-0005-0000-0000-0000ED000000}"/>
    <cellStyle name="20% - Accent1 2 2 2 4 5 2" xfId="35652" xr:uid="{00000000-0005-0000-0000-0000EE000000}"/>
    <cellStyle name="20% - Accent1 2 2 2 4 6" xfId="24351" xr:uid="{00000000-0005-0000-0000-0000EF000000}"/>
    <cellStyle name="20% - Accent1 2 2 2 5" xfId="2433" xr:uid="{00000000-0005-0000-0000-0000F0000000}"/>
    <cellStyle name="20% - Accent1 2 2 2 5 2" xfId="8269" xr:uid="{00000000-0005-0000-0000-0000F1000000}"/>
    <cellStyle name="20% - Accent1 2 2 2 5 2 2" xfId="19570" xr:uid="{00000000-0005-0000-0000-0000F2000000}"/>
    <cellStyle name="20% - Accent1 2 2 2 5 2 2 2" xfId="42172" xr:uid="{00000000-0005-0000-0000-0000F3000000}"/>
    <cellStyle name="20% - Accent1 2 2 2 5 2 3" xfId="30871" xr:uid="{00000000-0005-0000-0000-0000F4000000}"/>
    <cellStyle name="20% - Accent1 2 2 2 5 3" xfId="13920" xr:uid="{00000000-0005-0000-0000-0000F5000000}"/>
    <cellStyle name="20% - Accent1 2 2 2 5 3 2" xfId="36522" xr:uid="{00000000-0005-0000-0000-0000F6000000}"/>
    <cellStyle name="20% - Accent1 2 2 2 5 4" xfId="25221" xr:uid="{00000000-0005-0000-0000-0000F7000000}"/>
    <cellStyle name="20% - Accent1 2 2 2 6" xfId="4218" xr:uid="{00000000-0005-0000-0000-0000F8000000}"/>
    <cellStyle name="20% - Accent1 2 2 2 6 2" xfId="9868" xr:uid="{00000000-0005-0000-0000-0000F9000000}"/>
    <cellStyle name="20% - Accent1 2 2 2 6 2 2" xfId="21169" xr:uid="{00000000-0005-0000-0000-0000FA000000}"/>
    <cellStyle name="20% - Accent1 2 2 2 6 2 2 2" xfId="43771" xr:uid="{00000000-0005-0000-0000-0000FB000000}"/>
    <cellStyle name="20% - Accent1 2 2 2 6 2 3" xfId="32470" xr:uid="{00000000-0005-0000-0000-0000FC000000}"/>
    <cellStyle name="20% - Accent1 2 2 2 6 3" xfId="15519" xr:uid="{00000000-0005-0000-0000-0000FD000000}"/>
    <cellStyle name="20% - Accent1 2 2 2 6 3 2" xfId="38121" xr:uid="{00000000-0005-0000-0000-0000FE000000}"/>
    <cellStyle name="20% - Accent1 2 2 2 6 4" xfId="26820" xr:uid="{00000000-0005-0000-0000-0000FF000000}"/>
    <cellStyle name="20% - Accent1 2 2 2 7" xfId="6698" xr:uid="{00000000-0005-0000-0000-000000010000}"/>
    <cellStyle name="20% - Accent1 2 2 2 7 2" xfId="17999" xr:uid="{00000000-0005-0000-0000-000001010000}"/>
    <cellStyle name="20% - Accent1 2 2 2 7 2 2" xfId="40601" xr:uid="{00000000-0005-0000-0000-000002010000}"/>
    <cellStyle name="20% - Accent1 2 2 2 7 3" xfId="29300" xr:uid="{00000000-0005-0000-0000-000003010000}"/>
    <cellStyle name="20% - Accent1 2 2 2 8" xfId="12349" xr:uid="{00000000-0005-0000-0000-000004010000}"/>
    <cellStyle name="20% - Accent1 2 2 2 8 2" xfId="34951" xr:uid="{00000000-0005-0000-0000-000005010000}"/>
    <cellStyle name="20% - Accent1 2 2 2 9" xfId="23650" xr:uid="{00000000-0005-0000-0000-000006010000}"/>
    <cellStyle name="20% - Accent1 2 2 3" xfId="1205" xr:uid="{00000000-0005-0000-0000-000007010000}"/>
    <cellStyle name="20% - Accent1 2 2 3 2" xfId="1545" xr:uid="{00000000-0005-0000-0000-000008010000}"/>
    <cellStyle name="20% - Accent1 2 2 3 2 2" xfId="3273" xr:uid="{00000000-0005-0000-0000-000009010000}"/>
    <cellStyle name="20% - Accent1 2 2 3 2 2 2" xfId="6245" xr:uid="{00000000-0005-0000-0000-00000A010000}"/>
    <cellStyle name="20% - Accent1 2 2 3 2 2 2 2" xfId="11895" xr:uid="{00000000-0005-0000-0000-00000B010000}"/>
    <cellStyle name="20% - Accent1 2 2 3 2 2 2 2 2" xfId="23196" xr:uid="{00000000-0005-0000-0000-00000C010000}"/>
    <cellStyle name="20% - Accent1 2 2 3 2 2 2 2 2 2" xfId="45798" xr:uid="{00000000-0005-0000-0000-00000D010000}"/>
    <cellStyle name="20% - Accent1 2 2 3 2 2 2 2 3" xfId="34497" xr:uid="{00000000-0005-0000-0000-00000E010000}"/>
    <cellStyle name="20% - Accent1 2 2 3 2 2 2 3" xfId="17546" xr:uid="{00000000-0005-0000-0000-00000F010000}"/>
    <cellStyle name="20% - Accent1 2 2 3 2 2 2 3 2" xfId="40148" xr:uid="{00000000-0005-0000-0000-000010010000}"/>
    <cellStyle name="20% - Accent1 2 2 3 2 2 2 4" xfId="28847" xr:uid="{00000000-0005-0000-0000-000011010000}"/>
    <cellStyle name="20% - Accent1 2 2 3 2 2 3" xfId="9063" xr:uid="{00000000-0005-0000-0000-000012010000}"/>
    <cellStyle name="20% - Accent1 2 2 3 2 2 3 2" xfId="20364" xr:uid="{00000000-0005-0000-0000-000013010000}"/>
    <cellStyle name="20% - Accent1 2 2 3 2 2 3 2 2" xfId="42966" xr:uid="{00000000-0005-0000-0000-000014010000}"/>
    <cellStyle name="20% - Accent1 2 2 3 2 2 3 3" xfId="31665" xr:uid="{00000000-0005-0000-0000-000015010000}"/>
    <cellStyle name="20% - Accent1 2 2 3 2 2 4" xfId="14714" xr:uid="{00000000-0005-0000-0000-000016010000}"/>
    <cellStyle name="20% - Accent1 2 2 3 2 2 4 2" xfId="37316" xr:uid="{00000000-0005-0000-0000-000017010000}"/>
    <cellStyle name="20% - Accent1 2 2 3 2 2 5" xfId="26015" xr:uid="{00000000-0005-0000-0000-000018010000}"/>
    <cellStyle name="20% - Accent1 2 2 3 2 3" xfId="5011" xr:uid="{00000000-0005-0000-0000-000019010000}"/>
    <cellStyle name="20% - Accent1 2 2 3 2 3 2" xfId="10661" xr:uid="{00000000-0005-0000-0000-00001A010000}"/>
    <cellStyle name="20% - Accent1 2 2 3 2 3 2 2" xfId="21962" xr:uid="{00000000-0005-0000-0000-00001B010000}"/>
    <cellStyle name="20% - Accent1 2 2 3 2 3 2 2 2" xfId="44564" xr:uid="{00000000-0005-0000-0000-00001C010000}"/>
    <cellStyle name="20% - Accent1 2 2 3 2 3 2 3" xfId="33263" xr:uid="{00000000-0005-0000-0000-00001D010000}"/>
    <cellStyle name="20% - Accent1 2 2 3 2 3 3" xfId="16312" xr:uid="{00000000-0005-0000-0000-00001E010000}"/>
    <cellStyle name="20% - Accent1 2 2 3 2 3 3 2" xfId="38914" xr:uid="{00000000-0005-0000-0000-00001F010000}"/>
    <cellStyle name="20% - Accent1 2 2 3 2 3 4" xfId="27613" xr:uid="{00000000-0005-0000-0000-000020010000}"/>
    <cellStyle name="20% - Accent1 2 2 3 2 4" xfId="7401" xr:uid="{00000000-0005-0000-0000-000021010000}"/>
    <cellStyle name="20% - Accent1 2 2 3 2 4 2" xfId="18702" xr:uid="{00000000-0005-0000-0000-000022010000}"/>
    <cellStyle name="20% - Accent1 2 2 3 2 4 2 2" xfId="41304" xr:uid="{00000000-0005-0000-0000-000023010000}"/>
    <cellStyle name="20% - Accent1 2 2 3 2 4 3" xfId="30003" xr:uid="{00000000-0005-0000-0000-000024010000}"/>
    <cellStyle name="20% - Accent1 2 2 3 2 5" xfId="13052" xr:uid="{00000000-0005-0000-0000-000025010000}"/>
    <cellStyle name="20% - Accent1 2 2 3 2 5 2" xfId="35654" xr:uid="{00000000-0005-0000-0000-000026010000}"/>
    <cellStyle name="20% - Accent1 2 2 3 2 6" xfId="24353" xr:uid="{00000000-0005-0000-0000-000027010000}"/>
    <cellStyle name="20% - Accent1 2 2 3 3" xfId="2602" xr:uid="{00000000-0005-0000-0000-000028010000}"/>
    <cellStyle name="20% - Accent1 2 2 3 3 2" xfId="5621" xr:uid="{00000000-0005-0000-0000-000029010000}"/>
    <cellStyle name="20% - Accent1 2 2 3 3 2 2" xfId="11271" xr:uid="{00000000-0005-0000-0000-00002A010000}"/>
    <cellStyle name="20% - Accent1 2 2 3 3 2 2 2" xfId="22572" xr:uid="{00000000-0005-0000-0000-00002B010000}"/>
    <cellStyle name="20% - Accent1 2 2 3 3 2 2 2 2" xfId="45174" xr:uid="{00000000-0005-0000-0000-00002C010000}"/>
    <cellStyle name="20% - Accent1 2 2 3 3 2 2 3" xfId="33873" xr:uid="{00000000-0005-0000-0000-00002D010000}"/>
    <cellStyle name="20% - Accent1 2 2 3 3 2 3" xfId="16922" xr:uid="{00000000-0005-0000-0000-00002E010000}"/>
    <cellStyle name="20% - Accent1 2 2 3 3 2 3 2" xfId="39524" xr:uid="{00000000-0005-0000-0000-00002F010000}"/>
    <cellStyle name="20% - Accent1 2 2 3 3 2 4" xfId="28223" xr:uid="{00000000-0005-0000-0000-000030010000}"/>
    <cellStyle name="20% - Accent1 2 2 3 3 3" xfId="8438" xr:uid="{00000000-0005-0000-0000-000031010000}"/>
    <cellStyle name="20% - Accent1 2 2 3 3 3 2" xfId="19739" xr:uid="{00000000-0005-0000-0000-000032010000}"/>
    <cellStyle name="20% - Accent1 2 2 3 3 3 2 2" xfId="42341" xr:uid="{00000000-0005-0000-0000-000033010000}"/>
    <cellStyle name="20% - Accent1 2 2 3 3 3 3" xfId="31040" xr:uid="{00000000-0005-0000-0000-000034010000}"/>
    <cellStyle name="20% - Accent1 2 2 3 3 4" xfId="14089" xr:uid="{00000000-0005-0000-0000-000035010000}"/>
    <cellStyle name="20% - Accent1 2 2 3 3 4 2" xfId="36691" xr:uid="{00000000-0005-0000-0000-000036010000}"/>
    <cellStyle name="20% - Accent1 2 2 3 3 5" xfId="25390" xr:uid="{00000000-0005-0000-0000-000037010000}"/>
    <cellStyle name="20% - Accent1 2 2 3 4" xfId="4387" xr:uid="{00000000-0005-0000-0000-000038010000}"/>
    <cellStyle name="20% - Accent1 2 2 3 4 2" xfId="10037" xr:uid="{00000000-0005-0000-0000-000039010000}"/>
    <cellStyle name="20% - Accent1 2 2 3 4 2 2" xfId="21338" xr:uid="{00000000-0005-0000-0000-00003A010000}"/>
    <cellStyle name="20% - Accent1 2 2 3 4 2 2 2" xfId="43940" xr:uid="{00000000-0005-0000-0000-00003B010000}"/>
    <cellStyle name="20% - Accent1 2 2 3 4 2 3" xfId="32639" xr:uid="{00000000-0005-0000-0000-00003C010000}"/>
    <cellStyle name="20% - Accent1 2 2 3 4 3" xfId="15688" xr:uid="{00000000-0005-0000-0000-00003D010000}"/>
    <cellStyle name="20% - Accent1 2 2 3 4 3 2" xfId="38290" xr:uid="{00000000-0005-0000-0000-00003E010000}"/>
    <cellStyle name="20% - Accent1 2 2 3 4 4" xfId="26989" xr:uid="{00000000-0005-0000-0000-00003F010000}"/>
    <cellStyle name="20% - Accent1 2 2 3 5" xfId="7184" xr:uid="{00000000-0005-0000-0000-000040010000}"/>
    <cellStyle name="20% - Accent1 2 2 3 5 2" xfId="18485" xr:uid="{00000000-0005-0000-0000-000041010000}"/>
    <cellStyle name="20% - Accent1 2 2 3 5 2 2" xfId="41087" xr:uid="{00000000-0005-0000-0000-000042010000}"/>
    <cellStyle name="20% - Accent1 2 2 3 5 3" xfId="29786" xr:uid="{00000000-0005-0000-0000-000043010000}"/>
    <cellStyle name="20% - Accent1 2 2 3 6" xfId="12835" xr:uid="{00000000-0005-0000-0000-000044010000}"/>
    <cellStyle name="20% - Accent1 2 2 3 6 2" xfId="35437" xr:uid="{00000000-0005-0000-0000-000045010000}"/>
    <cellStyle name="20% - Accent1 2 2 3 7" xfId="24136" xr:uid="{00000000-0005-0000-0000-000046010000}"/>
    <cellStyle name="20% - Accent1 2 2 4" xfId="895" xr:uid="{00000000-0005-0000-0000-000047010000}"/>
    <cellStyle name="20% - Accent1 2 2 4 2" xfId="2966" xr:uid="{00000000-0005-0000-0000-000048010000}"/>
    <cellStyle name="20% - Accent1 2 2 4 2 2" xfId="5938" xr:uid="{00000000-0005-0000-0000-000049010000}"/>
    <cellStyle name="20% - Accent1 2 2 4 2 2 2" xfId="11588" xr:uid="{00000000-0005-0000-0000-00004A010000}"/>
    <cellStyle name="20% - Accent1 2 2 4 2 2 2 2" xfId="22889" xr:uid="{00000000-0005-0000-0000-00004B010000}"/>
    <cellStyle name="20% - Accent1 2 2 4 2 2 2 2 2" xfId="45491" xr:uid="{00000000-0005-0000-0000-00004C010000}"/>
    <cellStyle name="20% - Accent1 2 2 4 2 2 2 3" xfId="34190" xr:uid="{00000000-0005-0000-0000-00004D010000}"/>
    <cellStyle name="20% - Accent1 2 2 4 2 2 3" xfId="17239" xr:uid="{00000000-0005-0000-0000-00004E010000}"/>
    <cellStyle name="20% - Accent1 2 2 4 2 2 3 2" xfId="39841" xr:uid="{00000000-0005-0000-0000-00004F010000}"/>
    <cellStyle name="20% - Accent1 2 2 4 2 2 4" xfId="28540" xr:uid="{00000000-0005-0000-0000-000050010000}"/>
    <cellStyle name="20% - Accent1 2 2 4 2 3" xfId="8756" xr:uid="{00000000-0005-0000-0000-000051010000}"/>
    <cellStyle name="20% - Accent1 2 2 4 2 3 2" xfId="20057" xr:uid="{00000000-0005-0000-0000-000052010000}"/>
    <cellStyle name="20% - Accent1 2 2 4 2 3 2 2" xfId="42659" xr:uid="{00000000-0005-0000-0000-000053010000}"/>
    <cellStyle name="20% - Accent1 2 2 4 2 3 3" xfId="31358" xr:uid="{00000000-0005-0000-0000-000054010000}"/>
    <cellStyle name="20% - Accent1 2 2 4 2 4" xfId="14407" xr:uid="{00000000-0005-0000-0000-000055010000}"/>
    <cellStyle name="20% - Accent1 2 2 4 2 4 2" xfId="37009" xr:uid="{00000000-0005-0000-0000-000056010000}"/>
    <cellStyle name="20% - Accent1 2 2 4 2 5" xfId="25708" xr:uid="{00000000-0005-0000-0000-000057010000}"/>
    <cellStyle name="20% - Accent1 2 2 4 3" xfId="4704" xr:uid="{00000000-0005-0000-0000-000058010000}"/>
    <cellStyle name="20% - Accent1 2 2 4 3 2" xfId="10354" xr:uid="{00000000-0005-0000-0000-000059010000}"/>
    <cellStyle name="20% - Accent1 2 2 4 3 2 2" xfId="21655" xr:uid="{00000000-0005-0000-0000-00005A010000}"/>
    <cellStyle name="20% - Accent1 2 2 4 3 2 2 2" xfId="44257" xr:uid="{00000000-0005-0000-0000-00005B010000}"/>
    <cellStyle name="20% - Accent1 2 2 4 3 2 3" xfId="32956" xr:uid="{00000000-0005-0000-0000-00005C010000}"/>
    <cellStyle name="20% - Accent1 2 2 4 3 3" xfId="16005" xr:uid="{00000000-0005-0000-0000-00005D010000}"/>
    <cellStyle name="20% - Accent1 2 2 4 3 3 2" xfId="38607" xr:uid="{00000000-0005-0000-0000-00005E010000}"/>
    <cellStyle name="20% - Accent1 2 2 4 3 4" xfId="27306" xr:uid="{00000000-0005-0000-0000-00005F010000}"/>
    <cellStyle name="20% - Accent1 2 2 4 4" xfId="6891" xr:uid="{00000000-0005-0000-0000-000060010000}"/>
    <cellStyle name="20% - Accent1 2 2 4 4 2" xfId="18192" xr:uid="{00000000-0005-0000-0000-000061010000}"/>
    <cellStyle name="20% - Accent1 2 2 4 4 2 2" xfId="40794" xr:uid="{00000000-0005-0000-0000-000062010000}"/>
    <cellStyle name="20% - Accent1 2 2 4 4 3" xfId="29493" xr:uid="{00000000-0005-0000-0000-000063010000}"/>
    <cellStyle name="20% - Accent1 2 2 4 5" xfId="12542" xr:uid="{00000000-0005-0000-0000-000064010000}"/>
    <cellStyle name="20% - Accent1 2 2 4 5 2" xfId="35144" xr:uid="{00000000-0005-0000-0000-000065010000}"/>
    <cellStyle name="20% - Accent1 2 2 4 6" xfId="23843" xr:uid="{00000000-0005-0000-0000-000066010000}"/>
    <cellStyle name="20% - Accent1 2 2 5" xfId="1542" xr:uid="{00000000-0005-0000-0000-000067010000}"/>
    <cellStyle name="20% - Accent1 2 2 5 2" xfId="3513" xr:uid="{00000000-0005-0000-0000-000068010000}"/>
    <cellStyle name="20% - Accent1 2 2 5 2 2" xfId="9278" xr:uid="{00000000-0005-0000-0000-000069010000}"/>
    <cellStyle name="20% - Accent1 2 2 5 2 2 2" xfId="20579" xr:uid="{00000000-0005-0000-0000-00006A010000}"/>
    <cellStyle name="20% - Accent1 2 2 5 2 2 2 2" xfId="43181" xr:uid="{00000000-0005-0000-0000-00006B010000}"/>
    <cellStyle name="20% - Accent1 2 2 5 2 2 3" xfId="31880" xr:uid="{00000000-0005-0000-0000-00006C010000}"/>
    <cellStyle name="20% - Accent1 2 2 5 2 3" xfId="14929" xr:uid="{00000000-0005-0000-0000-00006D010000}"/>
    <cellStyle name="20% - Accent1 2 2 5 2 3 2" xfId="37531" xr:uid="{00000000-0005-0000-0000-00006E010000}"/>
    <cellStyle name="20% - Accent1 2 2 5 2 4" xfId="26230" xr:uid="{00000000-0005-0000-0000-00006F010000}"/>
    <cellStyle name="20% - Accent1 2 2 5 3" xfId="5314" xr:uid="{00000000-0005-0000-0000-000070010000}"/>
    <cellStyle name="20% - Accent1 2 2 5 3 2" xfId="10964" xr:uid="{00000000-0005-0000-0000-000071010000}"/>
    <cellStyle name="20% - Accent1 2 2 5 3 2 2" xfId="22265" xr:uid="{00000000-0005-0000-0000-000072010000}"/>
    <cellStyle name="20% - Accent1 2 2 5 3 2 2 2" xfId="44867" xr:uid="{00000000-0005-0000-0000-000073010000}"/>
    <cellStyle name="20% - Accent1 2 2 5 3 2 3" xfId="33566" xr:uid="{00000000-0005-0000-0000-000074010000}"/>
    <cellStyle name="20% - Accent1 2 2 5 3 3" xfId="16615" xr:uid="{00000000-0005-0000-0000-000075010000}"/>
    <cellStyle name="20% - Accent1 2 2 5 3 3 2" xfId="39217" xr:uid="{00000000-0005-0000-0000-000076010000}"/>
    <cellStyle name="20% - Accent1 2 2 5 3 4" xfId="27916" xr:uid="{00000000-0005-0000-0000-000077010000}"/>
    <cellStyle name="20% - Accent1 2 2 5 4" xfId="7398" xr:uid="{00000000-0005-0000-0000-000078010000}"/>
    <cellStyle name="20% - Accent1 2 2 5 4 2" xfId="18699" xr:uid="{00000000-0005-0000-0000-000079010000}"/>
    <cellStyle name="20% - Accent1 2 2 5 4 2 2" xfId="41301" xr:uid="{00000000-0005-0000-0000-00007A010000}"/>
    <cellStyle name="20% - Accent1 2 2 5 4 3" xfId="30000" xr:uid="{00000000-0005-0000-0000-00007B010000}"/>
    <cellStyle name="20% - Accent1 2 2 5 5" xfId="13049" xr:uid="{00000000-0005-0000-0000-00007C010000}"/>
    <cellStyle name="20% - Accent1 2 2 5 5 2" xfId="35651" xr:uid="{00000000-0005-0000-0000-00007D010000}"/>
    <cellStyle name="20% - Accent1 2 2 5 6" xfId="24350" xr:uid="{00000000-0005-0000-0000-00007E010000}"/>
    <cellStyle name="20% - Accent1 2 2 6" xfId="2293" xr:uid="{00000000-0005-0000-0000-00007F010000}"/>
    <cellStyle name="20% - Accent1 2 2 6 2" xfId="8129" xr:uid="{00000000-0005-0000-0000-000080010000}"/>
    <cellStyle name="20% - Accent1 2 2 6 2 2" xfId="19430" xr:uid="{00000000-0005-0000-0000-000081010000}"/>
    <cellStyle name="20% - Accent1 2 2 6 2 2 2" xfId="42032" xr:uid="{00000000-0005-0000-0000-000082010000}"/>
    <cellStyle name="20% - Accent1 2 2 6 2 3" xfId="30731" xr:uid="{00000000-0005-0000-0000-000083010000}"/>
    <cellStyle name="20% - Accent1 2 2 6 3" xfId="13780" xr:uid="{00000000-0005-0000-0000-000084010000}"/>
    <cellStyle name="20% - Accent1 2 2 6 3 2" xfId="36382" xr:uid="{00000000-0005-0000-0000-000085010000}"/>
    <cellStyle name="20% - Accent1 2 2 6 4" xfId="25081" xr:uid="{00000000-0005-0000-0000-000086010000}"/>
    <cellStyle name="20% - Accent1 2 2 7" xfId="4080" xr:uid="{00000000-0005-0000-0000-000087010000}"/>
    <cellStyle name="20% - Accent1 2 2 7 2" xfId="9730" xr:uid="{00000000-0005-0000-0000-000088010000}"/>
    <cellStyle name="20% - Accent1 2 2 7 2 2" xfId="21031" xr:uid="{00000000-0005-0000-0000-000089010000}"/>
    <cellStyle name="20% - Accent1 2 2 7 2 2 2" xfId="43633" xr:uid="{00000000-0005-0000-0000-00008A010000}"/>
    <cellStyle name="20% - Accent1 2 2 7 2 3" xfId="32332" xr:uid="{00000000-0005-0000-0000-00008B010000}"/>
    <cellStyle name="20% - Accent1 2 2 7 3" xfId="15381" xr:uid="{00000000-0005-0000-0000-00008C010000}"/>
    <cellStyle name="20% - Accent1 2 2 7 3 2" xfId="37983" xr:uid="{00000000-0005-0000-0000-00008D010000}"/>
    <cellStyle name="20% - Accent1 2 2 7 4" xfId="26682" xr:uid="{00000000-0005-0000-0000-00008E010000}"/>
    <cellStyle name="20% - Accent1 2 2 8" xfId="6531" xr:uid="{00000000-0005-0000-0000-00008F010000}"/>
    <cellStyle name="20% - Accent1 2 2 8 2" xfId="17832" xr:uid="{00000000-0005-0000-0000-000090010000}"/>
    <cellStyle name="20% - Accent1 2 2 8 2 2" xfId="40434" xr:uid="{00000000-0005-0000-0000-000091010000}"/>
    <cellStyle name="20% - Accent1 2 2 8 3" xfId="29133" xr:uid="{00000000-0005-0000-0000-000092010000}"/>
    <cellStyle name="20% - Accent1 2 2 9" xfId="12182" xr:uid="{00000000-0005-0000-0000-000093010000}"/>
    <cellStyle name="20% - Accent1 2 2 9 2" xfId="34784" xr:uid="{00000000-0005-0000-0000-000094010000}"/>
    <cellStyle name="20% - Accent1 2 3" xfId="2817" xr:uid="{00000000-0005-0000-0000-000095010000}"/>
    <cellStyle name="20% - Accent1 2 3 2" xfId="3889" xr:uid="{00000000-0005-0000-0000-000096010000}"/>
    <cellStyle name="20% - Accent1 2 3 2 2" xfId="5832" xr:uid="{00000000-0005-0000-0000-000097010000}"/>
    <cellStyle name="20% - Accent1 2 3 2 2 2" xfId="11482" xr:uid="{00000000-0005-0000-0000-000098010000}"/>
    <cellStyle name="20% - Accent1 2 3 2 2 2 2" xfId="22783" xr:uid="{00000000-0005-0000-0000-000099010000}"/>
    <cellStyle name="20% - Accent1 2 3 2 2 2 2 2" xfId="45385" xr:uid="{00000000-0005-0000-0000-00009A010000}"/>
    <cellStyle name="20% - Accent1 2 3 2 2 2 3" xfId="34084" xr:uid="{00000000-0005-0000-0000-00009B010000}"/>
    <cellStyle name="20% - Accent1 2 3 2 2 3" xfId="17133" xr:uid="{00000000-0005-0000-0000-00009C010000}"/>
    <cellStyle name="20% - Accent1 2 3 2 2 3 2" xfId="39735" xr:uid="{00000000-0005-0000-0000-00009D010000}"/>
    <cellStyle name="20% - Accent1 2 3 2 2 4" xfId="28434" xr:uid="{00000000-0005-0000-0000-00009E010000}"/>
    <cellStyle name="20% - Accent1 2 3 2 3" xfId="9597" xr:uid="{00000000-0005-0000-0000-00009F010000}"/>
    <cellStyle name="20% - Accent1 2 3 2 3 2" xfId="20898" xr:uid="{00000000-0005-0000-0000-0000A0010000}"/>
    <cellStyle name="20% - Accent1 2 3 2 3 2 2" xfId="43500" xr:uid="{00000000-0005-0000-0000-0000A1010000}"/>
    <cellStyle name="20% - Accent1 2 3 2 3 3" xfId="32199" xr:uid="{00000000-0005-0000-0000-0000A2010000}"/>
    <cellStyle name="20% - Accent1 2 3 2 4" xfId="15248" xr:uid="{00000000-0005-0000-0000-0000A3010000}"/>
    <cellStyle name="20% - Accent1 2 3 2 4 2" xfId="37850" xr:uid="{00000000-0005-0000-0000-0000A4010000}"/>
    <cellStyle name="20% - Accent1 2 3 2 5" xfId="26549" xr:uid="{00000000-0005-0000-0000-0000A5010000}"/>
    <cellStyle name="20% - Accent1 2 3 3" xfId="4598" xr:uid="{00000000-0005-0000-0000-0000A6010000}"/>
    <cellStyle name="20% - Accent1 2 3 3 2" xfId="10248" xr:uid="{00000000-0005-0000-0000-0000A7010000}"/>
    <cellStyle name="20% - Accent1 2 3 3 2 2" xfId="21549" xr:uid="{00000000-0005-0000-0000-0000A8010000}"/>
    <cellStyle name="20% - Accent1 2 3 3 2 2 2" xfId="44151" xr:uid="{00000000-0005-0000-0000-0000A9010000}"/>
    <cellStyle name="20% - Accent1 2 3 3 2 3" xfId="32850" xr:uid="{00000000-0005-0000-0000-0000AA010000}"/>
    <cellStyle name="20% - Accent1 2 3 3 3" xfId="15899" xr:uid="{00000000-0005-0000-0000-0000AB010000}"/>
    <cellStyle name="20% - Accent1 2 3 3 3 2" xfId="38501" xr:uid="{00000000-0005-0000-0000-0000AC010000}"/>
    <cellStyle name="20% - Accent1 2 3 3 4" xfId="27200" xr:uid="{00000000-0005-0000-0000-0000AD010000}"/>
    <cellStyle name="20% - Accent1 2 3 4" xfId="8650" xr:uid="{00000000-0005-0000-0000-0000AE010000}"/>
    <cellStyle name="20% - Accent1 2 3 4 2" xfId="19951" xr:uid="{00000000-0005-0000-0000-0000AF010000}"/>
    <cellStyle name="20% - Accent1 2 3 4 2 2" xfId="42553" xr:uid="{00000000-0005-0000-0000-0000B0010000}"/>
    <cellStyle name="20% - Accent1 2 3 4 3" xfId="31252" xr:uid="{00000000-0005-0000-0000-0000B1010000}"/>
    <cellStyle name="20% - Accent1 2 3 5" xfId="14301" xr:uid="{00000000-0005-0000-0000-0000B2010000}"/>
    <cellStyle name="20% - Accent1 2 3 5 2" xfId="36903" xr:uid="{00000000-0005-0000-0000-0000B3010000}"/>
    <cellStyle name="20% - Accent1 2 3 6" xfId="25602" xr:uid="{00000000-0005-0000-0000-0000B4010000}"/>
    <cellStyle name="20% - Accent1 2 4" xfId="2839" xr:uid="{00000000-0005-0000-0000-0000B5010000}"/>
    <cellStyle name="20% - Accent1 2 5" xfId="3901" xr:uid="{00000000-0005-0000-0000-0000B6010000}"/>
    <cellStyle name="20% - Accent1 2 5 2" xfId="9601" xr:uid="{00000000-0005-0000-0000-0000B7010000}"/>
    <cellStyle name="20% - Accent1 2 5 2 2" xfId="20902" xr:uid="{00000000-0005-0000-0000-0000B8010000}"/>
    <cellStyle name="20% - Accent1 2 5 2 2 2" xfId="43504" xr:uid="{00000000-0005-0000-0000-0000B9010000}"/>
    <cellStyle name="20% - Accent1 2 5 2 3" xfId="32203" xr:uid="{00000000-0005-0000-0000-0000BA010000}"/>
    <cellStyle name="20% - Accent1 2 5 3" xfId="15252" xr:uid="{00000000-0005-0000-0000-0000BB010000}"/>
    <cellStyle name="20% - Accent1 2 5 3 2" xfId="37854" xr:uid="{00000000-0005-0000-0000-0000BC010000}"/>
    <cellStyle name="20% - Accent1 2 5 4" xfId="26553" xr:uid="{00000000-0005-0000-0000-0000BD010000}"/>
    <cellStyle name="20% - Accent1 2 6" xfId="3920" xr:uid="{00000000-0005-0000-0000-0000BE010000}"/>
    <cellStyle name="20% - Accent1 2 7" xfId="159" xr:uid="{00000000-0005-0000-0000-0000BF010000}"/>
    <cellStyle name="20% - Accent1 3" xfId="210" xr:uid="{00000000-0005-0000-0000-0000C0010000}"/>
    <cellStyle name="20% - Accent1 3 2" xfId="342" xr:uid="{00000000-0005-0000-0000-0000C1010000}"/>
    <cellStyle name="20% - Accent1 3 2 10" xfId="23453" xr:uid="{00000000-0005-0000-0000-0000C2010000}"/>
    <cellStyle name="20% - Accent1 3 2 2" xfId="603" xr:uid="{00000000-0005-0000-0000-0000C3010000}"/>
    <cellStyle name="20% - Accent1 3 2 2 2" xfId="1313" xr:uid="{00000000-0005-0000-0000-0000C4010000}"/>
    <cellStyle name="20% - Accent1 3 2 2 2 2" xfId="1548" xr:uid="{00000000-0005-0000-0000-0000C5010000}"/>
    <cellStyle name="20% - Accent1 3 2 2 2 2 2" xfId="3382" xr:uid="{00000000-0005-0000-0000-0000C6010000}"/>
    <cellStyle name="20% - Accent1 3 2 2 2 2 2 2" xfId="6354" xr:uid="{00000000-0005-0000-0000-0000C7010000}"/>
    <cellStyle name="20% - Accent1 3 2 2 2 2 2 2 2" xfId="12004" xr:uid="{00000000-0005-0000-0000-0000C8010000}"/>
    <cellStyle name="20% - Accent1 3 2 2 2 2 2 2 2 2" xfId="23305" xr:uid="{00000000-0005-0000-0000-0000C9010000}"/>
    <cellStyle name="20% - Accent1 3 2 2 2 2 2 2 2 2 2" xfId="45907" xr:uid="{00000000-0005-0000-0000-0000CA010000}"/>
    <cellStyle name="20% - Accent1 3 2 2 2 2 2 2 2 3" xfId="34606" xr:uid="{00000000-0005-0000-0000-0000CB010000}"/>
    <cellStyle name="20% - Accent1 3 2 2 2 2 2 2 3" xfId="17655" xr:uid="{00000000-0005-0000-0000-0000CC010000}"/>
    <cellStyle name="20% - Accent1 3 2 2 2 2 2 2 3 2" xfId="40257" xr:uid="{00000000-0005-0000-0000-0000CD010000}"/>
    <cellStyle name="20% - Accent1 3 2 2 2 2 2 2 4" xfId="28956" xr:uid="{00000000-0005-0000-0000-0000CE010000}"/>
    <cellStyle name="20% - Accent1 3 2 2 2 2 2 3" xfId="9172" xr:uid="{00000000-0005-0000-0000-0000CF010000}"/>
    <cellStyle name="20% - Accent1 3 2 2 2 2 2 3 2" xfId="20473" xr:uid="{00000000-0005-0000-0000-0000D0010000}"/>
    <cellStyle name="20% - Accent1 3 2 2 2 2 2 3 2 2" xfId="43075" xr:uid="{00000000-0005-0000-0000-0000D1010000}"/>
    <cellStyle name="20% - Accent1 3 2 2 2 2 2 3 3" xfId="31774" xr:uid="{00000000-0005-0000-0000-0000D2010000}"/>
    <cellStyle name="20% - Accent1 3 2 2 2 2 2 4" xfId="14823" xr:uid="{00000000-0005-0000-0000-0000D3010000}"/>
    <cellStyle name="20% - Accent1 3 2 2 2 2 2 4 2" xfId="37425" xr:uid="{00000000-0005-0000-0000-0000D4010000}"/>
    <cellStyle name="20% - Accent1 3 2 2 2 2 2 5" xfId="26124" xr:uid="{00000000-0005-0000-0000-0000D5010000}"/>
    <cellStyle name="20% - Accent1 3 2 2 2 2 3" xfId="5120" xr:uid="{00000000-0005-0000-0000-0000D6010000}"/>
    <cellStyle name="20% - Accent1 3 2 2 2 2 3 2" xfId="10770" xr:uid="{00000000-0005-0000-0000-0000D7010000}"/>
    <cellStyle name="20% - Accent1 3 2 2 2 2 3 2 2" xfId="22071" xr:uid="{00000000-0005-0000-0000-0000D8010000}"/>
    <cellStyle name="20% - Accent1 3 2 2 2 2 3 2 2 2" xfId="44673" xr:uid="{00000000-0005-0000-0000-0000D9010000}"/>
    <cellStyle name="20% - Accent1 3 2 2 2 2 3 2 3" xfId="33372" xr:uid="{00000000-0005-0000-0000-0000DA010000}"/>
    <cellStyle name="20% - Accent1 3 2 2 2 2 3 3" xfId="16421" xr:uid="{00000000-0005-0000-0000-0000DB010000}"/>
    <cellStyle name="20% - Accent1 3 2 2 2 2 3 3 2" xfId="39023" xr:uid="{00000000-0005-0000-0000-0000DC010000}"/>
    <cellStyle name="20% - Accent1 3 2 2 2 2 3 4" xfId="27722" xr:uid="{00000000-0005-0000-0000-0000DD010000}"/>
    <cellStyle name="20% - Accent1 3 2 2 2 2 4" xfId="7404" xr:uid="{00000000-0005-0000-0000-0000DE010000}"/>
    <cellStyle name="20% - Accent1 3 2 2 2 2 4 2" xfId="18705" xr:uid="{00000000-0005-0000-0000-0000DF010000}"/>
    <cellStyle name="20% - Accent1 3 2 2 2 2 4 2 2" xfId="41307" xr:uid="{00000000-0005-0000-0000-0000E0010000}"/>
    <cellStyle name="20% - Accent1 3 2 2 2 2 4 3" xfId="30006" xr:uid="{00000000-0005-0000-0000-0000E1010000}"/>
    <cellStyle name="20% - Accent1 3 2 2 2 2 5" xfId="13055" xr:uid="{00000000-0005-0000-0000-0000E2010000}"/>
    <cellStyle name="20% - Accent1 3 2 2 2 2 5 2" xfId="35657" xr:uid="{00000000-0005-0000-0000-0000E3010000}"/>
    <cellStyle name="20% - Accent1 3 2 2 2 2 6" xfId="24356" xr:uid="{00000000-0005-0000-0000-0000E4010000}"/>
    <cellStyle name="20% - Accent1 3 2 2 2 3" xfId="2711" xr:uid="{00000000-0005-0000-0000-0000E5010000}"/>
    <cellStyle name="20% - Accent1 3 2 2 2 3 2" xfId="5730" xr:uid="{00000000-0005-0000-0000-0000E6010000}"/>
    <cellStyle name="20% - Accent1 3 2 2 2 3 2 2" xfId="11380" xr:uid="{00000000-0005-0000-0000-0000E7010000}"/>
    <cellStyle name="20% - Accent1 3 2 2 2 3 2 2 2" xfId="22681" xr:uid="{00000000-0005-0000-0000-0000E8010000}"/>
    <cellStyle name="20% - Accent1 3 2 2 2 3 2 2 2 2" xfId="45283" xr:uid="{00000000-0005-0000-0000-0000E9010000}"/>
    <cellStyle name="20% - Accent1 3 2 2 2 3 2 2 3" xfId="33982" xr:uid="{00000000-0005-0000-0000-0000EA010000}"/>
    <cellStyle name="20% - Accent1 3 2 2 2 3 2 3" xfId="17031" xr:uid="{00000000-0005-0000-0000-0000EB010000}"/>
    <cellStyle name="20% - Accent1 3 2 2 2 3 2 3 2" xfId="39633" xr:uid="{00000000-0005-0000-0000-0000EC010000}"/>
    <cellStyle name="20% - Accent1 3 2 2 2 3 2 4" xfId="28332" xr:uid="{00000000-0005-0000-0000-0000ED010000}"/>
    <cellStyle name="20% - Accent1 3 2 2 2 3 3" xfId="8547" xr:uid="{00000000-0005-0000-0000-0000EE010000}"/>
    <cellStyle name="20% - Accent1 3 2 2 2 3 3 2" xfId="19848" xr:uid="{00000000-0005-0000-0000-0000EF010000}"/>
    <cellStyle name="20% - Accent1 3 2 2 2 3 3 2 2" xfId="42450" xr:uid="{00000000-0005-0000-0000-0000F0010000}"/>
    <cellStyle name="20% - Accent1 3 2 2 2 3 3 3" xfId="31149" xr:uid="{00000000-0005-0000-0000-0000F1010000}"/>
    <cellStyle name="20% - Accent1 3 2 2 2 3 4" xfId="14198" xr:uid="{00000000-0005-0000-0000-0000F2010000}"/>
    <cellStyle name="20% - Accent1 3 2 2 2 3 4 2" xfId="36800" xr:uid="{00000000-0005-0000-0000-0000F3010000}"/>
    <cellStyle name="20% - Accent1 3 2 2 2 3 5" xfId="25499" xr:uid="{00000000-0005-0000-0000-0000F4010000}"/>
    <cellStyle name="20% - Accent1 3 2 2 2 4" xfId="4496" xr:uid="{00000000-0005-0000-0000-0000F5010000}"/>
    <cellStyle name="20% - Accent1 3 2 2 2 4 2" xfId="10146" xr:uid="{00000000-0005-0000-0000-0000F6010000}"/>
    <cellStyle name="20% - Accent1 3 2 2 2 4 2 2" xfId="21447" xr:uid="{00000000-0005-0000-0000-0000F7010000}"/>
    <cellStyle name="20% - Accent1 3 2 2 2 4 2 2 2" xfId="44049" xr:uid="{00000000-0005-0000-0000-0000F8010000}"/>
    <cellStyle name="20% - Accent1 3 2 2 2 4 2 3" xfId="32748" xr:uid="{00000000-0005-0000-0000-0000F9010000}"/>
    <cellStyle name="20% - Accent1 3 2 2 2 4 3" xfId="15797" xr:uid="{00000000-0005-0000-0000-0000FA010000}"/>
    <cellStyle name="20% - Accent1 3 2 2 2 4 3 2" xfId="38399" xr:uid="{00000000-0005-0000-0000-0000FB010000}"/>
    <cellStyle name="20% - Accent1 3 2 2 2 4 4" xfId="27098" xr:uid="{00000000-0005-0000-0000-0000FC010000}"/>
    <cellStyle name="20% - Accent1 3 2 2 2 5" xfId="7292" xr:uid="{00000000-0005-0000-0000-0000FD010000}"/>
    <cellStyle name="20% - Accent1 3 2 2 2 5 2" xfId="18593" xr:uid="{00000000-0005-0000-0000-0000FE010000}"/>
    <cellStyle name="20% - Accent1 3 2 2 2 5 2 2" xfId="41195" xr:uid="{00000000-0005-0000-0000-0000FF010000}"/>
    <cellStyle name="20% - Accent1 3 2 2 2 5 3" xfId="29894" xr:uid="{00000000-0005-0000-0000-000000020000}"/>
    <cellStyle name="20% - Accent1 3 2 2 2 6" xfId="12943" xr:uid="{00000000-0005-0000-0000-000001020000}"/>
    <cellStyle name="20% - Accent1 3 2 2 2 6 2" xfId="35545" xr:uid="{00000000-0005-0000-0000-000002020000}"/>
    <cellStyle name="20% - Accent1 3 2 2 2 7" xfId="24244" xr:uid="{00000000-0005-0000-0000-000003020000}"/>
    <cellStyle name="20% - Accent1 3 2 2 3" xfId="1011" xr:uid="{00000000-0005-0000-0000-000004020000}"/>
    <cellStyle name="20% - Accent1 3 2 2 3 2" xfId="3074" xr:uid="{00000000-0005-0000-0000-000005020000}"/>
    <cellStyle name="20% - Accent1 3 2 2 3 2 2" xfId="6046" xr:uid="{00000000-0005-0000-0000-000006020000}"/>
    <cellStyle name="20% - Accent1 3 2 2 3 2 2 2" xfId="11696" xr:uid="{00000000-0005-0000-0000-000007020000}"/>
    <cellStyle name="20% - Accent1 3 2 2 3 2 2 2 2" xfId="22997" xr:uid="{00000000-0005-0000-0000-000008020000}"/>
    <cellStyle name="20% - Accent1 3 2 2 3 2 2 2 2 2" xfId="45599" xr:uid="{00000000-0005-0000-0000-000009020000}"/>
    <cellStyle name="20% - Accent1 3 2 2 3 2 2 2 3" xfId="34298" xr:uid="{00000000-0005-0000-0000-00000A020000}"/>
    <cellStyle name="20% - Accent1 3 2 2 3 2 2 3" xfId="17347" xr:uid="{00000000-0005-0000-0000-00000B020000}"/>
    <cellStyle name="20% - Accent1 3 2 2 3 2 2 3 2" xfId="39949" xr:uid="{00000000-0005-0000-0000-00000C020000}"/>
    <cellStyle name="20% - Accent1 3 2 2 3 2 2 4" xfId="28648" xr:uid="{00000000-0005-0000-0000-00000D020000}"/>
    <cellStyle name="20% - Accent1 3 2 2 3 2 3" xfId="8864" xr:uid="{00000000-0005-0000-0000-00000E020000}"/>
    <cellStyle name="20% - Accent1 3 2 2 3 2 3 2" xfId="20165" xr:uid="{00000000-0005-0000-0000-00000F020000}"/>
    <cellStyle name="20% - Accent1 3 2 2 3 2 3 2 2" xfId="42767" xr:uid="{00000000-0005-0000-0000-000010020000}"/>
    <cellStyle name="20% - Accent1 3 2 2 3 2 3 3" xfId="31466" xr:uid="{00000000-0005-0000-0000-000011020000}"/>
    <cellStyle name="20% - Accent1 3 2 2 3 2 4" xfId="14515" xr:uid="{00000000-0005-0000-0000-000012020000}"/>
    <cellStyle name="20% - Accent1 3 2 2 3 2 4 2" xfId="37117" xr:uid="{00000000-0005-0000-0000-000013020000}"/>
    <cellStyle name="20% - Accent1 3 2 2 3 2 5" xfId="25816" xr:uid="{00000000-0005-0000-0000-000014020000}"/>
    <cellStyle name="20% - Accent1 3 2 2 3 3" xfId="4812" xr:uid="{00000000-0005-0000-0000-000015020000}"/>
    <cellStyle name="20% - Accent1 3 2 2 3 3 2" xfId="10462" xr:uid="{00000000-0005-0000-0000-000016020000}"/>
    <cellStyle name="20% - Accent1 3 2 2 3 3 2 2" xfId="21763" xr:uid="{00000000-0005-0000-0000-000017020000}"/>
    <cellStyle name="20% - Accent1 3 2 2 3 3 2 2 2" xfId="44365" xr:uid="{00000000-0005-0000-0000-000018020000}"/>
    <cellStyle name="20% - Accent1 3 2 2 3 3 2 3" xfId="33064" xr:uid="{00000000-0005-0000-0000-000019020000}"/>
    <cellStyle name="20% - Accent1 3 2 2 3 3 3" xfId="16113" xr:uid="{00000000-0005-0000-0000-00001A020000}"/>
    <cellStyle name="20% - Accent1 3 2 2 3 3 3 2" xfId="38715" xr:uid="{00000000-0005-0000-0000-00001B020000}"/>
    <cellStyle name="20% - Accent1 3 2 2 3 3 4" xfId="27414" xr:uid="{00000000-0005-0000-0000-00001C020000}"/>
    <cellStyle name="20% - Accent1 3 2 2 3 4" xfId="6999" xr:uid="{00000000-0005-0000-0000-00001D020000}"/>
    <cellStyle name="20% - Accent1 3 2 2 3 4 2" xfId="18300" xr:uid="{00000000-0005-0000-0000-00001E020000}"/>
    <cellStyle name="20% - Accent1 3 2 2 3 4 2 2" xfId="40902" xr:uid="{00000000-0005-0000-0000-00001F020000}"/>
    <cellStyle name="20% - Accent1 3 2 2 3 4 3" xfId="29601" xr:uid="{00000000-0005-0000-0000-000020020000}"/>
    <cellStyle name="20% - Accent1 3 2 2 3 5" xfId="12650" xr:uid="{00000000-0005-0000-0000-000021020000}"/>
    <cellStyle name="20% - Accent1 3 2 2 3 5 2" xfId="35252" xr:uid="{00000000-0005-0000-0000-000022020000}"/>
    <cellStyle name="20% - Accent1 3 2 2 3 6" xfId="23951" xr:uid="{00000000-0005-0000-0000-000023020000}"/>
    <cellStyle name="20% - Accent1 3 2 2 4" xfId="1547" xr:uid="{00000000-0005-0000-0000-000024020000}"/>
    <cellStyle name="20% - Accent1 3 2 2 4 2" xfId="2353" xr:uid="{00000000-0005-0000-0000-000025020000}"/>
    <cellStyle name="20% - Accent1 3 2 2 4 2 2" xfId="8189" xr:uid="{00000000-0005-0000-0000-000026020000}"/>
    <cellStyle name="20% - Accent1 3 2 2 4 2 2 2" xfId="19490" xr:uid="{00000000-0005-0000-0000-000027020000}"/>
    <cellStyle name="20% - Accent1 3 2 2 4 2 2 2 2" xfId="42092" xr:uid="{00000000-0005-0000-0000-000028020000}"/>
    <cellStyle name="20% - Accent1 3 2 2 4 2 2 3" xfId="30791" xr:uid="{00000000-0005-0000-0000-000029020000}"/>
    <cellStyle name="20% - Accent1 3 2 2 4 2 3" xfId="13840" xr:uid="{00000000-0005-0000-0000-00002A020000}"/>
    <cellStyle name="20% - Accent1 3 2 2 4 2 3 2" xfId="36442" xr:uid="{00000000-0005-0000-0000-00002B020000}"/>
    <cellStyle name="20% - Accent1 3 2 2 4 2 4" xfId="25141" xr:uid="{00000000-0005-0000-0000-00002C020000}"/>
    <cellStyle name="20% - Accent1 3 2 2 4 3" xfId="5422" xr:uid="{00000000-0005-0000-0000-00002D020000}"/>
    <cellStyle name="20% - Accent1 3 2 2 4 3 2" xfId="11072" xr:uid="{00000000-0005-0000-0000-00002E020000}"/>
    <cellStyle name="20% - Accent1 3 2 2 4 3 2 2" xfId="22373" xr:uid="{00000000-0005-0000-0000-00002F020000}"/>
    <cellStyle name="20% - Accent1 3 2 2 4 3 2 2 2" xfId="44975" xr:uid="{00000000-0005-0000-0000-000030020000}"/>
    <cellStyle name="20% - Accent1 3 2 2 4 3 2 3" xfId="33674" xr:uid="{00000000-0005-0000-0000-000031020000}"/>
    <cellStyle name="20% - Accent1 3 2 2 4 3 3" xfId="16723" xr:uid="{00000000-0005-0000-0000-000032020000}"/>
    <cellStyle name="20% - Accent1 3 2 2 4 3 3 2" xfId="39325" xr:uid="{00000000-0005-0000-0000-000033020000}"/>
    <cellStyle name="20% - Accent1 3 2 2 4 3 4" xfId="28024" xr:uid="{00000000-0005-0000-0000-000034020000}"/>
    <cellStyle name="20% - Accent1 3 2 2 4 4" xfId="7403" xr:uid="{00000000-0005-0000-0000-000035020000}"/>
    <cellStyle name="20% - Accent1 3 2 2 4 4 2" xfId="18704" xr:uid="{00000000-0005-0000-0000-000036020000}"/>
    <cellStyle name="20% - Accent1 3 2 2 4 4 2 2" xfId="41306" xr:uid="{00000000-0005-0000-0000-000037020000}"/>
    <cellStyle name="20% - Accent1 3 2 2 4 4 3" xfId="30005" xr:uid="{00000000-0005-0000-0000-000038020000}"/>
    <cellStyle name="20% - Accent1 3 2 2 4 5" xfId="13054" xr:uid="{00000000-0005-0000-0000-000039020000}"/>
    <cellStyle name="20% - Accent1 3 2 2 4 5 2" xfId="35656" xr:uid="{00000000-0005-0000-0000-00003A020000}"/>
    <cellStyle name="20% - Accent1 3 2 2 4 6" xfId="24355" xr:uid="{00000000-0005-0000-0000-00003B020000}"/>
    <cellStyle name="20% - Accent1 3 2 2 5" xfId="2403" xr:uid="{00000000-0005-0000-0000-00003C020000}"/>
    <cellStyle name="20% - Accent1 3 2 2 5 2" xfId="8239" xr:uid="{00000000-0005-0000-0000-00003D020000}"/>
    <cellStyle name="20% - Accent1 3 2 2 5 2 2" xfId="19540" xr:uid="{00000000-0005-0000-0000-00003E020000}"/>
    <cellStyle name="20% - Accent1 3 2 2 5 2 2 2" xfId="42142" xr:uid="{00000000-0005-0000-0000-00003F020000}"/>
    <cellStyle name="20% - Accent1 3 2 2 5 2 3" xfId="30841" xr:uid="{00000000-0005-0000-0000-000040020000}"/>
    <cellStyle name="20% - Accent1 3 2 2 5 3" xfId="13890" xr:uid="{00000000-0005-0000-0000-000041020000}"/>
    <cellStyle name="20% - Accent1 3 2 2 5 3 2" xfId="36492" xr:uid="{00000000-0005-0000-0000-000042020000}"/>
    <cellStyle name="20% - Accent1 3 2 2 5 4" xfId="25191" xr:uid="{00000000-0005-0000-0000-000043020000}"/>
    <cellStyle name="20% - Accent1 3 2 2 6" xfId="4188" xr:uid="{00000000-0005-0000-0000-000044020000}"/>
    <cellStyle name="20% - Accent1 3 2 2 6 2" xfId="9838" xr:uid="{00000000-0005-0000-0000-000045020000}"/>
    <cellStyle name="20% - Accent1 3 2 2 6 2 2" xfId="21139" xr:uid="{00000000-0005-0000-0000-000046020000}"/>
    <cellStyle name="20% - Accent1 3 2 2 6 2 2 2" xfId="43741" xr:uid="{00000000-0005-0000-0000-000047020000}"/>
    <cellStyle name="20% - Accent1 3 2 2 6 2 3" xfId="32440" xr:uid="{00000000-0005-0000-0000-000048020000}"/>
    <cellStyle name="20% - Accent1 3 2 2 6 3" xfId="15489" xr:uid="{00000000-0005-0000-0000-000049020000}"/>
    <cellStyle name="20% - Accent1 3 2 2 6 3 2" xfId="38091" xr:uid="{00000000-0005-0000-0000-00004A020000}"/>
    <cellStyle name="20% - Accent1 3 2 2 6 4" xfId="26790" xr:uid="{00000000-0005-0000-0000-00004B020000}"/>
    <cellStyle name="20% - Accent1 3 2 2 7" xfId="6668" xr:uid="{00000000-0005-0000-0000-00004C020000}"/>
    <cellStyle name="20% - Accent1 3 2 2 7 2" xfId="17969" xr:uid="{00000000-0005-0000-0000-00004D020000}"/>
    <cellStyle name="20% - Accent1 3 2 2 7 2 2" xfId="40571" xr:uid="{00000000-0005-0000-0000-00004E020000}"/>
    <cellStyle name="20% - Accent1 3 2 2 7 3" xfId="29270" xr:uid="{00000000-0005-0000-0000-00004F020000}"/>
    <cellStyle name="20% - Accent1 3 2 2 8" xfId="12319" xr:uid="{00000000-0005-0000-0000-000050020000}"/>
    <cellStyle name="20% - Accent1 3 2 2 8 2" xfId="34921" xr:uid="{00000000-0005-0000-0000-000051020000}"/>
    <cellStyle name="20% - Accent1 3 2 2 9" xfId="23620" xr:uid="{00000000-0005-0000-0000-000052020000}"/>
    <cellStyle name="20% - Accent1 3 2 3" xfId="1175" xr:uid="{00000000-0005-0000-0000-000053020000}"/>
    <cellStyle name="20% - Accent1 3 2 3 2" xfId="1549" xr:uid="{00000000-0005-0000-0000-000054020000}"/>
    <cellStyle name="20% - Accent1 3 2 3 2 2" xfId="3243" xr:uid="{00000000-0005-0000-0000-000055020000}"/>
    <cellStyle name="20% - Accent1 3 2 3 2 2 2" xfId="6215" xr:uid="{00000000-0005-0000-0000-000056020000}"/>
    <cellStyle name="20% - Accent1 3 2 3 2 2 2 2" xfId="11865" xr:uid="{00000000-0005-0000-0000-000057020000}"/>
    <cellStyle name="20% - Accent1 3 2 3 2 2 2 2 2" xfId="23166" xr:uid="{00000000-0005-0000-0000-000058020000}"/>
    <cellStyle name="20% - Accent1 3 2 3 2 2 2 2 2 2" xfId="45768" xr:uid="{00000000-0005-0000-0000-000059020000}"/>
    <cellStyle name="20% - Accent1 3 2 3 2 2 2 2 3" xfId="34467" xr:uid="{00000000-0005-0000-0000-00005A020000}"/>
    <cellStyle name="20% - Accent1 3 2 3 2 2 2 3" xfId="17516" xr:uid="{00000000-0005-0000-0000-00005B020000}"/>
    <cellStyle name="20% - Accent1 3 2 3 2 2 2 3 2" xfId="40118" xr:uid="{00000000-0005-0000-0000-00005C020000}"/>
    <cellStyle name="20% - Accent1 3 2 3 2 2 2 4" xfId="28817" xr:uid="{00000000-0005-0000-0000-00005D020000}"/>
    <cellStyle name="20% - Accent1 3 2 3 2 2 3" xfId="9033" xr:uid="{00000000-0005-0000-0000-00005E020000}"/>
    <cellStyle name="20% - Accent1 3 2 3 2 2 3 2" xfId="20334" xr:uid="{00000000-0005-0000-0000-00005F020000}"/>
    <cellStyle name="20% - Accent1 3 2 3 2 2 3 2 2" xfId="42936" xr:uid="{00000000-0005-0000-0000-000060020000}"/>
    <cellStyle name="20% - Accent1 3 2 3 2 2 3 3" xfId="31635" xr:uid="{00000000-0005-0000-0000-000061020000}"/>
    <cellStyle name="20% - Accent1 3 2 3 2 2 4" xfId="14684" xr:uid="{00000000-0005-0000-0000-000062020000}"/>
    <cellStyle name="20% - Accent1 3 2 3 2 2 4 2" xfId="37286" xr:uid="{00000000-0005-0000-0000-000063020000}"/>
    <cellStyle name="20% - Accent1 3 2 3 2 2 5" xfId="25985" xr:uid="{00000000-0005-0000-0000-000064020000}"/>
    <cellStyle name="20% - Accent1 3 2 3 2 3" xfId="4981" xr:uid="{00000000-0005-0000-0000-000065020000}"/>
    <cellStyle name="20% - Accent1 3 2 3 2 3 2" xfId="10631" xr:uid="{00000000-0005-0000-0000-000066020000}"/>
    <cellStyle name="20% - Accent1 3 2 3 2 3 2 2" xfId="21932" xr:uid="{00000000-0005-0000-0000-000067020000}"/>
    <cellStyle name="20% - Accent1 3 2 3 2 3 2 2 2" xfId="44534" xr:uid="{00000000-0005-0000-0000-000068020000}"/>
    <cellStyle name="20% - Accent1 3 2 3 2 3 2 3" xfId="33233" xr:uid="{00000000-0005-0000-0000-000069020000}"/>
    <cellStyle name="20% - Accent1 3 2 3 2 3 3" xfId="16282" xr:uid="{00000000-0005-0000-0000-00006A020000}"/>
    <cellStyle name="20% - Accent1 3 2 3 2 3 3 2" xfId="38884" xr:uid="{00000000-0005-0000-0000-00006B020000}"/>
    <cellStyle name="20% - Accent1 3 2 3 2 3 4" xfId="27583" xr:uid="{00000000-0005-0000-0000-00006C020000}"/>
    <cellStyle name="20% - Accent1 3 2 3 2 4" xfId="7405" xr:uid="{00000000-0005-0000-0000-00006D020000}"/>
    <cellStyle name="20% - Accent1 3 2 3 2 4 2" xfId="18706" xr:uid="{00000000-0005-0000-0000-00006E020000}"/>
    <cellStyle name="20% - Accent1 3 2 3 2 4 2 2" xfId="41308" xr:uid="{00000000-0005-0000-0000-00006F020000}"/>
    <cellStyle name="20% - Accent1 3 2 3 2 4 3" xfId="30007" xr:uid="{00000000-0005-0000-0000-000070020000}"/>
    <cellStyle name="20% - Accent1 3 2 3 2 5" xfId="13056" xr:uid="{00000000-0005-0000-0000-000071020000}"/>
    <cellStyle name="20% - Accent1 3 2 3 2 5 2" xfId="35658" xr:uid="{00000000-0005-0000-0000-000072020000}"/>
    <cellStyle name="20% - Accent1 3 2 3 2 6" xfId="24357" xr:uid="{00000000-0005-0000-0000-000073020000}"/>
    <cellStyle name="20% - Accent1 3 2 3 3" xfId="2572" xr:uid="{00000000-0005-0000-0000-000074020000}"/>
    <cellStyle name="20% - Accent1 3 2 3 3 2" xfId="5591" xr:uid="{00000000-0005-0000-0000-000075020000}"/>
    <cellStyle name="20% - Accent1 3 2 3 3 2 2" xfId="11241" xr:uid="{00000000-0005-0000-0000-000076020000}"/>
    <cellStyle name="20% - Accent1 3 2 3 3 2 2 2" xfId="22542" xr:uid="{00000000-0005-0000-0000-000077020000}"/>
    <cellStyle name="20% - Accent1 3 2 3 3 2 2 2 2" xfId="45144" xr:uid="{00000000-0005-0000-0000-000078020000}"/>
    <cellStyle name="20% - Accent1 3 2 3 3 2 2 3" xfId="33843" xr:uid="{00000000-0005-0000-0000-000079020000}"/>
    <cellStyle name="20% - Accent1 3 2 3 3 2 3" xfId="16892" xr:uid="{00000000-0005-0000-0000-00007A020000}"/>
    <cellStyle name="20% - Accent1 3 2 3 3 2 3 2" xfId="39494" xr:uid="{00000000-0005-0000-0000-00007B020000}"/>
    <cellStyle name="20% - Accent1 3 2 3 3 2 4" xfId="28193" xr:uid="{00000000-0005-0000-0000-00007C020000}"/>
    <cellStyle name="20% - Accent1 3 2 3 3 3" xfId="8408" xr:uid="{00000000-0005-0000-0000-00007D020000}"/>
    <cellStyle name="20% - Accent1 3 2 3 3 3 2" xfId="19709" xr:uid="{00000000-0005-0000-0000-00007E020000}"/>
    <cellStyle name="20% - Accent1 3 2 3 3 3 2 2" xfId="42311" xr:uid="{00000000-0005-0000-0000-00007F020000}"/>
    <cellStyle name="20% - Accent1 3 2 3 3 3 3" xfId="31010" xr:uid="{00000000-0005-0000-0000-000080020000}"/>
    <cellStyle name="20% - Accent1 3 2 3 3 4" xfId="14059" xr:uid="{00000000-0005-0000-0000-000081020000}"/>
    <cellStyle name="20% - Accent1 3 2 3 3 4 2" xfId="36661" xr:uid="{00000000-0005-0000-0000-000082020000}"/>
    <cellStyle name="20% - Accent1 3 2 3 3 5" xfId="25360" xr:uid="{00000000-0005-0000-0000-000083020000}"/>
    <cellStyle name="20% - Accent1 3 2 3 4" xfId="4357" xr:uid="{00000000-0005-0000-0000-000084020000}"/>
    <cellStyle name="20% - Accent1 3 2 3 4 2" xfId="10007" xr:uid="{00000000-0005-0000-0000-000085020000}"/>
    <cellStyle name="20% - Accent1 3 2 3 4 2 2" xfId="21308" xr:uid="{00000000-0005-0000-0000-000086020000}"/>
    <cellStyle name="20% - Accent1 3 2 3 4 2 2 2" xfId="43910" xr:uid="{00000000-0005-0000-0000-000087020000}"/>
    <cellStyle name="20% - Accent1 3 2 3 4 2 3" xfId="32609" xr:uid="{00000000-0005-0000-0000-000088020000}"/>
    <cellStyle name="20% - Accent1 3 2 3 4 3" xfId="15658" xr:uid="{00000000-0005-0000-0000-000089020000}"/>
    <cellStyle name="20% - Accent1 3 2 3 4 3 2" xfId="38260" xr:uid="{00000000-0005-0000-0000-00008A020000}"/>
    <cellStyle name="20% - Accent1 3 2 3 4 4" xfId="26959" xr:uid="{00000000-0005-0000-0000-00008B020000}"/>
    <cellStyle name="20% - Accent1 3 2 3 5" xfId="7154" xr:uid="{00000000-0005-0000-0000-00008C020000}"/>
    <cellStyle name="20% - Accent1 3 2 3 5 2" xfId="18455" xr:uid="{00000000-0005-0000-0000-00008D020000}"/>
    <cellStyle name="20% - Accent1 3 2 3 5 2 2" xfId="41057" xr:uid="{00000000-0005-0000-0000-00008E020000}"/>
    <cellStyle name="20% - Accent1 3 2 3 5 3" xfId="29756" xr:uid="{00000000-0005-0000-0000-00008F020000}"/>
    <cellStyle name="20% - Accent1 3 2 3 6" xfId="12805" xr:uid="{00000000-0005-0000-0000-000090020000}"/>
    <cellStyle name="20% - Accent1 3 2 3 6 2" xfId="35407" xr:uid="{00000000-0005-0000-0000-000091020000}"/>
    <cellStyle name="20% - Accent1 3 2 3 7" xfId="24106" xr:uid="{00000000-0005-0000-0000-000092020000}"/>
    <cellStyle name="20% - Accent1 3 2 4" xfId="864" xr:uid="{00000000-0005-0000-0000-000093020000}"/>
    <cellStyle name="20% - Accent1 3 2 4 2" xfId="2936" xr:uid="{00000000-0005-0000-0000-000094020000}"/>
    <cellStyle name="20% - Accent1 3 2 4 2 2" xfId="5908" xr:uid="{00000000-0005-0000-0000-000095020000}"/>
    <cellStyle name="20% - Accent1 3 2 4 2 2 2" xfId="11558" xr:uid="{00000000-0005-0000-0000-000096020000}"/>
    <cellStyle name="20% - Accent1 3 2 4 2 2 2 2" xfId="22859" xr:uid="{00000000-0005-0000-0000-000097020000}"/>
    <cellStyle name="20% - Accent1 3 2 4 2 2 2 2 2" xfId="45461" xr:uid="{00000000-0005-0000-0000-000098020000}"/>
    <cellStyle name="20% - Accent1 3 2 4 2 2 2 3" xfId="34160" xr:uid="{00000000-0005-0000-0000-000099020000}"/>
    <cellStyle name="20% - Accent1 3 2 4 2 2 3" xfId="17209" xr:uid="{00000000-0005-0000-0000-00009A020000}"/>
    <cellStyle name="20% - Accent1 3 2 4 2 2 3 2" xfId="39811" xr:uid="{00000000-0005-0000-0000-00009B020000}"/>
    <cellStyle name="20% - Accent1 3 2 4 2 2 4" xfId="28510" xr:uid="{00000000-0005-0000-0000-00009C020000}"/>
    <cellStyle name="20% - Accent1 3 2 4 2 3" xfId="8726" xr:uid="{00000000-0005-0000-0000-00009D020000}"/>
    <cellStyle name="20% - Accent1 3 2 4 2 3 2" xfId="20027" xr:uid="{00000000-0005-0000-0000-00009E020000}"/>
    <cellStyle name="20% - Accent1 3 2 4 2 3 2 2" xfId="42629" xr:uid="{00000000-0005-0000-0000-00009F020000}"/>
    <cellStyle name="20% - Accent1 3 2 4 2 3 3" xfId="31328" xr:uid="{00000000-0005-0000-0000-0000A0020000}"/>
    <cellStyle name="20% - Accent1 3 2 4 2 4" xfId="14377" xr:uid="{00000000-0005-0000-0000-0000A1020000}"/>
    <cellStyle name="20% - Accent1 3 2 4 2 4 2" xfId="36979" xr:uid="{00000000-0005-0000-0000-0000A2020000}"/>
    <cellStyle name="20% - Accent1 3 2 4 2 5" xfId="25678" xr:uid="{00000000-0005-0000-0000-0000A3020000}"/>
    <cellStyle name="20% - Accent1 3 2 4 3" xfId="4674" xr:uid="{00000000-0005-0000-0000-0000A4020000}"/>
    <cellStyle name="20% - Accent1 3 2 4 3 2" xfId="10324" xr:uid="{00000000-0005-0000-0000-0000A5020000}"/>
    <cellStyle name="20% - Accent1 3 2 4 3 2 2" xfId="21625" xr:uid="{00000000-0005-0000-0000-0000A6020000}"/>
    <cellStyle name="20% - Accent1 3 2 4 3 2 2 2" xfId="44227" xr:uid="{00000000-0005-0000-0000-0000A7020000}"/>
    <cellStyle name="20% - Accent1 3 2 4 3 2 3" xfId="32926" xr:uid="{00000000-0005-0000-0000-0000A8020000}"/>
    <cellStyle name="20% - Accent1 3 2 4 3 3" xfId="15975" xr:uid="{00000000-0005-0000-0000-0000A9020000}"/>
    <cellStyle name="20% - Accent1 3 2 4 3 3 2" xfId="38577" xr:uid="{00000000-0005-0000-0000-0000AA020000}"/>
    <cellStyle name="20% - Accent1 3 2 4 3 4" xfId="27276" xr:uid="{00000000-0005-0000-0000-0000AB020000}"/>
    <cellStyle name="20% - Accent1 3 2 4 4" xfId="6861" xr:uid="{00000000-0005-0000-0000-0000AC020000}"/>
    <cellStyle name="20% - Accent1 3 2 4 4 2" xfId="18162" xr:uid="{00000000-0005-0000-0000-0000AD020000}"/>
    <cellStyle name="20% - Accent1 3 2 4 4 2 2" xfId="40764" xr:uid="{00000000-0005-0000-0000-0000AE020000}"/>
    <cellStyle name="20% - Accent1 3 2 4 4 3" xfId="29463" xr:uid="{00000000-0005-0000-0000-0000AF020000}"/>
    <cellStyle name="20% - Accent1 3 2 4 5" xfId="12512" xr:uid="{00000000-0005-0000-0000-0000B0020000}"/>
    <cellStyle name="20% - Accent1 3 2 4 5 2" xfId="35114" xr:uid="{00000000-0005-0000-0000-0000B1020000}"/>
    <cellStyle name="20% - Accent1 3 2 4 6" xfId="23813" xr:uid="{00000000-0005-0000-0000-0000B2020000}"/>
    <cellStyle name="20% - Accent1 3 2 5" xfId="1546" xr:uid="{00000000-0005-0000-0000-0000B3020000}"/>
    <cellStyle name="20% - Accent1 3 2 5 2" xfId="3505" xr:uid="{00000000-0005-0000-0000-0000B4020000}"/>
    <cellStyle name="20% - Accent1 3 2 5 2 2" xfId="9274" xr:uid="{00000000-0005-0000-0000-0000B5020000}"/>
    <cellStyle name="20% - Accent1 3 2 5 2 2 2" xfId="20575" xr:uid="{00000000-0005-0000-0000-0000B6020000}"/>
    <cellStyle name="20% - Accent1 3 2 5 2 2 2 2" xfId="43177" xr:uid="{00000000-0005-0000-0000-0000B7020000}"/>
    <cellStyle name="20% - Accent1 3 2 5 2 2 3" xfId="31876" xr:uid="{00000000-0005-0000-0000-0000B8020000}"/>
    <cellStyle name="20% - Accent1 3 2 5 2 3" xfId="14925" xr:uid="{00000000-0005-0000-0000-0000B9020000}"/>
    <cellStyle name="20% - Accent1 3 2 5 2 3 2" xfId="37527" xr:uid="{00000000-0005-0000-0000-0000BA020000}"/>
    <cellStyle name="20% - Accent1 3 2 5 2 4" xfId="26226" xr:uid="{00000000-0005-0000-0000-0000BB020000}"/>
    <cellStyle name="20% - Accent1 3 2 5 3" xfId="5284" xr:uid="{00000000-0005-0000-0000-0000BC020000}"/>
    <cellStyle name="20% - Accent1 3 2 5 3 2" xfId="10934" xr:uid="{00000000-0005-0000-0000-0000BD020000}"/>
    <cellStyle name="20% - Accent1 3 2 5 3 2 2" xfId="22235" xr:uid="{00000000-0005-0000-0000-0000BE020000}"/>
    <cellStyle name="20% - Accent1 3 2 5 3 2 2 2" xfId="44837" xr:uid="{00000000-0005-0000-0000-0000BF020000}"/>
    <cellStyle name="20% - Accent1 3 2 5 3 2 3" xfId="33536" xr:uid="{00000000-0005-0000-0000-0000C0020000}"/>
    <cellStyle name="20% - Accent1 3 2 5 3 3" xfId="16585" xr:uid="{00000000-0005-0000-0000-0000C1020000}"/>
    <cellStyle name="20% - Accent1 3 2 5 3 3 2" xfId="39187" xr:uid="{00000000-0005-0000-0000-0000C2020000}"/>
    <cellStyle name="20% - Accent1 3 2 5 3 4" xfId="27886" xr:uid="{00000000-0005-0000-0000-0000C3020000}"/>
    <cellStyle name="20% - Accent1 3 2 5 4" xfId="7402" xr:uid="{00000000-0005-0000-0000-0000C4020000}"/>
    <cellStyle name="20% - Accent1 3 2 5 4 2" xfId="18703" xr:uid="{00000000-0005-0000-0000-0000C5020000}"/>
    <cellStyle name="20% - Accent1 3 2 5 4 2 2" xfId="41305" xr:uid="{00000000-0005-0000-0000-0000C6020000}"/>
    <cellStyle name="20% - Accent1 3 2 5 4 3" xfId="30004" xr:uid="{00000000-0005-0000-0000-0000C7020000}"/>
    <cellStyle name="20% - Accent1 3 2 5 5" xfId="13053" xr:uid="{00000000-0005-0000-0000-0000C8020000}"/>
    <cellStyle name="20% - Accent1 3 2 5 5 2" xfId="35655" xr:uid="{00000000-0005-0000-0000-0000C9020000}"/>
    <cellStyle name="20% - Accent1 3 2 5 6" xfId="24354" xr:uid="{00000000-0005-0000-0000-0000CA020000}"/>
    <cellStyle name="20% - Accent1 3 2 6" xfId="2262" xr:uid="{00000000-0005-0000-0000-0000CB020000}"/>
    <cellStyle name="20% - Accent1 3 2 6 2" xfId="8098" xr:uid="{00000000-0005-0000-0000-0000CC020000}"/>
    <cellStyle name="20% - Accent1 3 2 6 2 2" xfId="19399" xr:uid="{00000000-0005-0000-0000-0000CD020000}"/>
    <cellStyle name="20% - Accent1 3 2 6 2 2 2" xfId="42001" xr:uid="{00000000-0005-0000-0000-0000CE020000}"/>
    <cellStyle name="20% - Accent1 3 2 6 2 3" xfId="30700" xr:uid="{00000000-0005-0000-0000-0000CF020000}"/>
    <cellStyle name="20% - Accent1 3 2 6 3" xfId="13749" xr:uid="{00000000-0005-0000-0000-0000D0020000}"/>
    <cellStyle name="20% - Accent1 3 2 6 3 2" xfId="36351" xr:uid="{00000000-0005-0000-0000-0000D1020000}"/>
    <cellStyle name="20% - Accent1 3 2 6 4" xfId="25050" xr:uid="{00000000-0005-0000-0000-0000D2020000}"/>
    <cellStyle name="20% - Accent1 3 2 7" xfId="4050" xr:uid="{00000000-0005-0000-0000-0000D3020000}"/>
    <cellStyle name="20% - Accent1 3 2 7 2" xfId="9700" xr:uid="{00000000-0005-0000-0000-0000D4020000}"/>
    <cellStyle name="20% - Accent1 3 2 7 2 2" xfId="21001" xr:uid="{00000000-0005-0000-0000-0000D5020000}"/>
    <cellStyle name="20% - Accent1 3 2 7 2 2 2" xfId="43603" xr:uid="{00000000-0005-0000-0000-0000D6020000}"/>
    <cellStyle name="20% - Accent1 3 2 7 2 3" xfId="32302" xr:uid="{00000000-0005-0000-0000-0000D7020000}"/>
    <cellStyle name="20% - Accent1 3 2 7 3" xfId="15351" xr:uid="{00000000-0005-0000-0000-0000D8020000}"/>
    <cellStyle name="20% - Accent1 3 2 7 3 2" xfId="37953" xr:uid="{00000000-0005-0000-0000-0000D9020000}"/>
    <cellStyle name="20% - Accent1 3 2 7 4" xfId="26652" xr:uid="{00000000-0005-0000-0000-0000DA020000}"/>
    <cellStyle name="20% - Accent1 3 2 8" xfId="6501" xr:uid="{00000000-0005-0000-0000-0000DB020000}"/>
    <cellStyle name="20% - Accent1 3 2 8 2" xfId="17802" xr:uid="{00000000-0005-0000-0000-0000DC020000}"/>
    <cellStyle name="20% - Accent1 3 2 8 2 2" xfId="40404" xr:uid="{00000000-0005-0000-0000-0000DD020000}"/>
    <cellStyle name="20% - Accent1 3 2 8 3" xfId="29103" xr:uid="{00000000-0005-0000-0000-0000DE020000}"/>
    <cellStyle name="20% - Accent1 3 2 9" xfId="12152" xr:uid="{00000000-0005-0000-0000-0000DF020000}"/>
    <cellStyle name="20% - Accent1 3 2 9 2" xfId="34754" xr:uid="{00000000-0005-0000-0000-0000E0020000}"/>
    <cellStyle name="20% - Accent1 3 3" xfId="407" xr:uid="{00000000-0005-0000-0000-0000E1020000}"/>
    <cellStyle name="20% - Accent1 3 3 10" xfId="23502" xr:uid="{00000000-0005-0000-0000-0000E2020000}"/>
    <cellStyle name="20% - Accent1 3 3 2" xfId="652" xr:uid="{00000000-0005-0000-0000-0000E3020000}"/>
    <cellStyle name="20% - Accent1 3 3 2 2" xfId="1362" xr:uid="{00000000-0005-0000-0000-0000E4020000}"/>
    <cellStyle name="20% - Accent1 3 3 2 2 2" xfId="1552" xr:uid="{00000000-0005-0000-0000-0000E5020000}"/>
    <cellStyle name="20% - Accent1 3 3 2 2 2 2" xfId="3431" xr:uid="{00000000-0005-0000-0000-0000E6020000}"/>
    <cellStyle name="20% - Accent1 3 3 2 2 2 2 2" xfId="6403" xr:uid="{00000000-0005-0000-0000-0000E7020000}"/>
    <cellStyle name="20% - Accent1 3 3 2 2 2 2 2 2" xfId="12053" xr:uid="{00000000-0005-0000-0000-0000E8020000}"/>
    <cellStyle name="20% - Accent1 3 3 2 2 2 2 2 2 2" xfId="23354" xr:uid="{00000000-0005-0000-0000-0000E9020000}"/>
    <cellStyle name="20% - Accent1 3 3 2 2 2 2 2 2 2 2" xfId="45956" xr:uid="{00000000-0005-0000-0000-0000EA020000}"/>
    <cellStyle name="20% - Accent1 3 3 2 2 2 2 2 2 3" xfId="34655" xr:uid="{00000000-0005-0000-0000-0000EB020000}"/>
    <cellStyle name="20% - Accent1 3 3 2 2 2 2 2 3" xfId="17704" xr:uid="{00000000-0005-0000-0000-0000EC020000}"/>
    <cellStyle name="20% - Accent1 3 3 2 2 2 2 2 3 2" xfId="40306" xr:uid="{00000000-0005-0000-0000-0000ED020000}"/>
    <cellStyle name="20% - Accent1 3 3 2 2 2 2 2 4" xfId="29005" xr:uid="{00000000-0005-0000-0000-0000EE020000}"/>
    <cellStyle name="20% - Accent1 3 3 2 2 2 2 3" xfId="9221" xr:uid="{00000000-0005-0000-0000-0000EF020000}"/>
    <cellStyle name="20% - Accent1 3 3 2 2 2 2 3 2" xfId="20522" xr:uid="{00000000-0005-0000-0000-0000F0020000}"/>
    <cellStyle name="20% - Accent1 3 3 2 2 2 2 3 2 2" xfId="43124" xr:uid="{00000000-0005-0000-0000-0000F1020000}"/>
    <cellStyle name="20% - Accent1 3 3 2 2 2 2 3 3" xfId="31823" xr:uid="{00000000-0005-0000-0000-0000F2020000}"/>
    <cellStyle name="20% - Accent1 3 3 2 2 2 2 4" xfId="14872" xr:uid="{00000000-0005-0000-0000-0000F3020000}"/>
    <cellStyle name="20% - Accent1 3 3 2 2 2 2 4 2" xfId="37474" xr:uid="{00000000-0005-0000-0000-0000F4020000}"/>
    <cellStyle name="20% - Accent1 3 3 2 2 2 2 5" xfId="26173" xr:uid="{00000000-0005-0000-0000-0000F5020000}"/>
    <cellStyle name="20% - Accent1 3 3 2 2 2 3" xfId="5169" xr:uid="{00000000-0005-0000-0000-0000F6020000}"/>
    <cellStyle name="20% - Accent1 3 3 2 2 2 3 2" xfId="10819" xr:uid="{00000000-0005-0000-0000-0000F7020000}"/>
    <cellStyle name="20% - Accent1 3 3 2 2 2 3 2 2" xfId="22120" xr:uid="{00000000-0005-0000-0000-0000F8020000}"/>
    <cellStyle name="20% - Accent1 3 3 2 2 2 3 2 2 2" xfId="44722" xr:uid="{00000000-0005-0000-0000-0000F9020000}"/>
    <cellStyle name="20% - Accent1 3 3 2 2 2 3 2 3" xfId="33421" xr:uid="{00000000-0005-0000-0000-0000FA020000}"/>
    <cellStyle name="20% - Accent1 3 3 2 2 2 3 3" xfId="16470" xr:uid="{00000000-0005-0000-0000-0000FB020000}"/>
    <cellStyle name="20% - Accent1 3 3 2 2 2 3 3 2" xfId="39072" xr:uid="{00000000-0005-0000-0000-0000FC020000}"/>
    <cellStyle name="20% - Accent1 3 3 2 2 2 3 4" xfId="27771" xr:uid="{00000000-0005-0000-0000-0000FD020000}"/>
    <cellStyle name="20% - Accent1 3 3 2 2 2 4" xfId="7408" xr:uid="{00000000-0005-0000-0000-0000FE020000}"/>
    <cellStyle name="20% - Accent1 3 3 2 2 2 4 2" xfId="18709" xr:uid="{00000000-0005-0000-0000-0000FF020000}"/>
    <cellStyle name="20% - Accent1 3 3 2 2 2 4 2 2" xfId="41311" xr:uid="{00000000-0005-0000-0000-000000030000}"/>
    <cellStyle name="20% - Accent1 3 3 2 2 2 4 3" xfId="30010" xr:uid="{00000000-0005-0000-0000-000001030000}"/>
    <cellStyle name="20% - Accent1 3 3 2 2 2 5" xfId="13059" xr:uid="{00000000-0005-0000-0000-000002030000}"/>
    <cellStyle name="20% - Accent1 3 3 2 2 2 5 2" xfId="35661" xr:uid="{00000000-0005-0000-0000-000003030000}"/>
    <cellStyle name="20% - Accent1 3 3 2 2 2 6" xfId="24360" xr:uid="{00000000-0005-0000-0000-000004030000}"/>
    <cellStyle name="20% - Accent1 3 3 2 2 3" xfId="2760" xr:uid="{00000000-0005-0000-0000-000005030000}"/>
    <cellStyle name="20% - Accent1 3 3 2 2 3 2" xfId="5779" xr:uid="{00000000-0005-0000-0000-000006030000}"/>
    <cellStyle name="20% - Accent1 3 3 2 2 3 2 2" xfId="11429" xr:uid="{00000000-0005-0000-0000-000007030000}"/>
    <cellStyle name="20% - Accent1 3 3 2 2 3 2 2 2" xfId="22730" xr:uid="{00000000-0005-0000-0000-000008030000}"/>
    <cellStyle name="20% - Accent1 3 3 2 2 3 2 2 2 2" xfId="45332" xr:uid="{00000000-0005-0000-0000-000009030000}"/>
    <cellStyle name="20% - Accent1 3 3 2 2 3 2 2 3" xfId="34031" xr:uid="{00000000-0005-0000-0000-00000A030000}"/>
    <cellStyle name="20% - Accent1 3 3 2 2 3 2 3" xfId="17080" xr:uid="{00000000-0005-0000-0000-00000B030000}"/>
    <cellStyle name="20% - Accent1 3 3 2 2 3 2 3 2" xfId="39682" xr:uid="{00000000-0005-0000-0000-00000C030000}"/>
    <cellStyle name="20% - Accent1 3 3 2 2 3 2 4" xfId="28381" xr:uid="{00000000-0005-0000-0000-00000D030000}"/>
    <cellStyle name="20% - Accent1 3 3 2 2 3 3" xfId="8596" xr:uid="{00000000-0005-0000-0000-00000E030000}"/>
    <cellStyle name="20% - Accent1 3 3 2 2 3 3 2" xfId="19897" xr:uid="{00000000-0005-0000-0000-00000F030000}"/>
    <cellStyle name="20% - Accent1 3 3 2 2 3 3 2 2" xfId="42499" xr:uid="{00000000-0005-0000-0000-000010030000}"/>
    <cellStyle name="20% - Accent1 3 3 2 2 3 3 3" xfId="31198" xr:uid="{00000000-0005-0000-0000-000011030000}"/>
    <cellStyle name="20% - Accent1 3 3 2 2 3 4" xfId="14247" xr:uid="{00000000-0005-0000-0000-000012030000}"/>
    <cellStyle name="20% - Accent1 3 3 2 2 3 4 2" xfId="36849" xr:uid="{00000000-0005-0000-0000-000013030000}"/>
    <cellStyle name="20% - Accent1 3 3 2 2 3 5" xfId="25548" xr:uid="{00000000-0005-0000-0000-000014030000}"/>
    <cellStyle name="20% - Accent1 3 3 2 2 4" xfId="4545" xr:uid="{00000000-0005-0000-0000-000015030000}"/>
    <cellStyle name="20% - Accent1 3 3 2 2 4 2" xfId="10195" xr:uid="{00000000-0005-0000-0000-000016030000}"/>
    <cellStyle name="20% - Accent1 3 3 2 2 4 2 2" xfId="21496" xr:uid="{00000000-0005-0000-0000-000017030000}"/>
    <cellStyle name="20% - Accent1 3 3 2 2 4 2 2 2" xfId="44098" xr:uid="{00000000-0005-0000-0000-000018030000}"/>
    <cellStyle name="20% - Accent1 3 3 2 2 4 2 3" xfId="32797" xr:uid="{00000000-0005-0000-0000-000019030000}"/>
    <cellStyle name="20% - Accent1 3 3 2 2 4 3" xfId="15846" xr:uid="{00000000-0005-0000-0000-00001A030000}"/>
    <cellStyle name="20% - Accent1 3 3 2 2 4 3 2" xfId="38448" xr:uid="{00000000-0005-0000-0000-00001B030000}"/>
    <cellStyle name="20% - Accent1 3 3 2 2 4 4" xfId="27147" xr:uid="{00000000-0005-0000-0000-00001C030000}"/>
    <cellStyle name="20% - Accent1 3 3 2 2 5" xfId="7341" xr:uid="{00000000-0005-0000-0000-00001D030000}"/>
    <cellStyle name="20% - Accent1 3 3 2 2 5 2" xfId="18642" xr:uid="{00000000-0005-0000-0000-00001E030000}"/>
    <cellStyle name="20% - Accent1 3 3 2 2 5 2 2" xfId="41244" xr:uid="{00000000-0005-0000-0000-00001F030000}"/>
    <cellStyle name="20% - Accent1 3 3 2 2 5 3" xfId="29943" xr:uid="{00000000-0005-0000-0000-000020030000}"/>
    <cellStyle name="20% - Accent1 3 3 2 2 6" xfId="12992" xr:uid="{00000000-0005-0000-0000-000021030000}"/>
    <cellStyle name="20% - Accent1 3 3 2 2 6 2" xfId="35594" xr:uid="{00000000-0005-0000-0000-000022030000}"/>
    <cellStyle name="20% - Accent1 3 3 2 2 7" xfId="24293" xr:uid="{00000000-0005-0000-0000-000023030000}"/>
    <cellStyle name="20% - Accent1 3 3 2 3" xfId="1060" xr:uid="{00000000-0005-0000-0000-000024030000}"/>
    <cellStyle name="20% - Accent1 3 3 2 3 2" xfId="3123" xr:uid="{00000000-0005-0000-0000-000025030000}"/>
    <cellStyle name="20% - Accent1 3 3 2 3 2 2" xfId="6095" xr:uid="{00000000-0005-0000-0000-000026030000}"/>
    <cellStyle name="20% - Accent1 3 3 2 3 2 2 2" xfId="11745" xr:uid="{00000000-0005-0000-0000-000027030000}"/>
    <cellStyle name="20% - Accent1 3 3 2 3 2 2 2 2" xfId="23046" xr:uid="{00000000-0005-0000-0000-000028030000}"/>
    <cellStyle name="20% - Accent1 3 3 2 3 2 2 2 2 2" xfId="45648" xr:uid="{00000000-0005-0000-0000-000029030000}"/>
    <cellStyle name="20% - Accent1 3 3 2 3 2 2 2 3" xfId="34347" xr:uid="{00000000-0005-0000-0000-00002A030000}"/>
    <cellStyle name="20% - Accent1 3 3 2 3 2 2 3" xfId="17396" xr:uid="{00000000-0005-0000-0000-00002B030000}"/>
    <cellStyle name="20% - Accent1 3 3 2 3 2 2 3 2" xfId="39998" xr:uid="{00000000-0005-0000-0000-00002C030000}"/>
    <cellStyle name="20% - Accent1 3 3 2 3 2 2 4" xfId="28697" xr:uid="{00000000-0005-0000-0000-00002D030000}"/>
    <cellStyle name="20% - Accent1 3 3 2 3 2 3" xfId="8913" xr:uid="{00000000-0005-0000-0000-00002E030000}"/>
    <cellStyle name="20% - Accent1 3 3 2 3 2 3 2" xfId="20214" xr:uid="{00000000-0005-0000-0000-00002F030000}"/>
    <cellStyle name="20% - Accent1 3 3 2 3 2 3 2 2" xfId="42816" xr:uid="{00000000-0005-0000-0000-000030030000}"/>
    <cellStyle name="20% - Accent1 3 3 2 3 2 3 3" xfId="31515" xr:uid="{00000000-0005-0000-0000-000031030000}"/>
    <cellStyle name="20% - Accent1 3 3 2 3 2 4" xfId="14564" xr:uid="{00000000-0005-0000-0000-000032030000}"/>
    <cellStyle name="20% - Accent1 3 3 2 3 2 4 2" xfId="37166" xr:uid="{00000000-0005-0000-0000-000033030000}"/>
    <cellStyle name="20% - Accent1 3 3 2 3 2 5" xfId="25865" xr:uid="{00000000-0005-0000-0000-000034030000}"/>
    <cellStyle name="20% - Accent1 3 3 2 3 3" xfId="4861" xr:uid="{00000000-0005-0000-0000-000035030000}"/>
    <cellStyle name="20% - Accent1 3 3 2 3 3 2" xfId="10511" xr:uid="{00000000-0005-0000-0000-000036030000}"/>
    <cellStyle name="20% - Accent1 3 3 2 3 3 2 2" xfId="21812" xr:uid="{00000000-0005-0000-0000-000037030000}"/>
    <cellStyle name="20% - Accent1 3 3 2 3 3 2 2 2" xfId="44414" xr:uid="{00000000-0005-0000-0000-000038030000}"/>
    <cellStyle name="20% - Accent1 3 3 2 3 3 2 3" xfId="33113" xr:uid="{00000000-0005-0000-0000-000039030000}"/>
    <cellStyle name="20% - Accent1 3 3 2 3 3 3" xfId="16162" xr:uid="{00000000-0005-0000-0000-00003A030000}"/>
    <cellStyle name="20% - Accent1 3 3 2 3 3 3 2" xfId="38764" xr:uid="{00000000-0005-0000-0000-00003B030000}"/>
    <cellStyle name="20% - Accent1 3 3 2 3 3 4" xfId="27463" xr:uid="{00000000-0005-0000-0000-00003C030000}"/>
    <cellStyle name="20% - Accent1 3 3 2 3 4" xfId="7048" xr:uid="{00000000-0005-0000-0000-00003D030000}"/>
    <cellStyle name="20% - Accent1 3 3 2 3 4 2" xfId="18349" xr:uid="{00000000-0005-0000-0000-00003E030000}"/>
    <cellStyle name="20% - Accent1 3 3 2 3 4 2 2" xfId="40951" xr:uid="{00000000-0005-0000-0000-00003F030000}"/>
    <cellStyle name="20% - Accent1 3 3 2 3 4 3" xfId="29650" xr:uid="{00000000-0005-0000-0000-000040030000}"/>
    <cellStyle name="20% - Accent1 3 3 2 3 5" xfId="12699" xr:uid="{00000000-0005-0000-0000-000041030000}"/>
    <cellStyle name="20% - Accent1 3 3 2 3 5 2" xfId="35301" xr:uid="{00000000-0005-0000-0000-000042030000}"/>
    <cellStyle name="20% - Accent1 3 3 2 3 6" xfId="24000" xr:uid="{00000000-0005-0000-0000-000043030000}"/>
    <cellStyle name="20% - Accent1 3 3 2 4" xfId="1551" xr:uid="{00000000-0005-0000-0000-000044030000}"/>
    <cellStyle name="20% - Accent1 3 3 2 4 2" xfId="3574" xr:uid="{00000000-0005-0000-0000-000045030000}"/>
    <cellStyle name="20% - Accent1 3 3 2 4 2 2" xfId="9303" xr:uid="{00000000-0005-0000-0000-000046030000}"/>
    <cellStyle name="20% - Accent1 3 3 2 4 2 2 2" xfId="20604" xr:uid="{00000000-0005-0000-0000-000047030000}"/>
    <cellStyle name="20% - Accent1 3 3 2 4 2 2 2 2" xfId="43206" xr:uid="{00000000-0005-0000-0000-000048030000}"/>
    <cellStyle name="20% - Accent1 3 3 2 4 2 2 3" xfId="31905" xr:uid="{00000000-0005-0000-0000-000049030000}"/>
    <cellStyle name="20% - Accent1 3 3 2 4 2 3" xfId="14954" xr:uid="{00000000-0005-0000-0000-00004A030000}"/>
    <cellStyle name="20% - Accent1 3 3 2 4 2 3 2" xfId="37556" xr:uid="{00000000-0005-0000-0000-00004B030000}"/>
    <cellStyle name="20% - Accent1 3 3 2 4 2 4" xfId="26255" xr:uid="{00000000-0005-0000-0000-00004C030000}"/>
    <cellStyle name="20% - Accent1 3 3 2 4 3" xfId="5471" xr:uid="{00000000-0005-0000-0000-00004D030000}"/>
    <cellStyle name="20% - Accent1 3 3 2 4 3 2" xfId="11121" xr:uid="{00000000-0005-0000-0000-00004E030000}"/>
    <cellStyle name="20% - Accent1 3 3 2 4 3 2 2" xfId="22422" xr:uid="{00000000-0005-0000-0000-00004F030000}"/>
    <cellStyle name="20% - Accent1 3 3 2 4 3 2 2 2" xfId="45024" xr:uid="{00000000-0005-0000-0000-000050030000}"/>
    <cellStyle name="20% - Accent1 3 3 2 4 3 2 3" xfId="33723" xr:uid="{00000000-0005-0000-0000-000051030000}"/>
    <cellStyle name="20% - Accent1 3 3 2 4 3 3" xfId="16772" xr:uid="{00000000-0005-0000-0000-000052030000}"/>
    <cellStyle name="20% - Accent1 3 3 2 4 3 3 2" xfId="39374" xr:uid="{00000000-0005-0000-0000-000053030000}"/>
    <cellStyle name="20% - Accent1 3 3 2 4 3 4" xfId="28073" xr:uid="{00000000-0005-0000-0000-000054030000}"/>
    <cellStyle name="20% - Accent1 3 3 2 4 4" xfId="7407" xr:uid="{00000000-0005-0000-0000-000055030000}"/>
    <cellStyle name="20% - Accent1 3 3 2 4 4 2" xfId="18708" xr:uid="{00000000-0005-0000-0000-000056030000}"/>
    <cellStyle name="20% - Accent1 3 3 2 4 4 2 2" xfId="41310" xr:uid="{00000000-0005-0000-0000-000057030000}"/>
    <cellStyle name="20% - Accent1 3 3 2 4 4 3" xfId="30009" xr:uid="{00000000-0005-0000-0000-000058030000}"/>
    <cellStyle name="20% - Accent1 3 3 2 4 5" xfId="13058" xr:uid="{00000000-0005-0000-0000-000059030000}"/>
    <cellStyle name="20% - Accent1 3 3 2 4 5 2" xfId="35660" xr:uid="{00000000-0005-0000-0000-00005A030000}"/>
    <cellStyle name="20% - Accent1 3 3 2 4 6" xfId="24359" xr:uid="{00000000-0005-0000-0000-00005B030000}"/>
    <cellStyle name="20% - Accent1 3 3 2 5" xfId="2452" xr:uid="{00000000-0005-0000-0000-00005C030000}"/>
    <cellStyle name="20% - Accent1 3 3 2 5 2" xfId="8288" xr:uid="{00000000-0005-0000-0000-00005D030000}"/>
    <cellStyle name="20% - Accent1 3 3 2 5 2 2" xfId="19589" xr:uid="{00000000-0005-0000-0000-00005E030000}"/>
    <cellStyle name="20% - Accent1 3 3 2 5 2 2 2" xfId="42191" xr:uid="{00000000-0005-0000-0000-00005F030000}"/>
    <cellStyle name="20% - Accent1 3 3 2 5 2 3" xfId="30890" xr:uid="{00000000-0005-0000-0000-000060030000}"/>
    <cellStyle name="20% - Accent1 3 3 2 5 3" xfId="13939" xr:uid="{00000000-0005-0000-0000-000061030000}"/>
    <cellStyle name="20% - Accent1 3 3 2 5 3 2" xfId="36541" xr:uid="{00000000-0005-0000-0000-000062030000}"/>
    <cellStyle name="20% - Accent1 3 3 2 5 4" xfId="25240" xr:uid="{00000000-0005-0000-0000-000063030000}"/>
    <cellStyle name="20% - Accent1 3 3 2 6" xfId="4237" xr:uid="{00000000-0005-0000-0000-000064030000}"/>
    <cellStyle name="20% - Accent1 3 3 2 6 2" xfId="9887" xr:uid="{00000000-0005-0000-0000-000065030000}"/>
    <cellStyle name="20% - Accent1 3 3 2 6 2 2" xfId="21188" xr:uid="{00000000-0005-0000-0000-000066030000}"/>
    <cellStyle name="20% - Accent1 3 3 2 6 2 2 2" xfId="43790" xr:uid="{00000000-0005-0000-0000-000067030000}"/>
    <cellStyle name="20% - Accent1 3 3 2 6 2 3" xfId="32489" xr:uid="{00000000-0005-0000-0000-000068030000}"/>
    <cellStyle name="20% - Accent1 3 3 2 6 3" xfId="15538" xr:uid="{00000000-0005-0000-0000-000069030000}"/>
    <cellStyle name="20% - Accent1 3 3 2 6 3 2" xfId="38140" xr:uid="{00000000-0005-0000-0000-00006A030000}"/>
    <cellStyle name="20% - Accent1 3 3 2 6 4" xfId="26839" xr:uid="{00000000-0005-0000-0000-00006B030000}"/>
    <cellStyle name="20% - Accent1 3 3 2 7" xfId="6717" xr:uid="{00000000-0005-0000-0000-00006C030000}"/>
    <cellStyle name="20% - Accent1 3 3 2 7 2" xfId="18018" xr:uid="{00000000-0005-0000-0000-00006D030000}"/>
    <cellStyle name="20% - Accent1 3 3 2 7 2 2" xfId="40620" xr:uid="{00000000-0005-0000-0000-00006E030000}"/>
    <cellStyle name="20% - Accent1 3 3 2 7 3" xfId="29319" xr:uid="{00000000-0005-0000-0000-00006F030000}"/>
    <cellStyle name="20% - Accent1 3 3 2 8" xfId="12368" xr:uid="{00000000-0005-0000-0000-000070030000}"/>
    <cellStyle name="20% - Accent1 3 3 2 8 2" xfId="34970" xr:uid="{00000000-0005-0000-0000-000071030000}"/>
    <cellStyle name="20% - Accent1 3 3 2 9" xfId="23669" xr:uid="{00000000-0005-0000-0000-000072030000}"/>
    <cellStyle name="20% - Accent1 3 3 3" xfId="1224" xr:uid="{00000000-0005-0000-0000-000073030000}"/>
    <cellStyle name="20% - Accent1 3 3 3 2" xfId="1553" xr:uid="{00000000-0005-0000-0000-000074030000}"/>
    <cellStyle name="20% - Accent1 3 3 3 2 2" xfId="3292" xr:uid="{00000000-0005-0000-0000-000075030000}"/>
    <cellStyle name="20% - Accent1 3 3 3 2 2 2" xfId="6264" xr:uid="{00000000-0005-0000-0000-000076030000}"/>
    <cellStyle name="20% - Accent1 3 3 3 2 2 2 2" xfId="11914" xr:uid="{00000000-0005-0000-0000-000077030000}"/>
    <cellStyle name="20% - Accent1 3 3 3 2 2 2 2 2" xfId="23215" xr:uid="{00000000-0005-0000-0000-000078030000}"/>
    <cellStyle name="20% - Accent1 3 3 3 2 2 2 2 2 2" xfId="45817" xr:uid="{00000000-0005-0000-0000-000079030000}"/>
    <cellStyle name="20% - Accent1 3 3 3 2 2 2 2 3" xfId="34516" xr:uid="{00000000-0005-0000-0000-00007A030000}"/>
    <cellStyle name="20% - Accent1 3 3 3 2 2 2 3" xfId="17565" xr:uid="{00000000-0005-0000-0000-00007B030000}"/>
    <cellStyle name="20% - Accent1 3 3 3 2 2 2 3 2" xfId="40167" xr:uid="{00000000-0005-0000-0000-00007C030000}"/>
    <cellStyle name="20% - Accent1 3 3 3 2 2 2 4" xfId="28866" xr:uid="{00000000-0005-0000-0000-00007D030000}"/>
    <cellStyle name="20% - Accent1 3 3 3 2 2 3" xfId="9082" xr:uid="{00000000-0005-0000-0000-00007E030000}"/>
    <cellStyle name="20% - Accent1 3 3 3 2 2 3 2" xfId="20383" xr:uid="{00000000-0005-0000-0000-00007F030000}"/>
    <cellStyle name="20% - Accent1 3 3 3 2 2 3 2 2" xfId="42985" xr:uid="{00000000-0005-0000-0000-000080030000}"/>
    <cellStyle name="20% - Accent1 3 3 3 2 2 3 3" xfId="31684" xr:uid="{00000000-0005-0000-0000-000081030000}"/>
    <cellStyle name="20% - Accent1 3 3 3 2 2 4" xfId="14733" xr:uid="{00000000-0005-0000-0000-000082030000}"/>
    <cellStyle name="20% - Accent1 3 3 3 2 2 4 2" xfId="37335" xr:uid="{00000000-0005-0000-0000-000083030000}"/>
    <cellStyle name="20% - Accent1 3 3 3 2 2 5" xfId="26034" xr:uid="{00000000-0005-0000-0000-000084030000}"/>
    <cellStyle name="20% - Accent1 3 3 3 2 3" xfId="5030" xr:uid="{00000000-0005-0000-0000-000085030000}"/>
    <cellStyle name="20% - Accent1 3 3 3 2 3 2" xfId="10680" xr:uid="{00000000-0005-0000-0000-000086030000}"/>
    <cellStyle name="20% - Accent1 3 3 3 2 3 2 2" xfId="21981" xr:uid="{00000000-0005-0000-0000-000087030000}"/>
    <cellStyle name="20% - Accent1 3 3 3 2 3 2 2 2" xfId="44583" xr:uid="{00000000-0005-0000-0000-000088030000}"/>
    <cellStyle name="20% - Accent1 3 3 3 2 3 2 3" xfId="33282" xr:uid="{00000000-0005-0000-0000-000089030000}"/>
    <cellStyle name="20% - Accent1 3 3 3 2 3 3" xfId="16331" xr:uid="{00000000-0005-0000-0000-00008A030000}"/>
    <cellStyle name="20% - Accent1 3 3 3 2 3 3 2" xfId="38933" xr:uid="{00000000-0005-0000-0000-00008B030000}"/>
    <cellStyle name="20% - Accent1 3 3 3 2 3 4" xfId="27632" xr:uid="{00000000-0005-0000-0000-00008C030000}"/>
    <cellStyle name="20% - Accent1 3 3 3 2 4" xfId="7409" xr:uid="{00000000-0005-0000-0000-00008D030000}"/>
    <cellStyle name="20% - Accent1 3 3 3 2 4 2" xfId="18710" xr:uid="{00000000-0005-0000-0000-00008E030000}"/>
    <cellStyle name="20% - Accent1 3 3 3 2 4 2 2" xfId="41312" xr:uid="{00000000-0005-0000-0000-00008F030000}"/>
    <cellStyle name="20% - Accent1 3 3 3 2 4 3" xfId="30011" xr:uid="{00000000-0005-0000-0000-000090030000}"/>
    <cellStyle name="20% - Accent1 3 3 3 2 5" xfId="13060" xr:uid="{00000000-0005-0000-0000-000091030000}"/>
    <cellStyle name="20% - Accent1 3 3 3 2 5 2" xfId="35662" xr:uid="{00000000-0005-0000-0000-000092030000}"/>
    <cellStyle name="20% - Accent1 3 3 3 2 6" xfId="24361" xr:uid="{00000000-0005-0000-0000-000093030000}"/>
    <cellStyle name="20% - Accent1 3 3 3 3" xfId="2621" xr:uid="{00000000-0005-0000-0000-000094030000}"/>
    <cellStyle name="20% - Accent1 3 3 3 3 2" xfId="5640" xr:uid="{00000000-0005-0000-0000-000095030000}"/>
    <cellStyle name="20% - Accent1 3 3 3 3 2 2" xfId="11290" xr:uid="{00000000-0005-0000-0000-000096030000}"/>
    <cellStyle name="20% - Accent1 3 3 3 3 2 2 2" xfId="22591" xr:uid="{00000000-0005-0000-0000-000097030000}"/>
    <cellStyle name="20% - Accent1 3 3 3 3 2 2 2 2" xfId="45193" xr:uid="{00000000-0005-0000-0000-000098030000}"/>
    <cellStyle name="20% - Accent1 3 3 3 3 2 2 3" xfId="33892" xr:uid="{00000000-0005-0000-0000-000099030000}"/>
    <cellStyle name="20% - Accent1 3 3 3 3 2 3" xfId="16941" xr:uid="{00000000-0005-0000-0000-00009A030000}"/>
    <cellStyle name="20% - Accent1 3 3 3 3 2 3 2" xfId="39543" xr:uid="{00000000-0005-0000-0000-00009B030000}"/>
    <cellStyle name="20% - Accent1 3 3 3 3 2 4" xfId="28242" xr:uid="{00000000-0005-0000-0000-00009C030000}"/>
    <cellStyle name="20% - Accent1 3 3 3 3 3" xfId="8457" xr:uid="{00000000-0005-0000-0000-00009D030000}"/>
    <cellStyle name="20% - Accent1 3 3 3 3 3 2" xfId="19758" xr:uid="{00000000-0005-0000-0000-00009E030000}"/>
    <cellStyle name="20% - Accent1 3 3 3 3 3 2 2" xfId="42360" xr:uid="{00000000-0005-0000-0000-00009F030000}"/>
    <cellStyle name="20% - Accent1 3 3 3 3 3 3" xfId="31059" xr:uid="{00000000-0005-0000-0000-0000A0030000}"/>
    <cellStyle name="20% - Accent1 3 3 3 3 4" xfId="14108" xr:uid="{00000000-0005-0000-0000-0000A1030000}"/>
    <cellStyle name="20% - Accent1 3 3 3 3 4 2" xfId="36710" xr:uid="{00000000-0005-0000-0000-0000A2030000}"/>
    <cellStyle name="20% - Accent1 3 3 3 3 5" xfId="25409" xr:uid="{00000000-0005-0000-0000-0000A3030000}"/>
    <cellStyle name="20% - Accent1 3 3 3 4" xfId="4406" xr:uid="{00000000-0005-0000-0000-0000A4030000}"/>
    <cellStyle name="20% - Accent1 3 3 3 4 2" xfId="10056" xr:uid="{00000000-0005-0000-0000-0000A5030000}"/>
    <cellStyle name="20% - Accent1 3 3 3 4 2 2" xfId="21357" xr:uid="{00000000-0005-0000-0000-0000A6030000}"/>
    <cellStyle name="20% - Accent1 3 3 3 4 2 2 2" xfId="43959" xr:uid="{00000000-0005-0000-0000-0000A7030000}"/>
    <cellStyle name="20% - Accent1 3 3 3 4 2 3" xfId="32658" xr:uid="{00000000-0005-0000-0000-0000A8030000}"/>
    <cellStyle name="20% - Accent1 3 3 3 4 3" xfId="15707" xr:uid="{00000000-0005-0000-0000-0000A9030000}"/>
    <cellStyle name="20% - Accent1 3 3 3 4 3 2" xfId="38309" xr:uid="{00000000-0005-0000-0000-0000AA030000}"/>
    <cellStyle name="20% - Accent1 3 3 3 4 4" xfId="27008" xr:uid="{00000000-0005-0000-0000-0000AB030000}"/>
    <cellStyle name="20% - Accent1 3 3 3 5" xfId="7203" xr:uid="{00000000-0005-0000-0000-0000AC030000}"/>
    <cellStyle name="20% - Accent1 3 3 3 5 2" xfId="18504" xr:uid="{00000000-0005-0000-0000-0000AD030000}"/>
    <cellStyle name="20% - Accent1 3 3 3 5 2 2" xfId="41106" xr:uid="{00000000-0005-0000-0000-0000AE030000}"/>
    <cellStyle name="20% - Accent1 3 3 3 5 3" xfId="29805" xr:uid="{00000000-0005-0000-0000-0000AF030000}"/>
    <cellStyle name="20% - Accent1 3 3 3 6" xfId="12854" xr:uid="{00000000-0005-0000-0000-0000B0030000}"/>
    <cellStyle name="20% - Accent1 3 3 3 6 2" xfId="35456" xr:uid="{00000000-0005-0000-0000-0000B1030000}"/>
    <cellStyle name="20% - Accent1 3 3 3 7" xfId="24155" xr:uid="{00000000-0005-0000-0000-0000B2030000}"/>
    <cellStyle name="20% - Accent1 3 3 4" xfId="915" xr:uid="{00000000-0005-0000-0000-0000B3030000}"/>
    <cellStyle name="20% - Accent1 3 3 4 2" xfId="2985" xr:uid="{00000000-0005-0000-0000-0000B4030000}"/>
    <cellStyle name="20% - Accent1 3 3 4 2 2" xfId="5957" xr:uid="{00000000-0005-0000-0000-0000B5030000}"/>
    <cellStyle name="20% - Accent1 3 3 4 2 2 2" xfId="11607" xr:uid="{00000000-0005-0000-0000-0000B6030000}"/>
    <cellStyle name="20% - Accent1 3 3 4 2 2 2 2" xfId="22908" xr:uid="{00000000-0005-0000-0000-0000B7030000}"/>
    <cellStyle name="20% - Accent1 3 3 4 2 2 2 2 2" xfId="45510" xr:uid="{00000000-0005-0000-0000-0000B8030000}"/>
    <cellStyle name="20% - Accent1 3 3 4 2 2 2 3" xfId="34209" xr:uid="{00000000-0005-0000-0000-0000B9030000}"/>
    <cellStyle name="20% - Accent1 3 3 4 2 2 3" xfId="17258" xr:uid="{00000000-0005-0000-0000-0000BA030000}"/>
    <cellStyle name="20% - Accent1 3 3 4 2 2 3 2" xfId="39860" xr:uid="{00000000-0005-0000-0000-0000BB030000}"/>
    <cellStyle name="20% - Accent1 3 3 4 2 2 4" xfId="28559" xr:uid="{00000000-0005-0000-0000-0000BC030000}"/>
    <cellStyle name="20% - Accent1 3 3 4 2 3" xfId="8775" xr:uid="{00000000-0005-0000-0000-0000BD030000}"/>
    <cellStyle name="20% - Accent1 3 3 4 2 3 2" xfId="20076" xr:uid="{00000000-0005-0000-0000-0000BE030000}"/>
    <cellStyle name="20% - Accent1 3 3 4 2 3 2 2" xfId="42678" xr:uid="{00000000-0005-0000-0000-0000BF030000}"/>
    <cellStyle name="20% - Accent1 3 3 4 2 3 3" xfId="31377" xr:uid="{00000000-0005-0000-0000-0000C0030000}"/>
    <cellStyle name="20% - Accent1 3 3 4 2 4" xfId="14426" xr:uid="{00000000-0005-0000-0000-0000C1030000}"/>
    <cellStyle name="20% - Accent1 3 3 4 2 4 2" xfId="37028" xr:uid="{00000000-0005-0000-0000-0000C2030000}"/>
    <cellStyle name="20% - Accent1 3 3 4 2 5" xfId="25727" xr:uid="{00000000-0005-0000-0000-0000C3030000}"/>
    <cellStyle name="20% - Accent1 3 3 4 3" xfId="4723" xr:uid="{00000000-0005-0000-0000-0000C4030000}"/>
    <cellStyle name="20% - Accent1 3 3 4 3 2" xfId="10373" xr:uid="{00000000-0005-0000-0000-0000C5030000}"/>
    <cellStyle name="20% - Accent1 3 3 4 3 2 2" xfId="21674" xr:uid="{00000000-0005-0000-0000-0000C6030000}"/>
    <cellStyle name="20% - Accent1 3 3 4 3 2 2 2" xfId="44276" xr:uid="{00000000-0005-0000-0000-0000C7030000}"/>
    <cellStyle name="20% - Accent1 3 3 4 3 2 3" xfId="32975" xr:uid="{00000000-0005-0000-0000-0000C8030000}"/>
    <cellStyle name="20% - Accent1 3 3 4 3 3" xfId="16024" xr:uid="{00000000-0005-0000-0000-0000C9030000}"/>
    <cellStyle name="20% - Accent1 3 3 4 3 3 2" xfId="38626" xr:uid="{00000000-0005-0000-0000-0000CA030000}"/>
    <cellStyle name="20% - Accent1 3 3 4 3 4" xfId="27325" xr:uid="{00000000-0005-0000-0000-0000CB030000}"/>
    <cellStyle name="20% - Accent1 3 3 4 4" xfId="6910" xr:uid="{00000000-0005-0000-0000-0000CC030000}"/>
    <cellStyle name="20% - Accent1 3 3 4 4 2" xfId="18211" xr:uid="{00000000-0005-0000-0000-0000CD030000}"/>
    <cellStyle name="20% - Accent1 3 3 4 4 2 2" xfId="40813" xr:uid="{00000000-0005-0000-0000-0000CE030000}"/>
    <cellStyle name="20% - Accent1 3 3 4 4 3" xfId="29512" xr:uid="{00000000-0005-0000-0000-0000CF030000}"/>
    <cellStyle name="20% - Accent1 3 3 4 5" xfId="12561" xr:uid="{00000000-0005-0000-0000-0000D0030000}"/>
    <cellStyle name="20% - Accent1 3 3 4 5 2" xfId="35163" xr:uid="{00000000-0005-0000-0000-0000D1030000}"/>
    <cellStyle name="20% - Accent1 3 3 4 6" xfId="23862" xr:uid="{00000000-0005-0000-0000-0000D2030000}"/>
    <cellStyle name="20% - Accent1 3 3 5" xfId="1550" xr:uid="{00000000-0005-0000-0000-0000D3030000}"/>
    <cellStyle name="20% - Accent1 3 3 5 2" xfId="2272" xr:uid="{00000000-0005-0000-0000-0000D4030000}"/>
    <cellStyle name="20% - Accent1 3 3 5 2 2" xfId="8108" xr:uid="{00000000-0005-0000-0000-0000D5030000}"/>
    <cellStyle name="20% - Accent1 3 3 5 2 2 2" xfId="19409" xr:uid="{00000000-0005-0000-0000-0000D6030000}"/>
    <cellStyle name="20% - Accent1 3 3 5 2 2 2 2" xfId="42011" xr:uid="{00000000-0005-0000-0000-0000D7030000}"/>
    <cellStyle name="20% - Accent1 3 3 5 2 2 3" xfId="30710" xr:uid="{00000000-0005-0000-0000-0000D8030000}"/>
    <cellStyle name="20% - Accent1 3 3 5 2 3" xfId="13759" xr:uid="{00000000-0005-0000-0000-0000D9030000}"/>
    <cellStyle name="20% - Accent1 3 3 5 2 3 2" xfId="36361" xr:uid="{00000000-0005-0000-0000-0000DA030000}"/>
    <cellStyle name="20% - Accent1 3 3 5 2 4" xfId="25060" xr:uid="{00000000-0005-0000-0000-0000DB030000}"/>
    <cellStyle name="20% - Accent1 3 3 5 3" xfId="5333" xr:uid="{00000000-0005-0000-0000-0000DC030000}"/>
    <cellStyle name="20% - Accent1 3 3 5 3 2" xfId="10983" xr:uid="{00000000-0005-0000-0000-0000DD030000}"/>
    <cellStyle name="20% - Accent1 3 3 5 3 2 2" xfId="22284" xr:uid="{00000000-0005-0000-0000-0000DE030000}"/>
    <cellStyle name="20% - Accent1 3 3 5 3 2 2 2" xfId="44886" xr:uid="{00000000-0005-0000-0000-0000DF030000}"/>
    <cellStyle name="20% - Accent1 3 3 5 3 2 3" xfId="33585" xr:uid="{00000000-0005-0000-0000-0000E0030000}"/>
    <cellStyle name="20% - Accent1 3 3 5 3 3" xfId="16634" xr:uid="{00000000-0005-0000-0000-0000E1030000}"/>
    <cellStyle name="20% - Accent1 3 3 5 3 3 2" xfId="39236" xr:uid="{00000000-0005-0000-0000-0000E2030000}"/>
    <cellStyle name="20% - Accent1 3 3 5 3 4" xfId="27935" xr:uid="{00000000-0005-0000-0000-0000E3030000}"/>
    <cellStyle name="20% - Accent1 3 3 5 4" xfId="7406" xr:uid="{00000000-0005-0000-0000-0000E4030000}"/>
    <cellStyle name="20% - Accent1 3 3 5 4 2" xfId="18707" xr:uid="{00000000-0005-0000-0000-0000E5030000}"/>
    <cellStyle name="20% - Accent1 3 3 5 4 2 2" xfId="41309" xr:uid="{00000000-0005-0000-0000-0000E6030000}"/>
    <cellStyle name="20% - Accent1 3 3 5 4 3" xfId="30008" xr:uid="{00000000-0005-0000-0000-0000E7030000}"/>
    <cellStyle name="20% - Accent1 3 3 5 5" xfId="13057" xr:uid="{00000000-0005-0000-0000-0000E8030000}"/>
    <cellStyle name="20% - Accent1 3 3 5 5 2" xfId="35659" xr:uid="{00000000-0005-0000-0000-0000E9030000}"/>
    <cellStyle name="20% - Accent1 3 3 5 6" xfId="24358" xr:uid="{00000000-0005-0000-0000-0000EA030000}"/>
    <cellStyle name="20% - Accent1 3 3 6" xfId="2312" xr:uid="{00000000-0005-0000-0000-0000EB030000}"/>
    <cellStyle name="20% - Accent1 3 3 6 2" xfId="8148" xr:uid="{00000000-0005-0000-0000-0000EC030000}"/>
    <cellStyle name="20% - Accent1 3 3 6 2 2" xfId="19449" xr:uid="{00000000-0005-0000-0000-0000ED030000}"/>
    <cellStyle name="20% - Accent1 3 3 6 2 2 2" xfId="42051" xr:uid="{00000000-0005-0000-0000-0000EE030000}"/>
    <cellStyle name="20% - Accent1 3 3 6 2 3" xfId="30750" xr:uid="{00000000-0005-0000-0000-0000EF030000}"/>
    <cellStyle name="20% - Accent1 3 3 6 3" xfId="13799" xr:uid="{00000000-0005-0000-0000-0000F0030000}"/>
    <cellStyle name="20% - Accent1 3 3 6 3 2" xfId="36401" xr:uid="{00000000-0005-0000-0000-0000F1030000}"/>
    <cellStyle name="20% - Accent1 3 3 6 4" xfId="25100" xr:uid="{00000000-0005-0000-0000-0000F2030000}"/>
    <cellStyle name="20% - Accent1 3 3 7" xfId="4099" xr:uid="{00000000-0005-0000-0000-0000F3030000}"/>
    <cellStyle name="20% - Accent1 3 3 7 2" xfId="9749" xr:uid="{00000000-0005-0000-0000-0000F4030000}"/>
    <cellStyle name="20% - Accent1 3 3 7 2 2" xfId="21050" xr:uid="{00000000-0005-0000-0000-0000F5030000}"/>
    <cellStyle name="20% - Accent1 3 3 7 2 2 2" xfId="43652" xr:uid="{00000000-0005-0000-0000-0000F6030000}"/>
    <cellStyle name="20% - Accent1 3 3 7 2 3" xfId="32351" xr:uid="{00000000-0005-0000-0000-0000F7030000}"/>
    <cellStyle name="20% - Accent1 3 3 7 3" xfId="15400" xr:uid="{00000000-0005-0000-0000-0000F8030000}"/>
    <cellStyle name="20% - Accent1 3 3 7 3 2" xfId="38002" xr:uid="{00000000-0005-0000-0000-0000F9030000}"/>
    <cellStyle name="20% - Accent1 3 3 7 4" xfId="26701" xr:uid="{00000000-0005-0000-0000-0000FA030000}"/>
    <cellStyle name="20% - Accent1 3 3 8" xfId="6550" xr:uid="{00000000-0005-0000-0000-0000FB030000}"/>
    <cellStyle name="20% - Accent1 3 3 8 2" xfId="17851" xr:uid="{00000000-0005-0000-0000-0000FC030000}"/>
    <cellStyle name="20% - Accent1 3 3 8 2 2" xfId="40453" xr:uid="{00000000-0005-0000-0000-0000FD030000}"/>
    <cellStyle name="20% - Accent1 3 3 8 3" xfId="29152" xr:uid="{00000000-0005-0000-0000-0000FE030000}"/>
    <cellStyle name="20% - Accent1 3 3 9" xfId="12201" xr:uid="{00000000-0005-0000-0000-0000FF030000}"/>
    <cellStyle name="20% - Accent1 3 3 9 2" xfId="34803" xr:uid="{00000000-0005-0000-0000-000000040000}"/>
    <cellStyle name="20% - Accent1 3 4" xfId="543" xr:uid="{00000000-0005-0000-0000-000001040000}"/>
    <cellStyle name="20% - Accent1 3 4 2" xfId="1128" xr:uid="{00000000-0005-0000-0000-000002040000}"/>
    <cellStyle name="20% - Accent1 3 4 2 2" xfId="1555" xr:uid="{00000000-0005-0000-0000-000003040000}"/>
    <cellStyle name="20% - Accent1 3 4 2 2 2" xfId="3195" xr:uid="{00000000-0005-0000-0000-000004040000}"/>
    <cellStyle name="20% - Accent1 3 4 2 2 2 2" xfId="6167" xr:uid="{00000000-0005-0000-0000-000005040000}"/>
    <cellStyle name="20% - Accent1 3 4 2 2 2 2 2" xfId="11817" xr:uid="{00000000-0005-0000-0000-000006040000}"/>
    <cellStyle name="20% - Accent1 3 4 2 2 2 2 2 2" xfId="23118" xr:uid="{00000000-0005-0000-0000-000007040000}"/>
    <cellStyle name="20% - Accent1 3 4 2 2 2 2 2 2 2" xfId="45720" xr:uid="{00000000-0005-0000-0000-000008040000}"/>
    <cellStyle name="20% - Accent1 3 4 2 2 2 2 2 3" xfId="34419" xr:uid="{00000000-0005-0000-0000-000009040000}"/>
    <cellStyle name="20% - Accent1 3 4 2 2 2 2 3" xfId="17468" xr:uid="{00000000-0005-0000-0000-00000A040000}"/>
    <cellStyle name="20% - Accent1 3 4 2 2 2 2 3 2" xfId="40070" xr:uid="{00000000-0005-0000-0000-00000B040000}"/>
    <cellStyle name="20% - Accent1 3 4 2 2 2 2 4" xfId="28769" xr:uid="{00000000-0005-0000-0000-00000C040000}"/>
    <cellStyle name="20% - Accent1 3 4 2 2 2 3" xfId="8985" xr:uid="{00000000-0005-0000-0000-00000D040000}"/>
    <cellStyle name="20% - Accent1 3 4 2 2 2 3 2" xfId="20286" xr:uid="{00000000-0005-0000-0000-00000E040000}"/>
    <cellStyle name="20% - Accent1 3 4 2 2 2 3 2 2" xfId="42888" xr:uid="{00000000-0005-0000-0000-00000F040000}"/>
    <cellStyle name="20% - Accent1 3 4 2 2 2 3 3" xfId="31587" xr:uid="{00000000-0005-0000-0000-000010040000}"/>
    <cellStyle name="20% - Accent1 3 4 2 2 2 4" xfId="14636" xr:uid="{00000000-0005-0000-0000-000011040000}"/>
    <cellStyle name="20% - Accent1 3 4 2 2 2 4 2" xfId="37238" xr:uid="{00000000-0005-0000-0000-000012040000}"/>
    <cellStyle name="20% - Accent1 3 4 2 2 2 5" xfId="25937" xr:uid="{00000000-0005-0000-0000-000013040000}"/>
    <cellStyle name="20% - Accent1 3 4 2 2 3" xfId="4933" xr:uid="{00000000-0005-0000-0000-000014040000}"/>
    <cellStyle name="20% - Accent1 3 4 2 2 3 2" xfId="10583" xr:uid="{00000000-0005-0000-0000-000015040000}"/>
    <cellStyle name="20% - Accent1 3 4 2 2 3 2 2" xfId="21884" xr:uid="{00000000-0005-0000-0000-000016040000}"/>
    <cellStyle name="20% - Accent1 3 4 2 2 3 2 2 2" xfId="44486" xr:uid="{00000000-0005-0000-0000-000017040000}"/>
    <cellStyle name="20% - Accent1 3 4 2 2 3 2 3" xfId="33185" xr:uid="{00000000-0005-0000-0000-000018040000}"/>
    <cellStyle name="20% - Accent1 3 4 2 2 3 3" xfId="16234" xr:uid="{00000000-0005-0000-0000-000019040000}"/>
    <cellStyle name="20% - Accent1 3 4 2 2 3 3 2" xfId="38836" xr:uid="{00000000-0005-0000-0000-00001A040000}"/>
    <cellStyle name="20% - Accent1 3 4 2 2 3 4" xfId="27535" xr:uid="{00000000-0005-0000-0000-00001B040000}"/>
    <cellStyle name="20% - Accent1 3 4 2 2 4" xfId="7411" xr:uid="{00000000-0005-0000-0000-00001C040000}"/>
    <cellStyle name="20% - Accent1 3 4 2 2 4 2" xfId="18712" xr:uid="{00000000-0005-0000-0000-00001D040000}"/>
    <cellStyle name="20% - Accent1 3 4 2 2 4 2 2" xfId="41314" xr:uid="{00000000-0005-0000-0000-00001E040000}"/>
    <cellStyle name="20% - Accent1 3 4 2 2 4 3" xfId="30013" xr:uid="{00000000-0005-0000-0000-00001F040000}"/>
    <cellStyle name="20% - Accent1 3 4 2 2 5" xfId="13062" xr:uid="{00000000-0005-0000-0000-000020040000}"/>
    <cellStyle name="20% - Accent1 3 4 2 2 5 2" xfId="35664" xr:uid="{00000000-0005-0000-0000-000021040000}"/>
    <cellStyle name="20% - Accent1 3 4 2 2 6" xfId="24363" xr:uid="{00000000-0005-0000-0000-000022040000}"/>
    <cellStyle name="20% - Accent1 3 4 2 3" xfId="2524" xr:uid="{00000000-0005-0000-0000-000023040000}"/>
    <cellStyle name="20% - Accent1 3 4 2 3 2" xfId="5543" xr:uid="{00000000-0005-0000-0000-000024040000}"/>
    <cellStyle name="20% - Accent1 3 4 2 3 2 2" xfId="11193" xr:uid="{00000000-0005-0000-0000-000025040000}"/>
    <cellStyle name="20% - Accent1 3 4 2 3 2 2 2" xfId="22494" xr:uid="{00000000-0005-0000-0000-000026040000}"/>
    <cellStyle name="20% - Accent1 3 4 2 3 2 2 2 2" xfId="45096" xr:uid="{00000000-0005-0000-0000-000027040000}"/>
    <cellStyle name="20% - Accent1 3 4 2 3 2 2 3" xfId="33795" xr:uid="{00000000-0005-0000-0000-000028040000}"/>
    <cellStyle name="20% - Accent1 3 4 2 3 2 3" xfId="16844" xr:uid="{00000000-0005-0000-0000-000029040000}"/>
    <cellStyle name="20% - Accent1 3 4 2 3 2 3 2" xfId="39446" xr:uid="{00000000-0005-0000-0000-00002A040000}"/>
    <cellStyle name="20% - Accent1 3 4 2 3 2 4" xfId="28145" xr:uid="{00000000-0005-0000-0000-00002B040000}"/>
    <cellStyle name="20% - Accent1 3 4 2 3 3" xfId="8360" xr:uid="{00000000-0005-0000-0000-00002C040000}"/>
    <cellStyle name="20% - Accent1 3 4 2 3 3 2" xfId="19661" xr:uid="{00000000-0005-0000-0000-00002D040000}"/>
    <cellStyle name="20% - Accent1 3 4 2 3 3 2 2" xfId="42263" xr:uid="{00000000-0005-0000-0000-00002E040000}"/>
    <cellStyle name="20% - Accent1 3 4 2 3 3 3" xfId="30962" xr:uid="{00000000-0005-0000-0000-00002F040000}"/>
    <cellStyle name="20% - Accent1 3 4 2 3 4" xfId="14011" xr:uid="{00000000-0005-0000-0000-000030040000}"/>
    <cellStyle name="20% - Accent1 3 4 2 3 4 2" xfId="36613" xr:uid="{00000000-0005-0000-0000-000031040000}"/>
    <cellStyle name="20% - Accent1 3 4 2 3 5" xfId="25312" xr:uid="{00000000-0005-0000-0000-000032040000}"/>
    <cellStyle name="20% - Accent1 3 4 2 4" xfId="4309" xr:uid="{00000000-0005-0000-0000-000033040000}"/>
    <cellStyle name="20% - Accent1 3 4 2 4 2" xfId="9959" xr:uid="{00000000-0005-0000-0000-000034040000}"/>
    <cellStyle name="20% - Accent1 3 4 2 4 2 2" xfId="21260" xr:uid="{00000000-0005-0000-0000-000035040000}"/>
    <cellStyle name="20% - Accent1 3 4 2 4 2 2 2" xfId="43862" xr:uid="{00000000-0005-0000-0000-000036040000}"/>
    <cellStyle name="20% - Accent1 3 4 2 4 2 3" xfId="32561" xr:uid="{00000000-0005-0000-0000-000037040000}"/>
    <cellStyle name="20% - Accent1 3 4 2 4 3" xfId="15610" xr:uid="{00000000-0005-0000-0000-000038040000}"/>
    <cellStyle name="20% - Accent1 3 4 2 4 3 2" xfId="38212" xr:uid="{00000000-0005-0000-0000-000039040000}"/>
    <cellStyle name="20% - Accent1 3 4 2 4 4" xfId="26911" xr:uid="{00000000-0005-0000-0000-00003A040000}"/>
    <cellStyle name="20% - Accent1 3 4 2 5" xfId="7107" xr:uid="{00000000-0005-0000-0000-00003B040000}"/>
    <cellStyle name="20% - Accent1 3 4 2 5 2" xfId="18408" xr:uid="{00000000-0005-0000-0000-00003C040000}"/>
    <cellStyle name="20% - Accent1 3 4 2 5 2 2" xfId="41010" xr:uid="{00000000-0005-0000-0000-00003D040000}"/>
    <cellStyle name="20% - Accent1 3 4 2 5 3" xfId="29709" xr:uid="{00000000-0005-0000-0000-00003E040000}"/>
    <cellStyle name="20% - Accent1 3 4 2 6" xfId="12758" xr:uid="{00000000-0005-0000-0000-00003F040000}"/>
    <cellStyle name="20% - Accent1 3 4 2 6 2" xfId="35360" xr:uid="{00000000-0005-0000-0000-000040040000}"/>
    <cellStyle name="20% - Accent1 3 4 2 7" xfId="24059" xr:uid="{00000000-0005-0000-0000-000041040000}"/>
    <cellStyle name="20% - Accent1 3 4 3" xfId="799" xr:uid="{00000000-0005-0000-0000-000042040000}"/>
    <cellStyle name="20% - Accent1 3 4 3 2" xfId="2889" xr:uid="{00000000-0005-0000-0000-000043040000}"/>
    <cellStyle name="20% - Accent1 3 4 3 2 2" xfId="5861" xr:uid="{00000000-0005-0000-0000-000044040000}"/>
    <cellStyle name="20% - Accent1 3 4 3 2 2 2" xfId="11511" xr:uid="{00000000-0005-0000-0000-000045040000}"/>
    <cellStyle name="20% - Accent1 3 4 3 2 2 2 2" xfId="22812" xr:uid="{00000000-0005-0000-0000-000046040000}"/>
    <cellStyle name="20% - Accent1 3 4 3 2 2 2 2 2" xfId="45414" xr:uid="{00000000-0005-0000-0000-000047040000}"/>
    <cellStyle name="20% - Accent1 3 4 3 2 2 2 3" xfId="34113" xr:uid="{00000000-0005-0000-0000-000048040000}"/>
    <cellStyle name="20% - Accent1 3 4 3 2 2 3" xfId="17162" xr:uid="{00000000-0005-0000-0000-000049040000}"/>
    <cellStyle name="20% - Accent1 3 4 3 2 2 3 2" xfId="39764" xr:uid="{00000000-0005-0000-0000-00004A040000}"/>
    <cellStyle name="20% - Accent1 3 4 3 2 2 4" xfId="28463" xr:uid="{00000000-0005-0000-0000-00004B040000}"/>
    <cellStyle name="20% - Accent1 3 4 3 2 3" xfId="8679" xr:uid="{00000000-0005-0000-0000-00004C040000}"/>
    <cellStyle name="20% - Accent1 3 4 3 2 3 2" xfId="19980" xr:uid="{00000000-0005-0000-0000-00004D040000}"/>
    <cellStyle name="20% - Accent1 3 4 3 2 3 2 2" xfId="42582" xr:uid="{00000000-0005-0000-0000-00004E040000}"/>
    <cellStyle name="20% - Accent1 3 4 3 2 3 3" xfId="31281" xr:uid="{00000000-0005-0000-0000-00004F040000}"/>
    <cellStyle name="20% - Accent1 3 4 3 2 4" xfId="14330" xr:uid="{00000000-0005-0000-0000-000050040000}"/>
    <cellStyle name="20% - Accent1 3 4 3 2 4 2" xfId="36932" xr:uid="{00000000-0005-0000-0000-000051040000}"/>
    <cellStyle name="20% - Accent1 3 4 3 2 5" xfId="25631" xr:uid="{00000000-0005-0000-0000-000052040000}"/>
    <cellStyle name="20% - Accent1 3 4 3 3" xfId="4627" xr:uid="{00000000-0005-0000-0000-000053040000}"/>
    <cellStyle name="20% - Accent1 3 4 3 3 2" xfId="10277" xr:uid="{00000000-0005-0000-0000-000054040000}"/>
    <cellStyle name="20% - Accent1 3 4 3 3 2 2" xfId="21578" xr:uid="{00000000-0005-0000-0000-000055040000}"/>
    <cellStyle name="20% - Accent1 3 4 3 3 2 2 2" xfId="44180" xr:uid="{00000000-0005-0000-0000-000056040000}"/>
    <cellStyle name="20% - Accent1 3 4 3 3 2 3" xfId="32879" xr:uid="{00000000-0005-0000-0000-000057040000}"/>
    <cellStyle name="20% - Accent1 3 4 3 3 3" xfId="15928" xr:uid="{00000000-0005-0000-0000-000058040000}"/>
    <cellStyle name="20% - Accent1 3 4 3 3 3 2" xfId="38530" xr:uid="{00000000-0005-0000-0000-000059040000}"/>
    <cellStyle name="20% - Accent1 3 4 3 3 4" xfId="27229" xr:uid="{00000000-0005-0000-0000-00005A040000}"/>
    <cellStyle name="20% - Accent1 3 4 3 4" xfId="6810" xr:uid="{00000000-0005-0000-0000-00005B040000}"/>
    <cellStyle name="20% - Accent1 3 4 3 4 2" xfId="18111" xr:uid="{00000000-0005-0000-0000-00005C040000}"/>
    <cellStyle name="20% - Accent1 3 4 3 4 2 2" xfId="40713" xr:uid="{00000000-0005-0000-0000-00005D040000}"/>
    <cellStyle name="20% - Accent1 3 4 3 4 3" xfId="29412" xr:uid="{00000000-0005-0000-0000-00005E040000}"/>
    <cellStyle name="20% - Accent1 3 4 3 5" xfId="12461" xr:uid="{00000000-0005-0000-0000-00005F040000}"/>
    <cellStyle name="20% - Accent1 3 4 3 5 2" xfId="35063" xr:uid="{00000000-0005-0000-0000-000060040000}"/>
    <cellStyle name="20% - Accent1 3 4 3 6" xfId="23762" xr:uid="{00000000-0005-0000-0000-000061040000}"/>
    <cellStyle name="20% - Accent1 3 4 4" xfId="1554" xr:uid="{00000000-0005-0000-0000-000062040000}"/>
    <cellStyle name="20% - Accent1 3 4 4 2" xfId="3559" xr:uid="{00000000-0005-0000-0000-000063040000}"/>
    <cellStyle name="20% - Accent1 3 4 4 2 2" xfId="9298" xr:uid="{00000000-0005-0000-0000-000064040000}"/>
    <cellStyle name="20% - Accent1 3 4 4 2 2 2" xfId="20599" xr:uid="{00000000-0005-0000-0000-000065040000}"/>
    <cellStyle name="20% - Accent1 3 4 4 2 2 2 2" xfId="43201" xr:uid="{00000000-0005-0000-0000-000066040000}"/>
    <cellStyle name="20% - Accent1 3 4 4 2 2 3" xfId="31900" xr:uid="{00000000-0005-0000-0000-000067040000}"/>
    <cellStyle name="20% - Accent1 3 4 4 2 3" xfId="14949" xr:uid="{00000000-0005-0000-0000-000068040000}"/>
    <cellStyle name="20% - Accent1 3 4 4 2 3 2" xfId="37551" xr:uid="{00000000-0005-0000-0000-000069040000}"/>
    <cellStyle name="20% - Accent1 3 4 4 2 4" xfId="26250" xr:uid="{00000000-0005-0000-0000-00006A040000}"/>
    <cellStyle name="20% - Accent1 3 4 4 3" xfId="5237" xr:uid="{00000000-0005-0000-0000-00006B040000}"/>
    <cellStyle name="20% - Accent1 3 4 4 3 2" xfId="10887" xr:uid="{00000000-0005-0000-0000-00006C040000}"/>
    <cellStyle name="20% - Accent1 3 4 4 3 2 2" xfId="22188" xr:uid="{00000000-0005-0000-0000-00006D040000}"/>
    <cellStyle name="20% - Accent1 3 4 4 3 2 2 2" xfId="44790" xr:uid="{00000000-0005-0000-0000-00006E040000}"/>
    <cellStyle name="20% - Accent1 3 4 4 3 2 3" xfId="33489" xr:uid="{00000000-0005-0000-0000-00006F040000}"/>
    <cellStyle name="20% - Accent1 3 4 4 3 3" xfId="16538" xr:uid="{00000000-0005-0000-0000-000070040000}"/>
    <cellStyle name="20% - Accent1 3 4 4 3 3 2" xfId="39140" xr:uid="{00000000-0005-0000-0000-000071040000}"/>
    <cellStyle name="20% - Accent1 3 4 4 3 4" xfId="27839" xr:uid="{00000000-0005-0000-0000-000072040000}"/>
    <cellStyle name="20% - Accent1 3 4 4 4" xfId="7410" xr:uid="{00000000-0005-0000-0000-000073040000}"/>
    <cellStyle name="20% - Accent1 3 4 4 4 2" xfId="18711" xr:uid="{00000000-0005-0000-0000-000074040000}"/>
    <cellStyle name="20% - Accent1 3 4 4 4 2 2" xfId="41313" xr:uid="{00000000-0005-0000-0000-000075040000}"/>
    <cellStyle name="20% - Accent1 3 4 4 4 3" xfId="30012" xr:uid="{00000000-0005-0000-0000-000076040000}"/>
    <cellStyle name="20% - Accent1 3 4 4 5" xfId="13061" xr:uid="{00000000-0005-0000-0000-000077040000}"/>
    <cellStyle name="20% - Accent1 3 4 4 5 2" xfId="35663" xr:uid="{00000000-0005-0000-0000-000078040000}"/>
    <cellStyle name="20% - Accent1 3 4 4 6" xfId="24362" xr:uid="{00000000-0005-0000-0000-000079040000}"/>
    <cellStyle name="20% - Accent1 3 4 5" xfId="2209" xr:uid="{00000000-0005-0000-0000-00007A040000}"/>
    <cellStyle name="20% - Accent1 3 4 5 2" xfId="8051" xr:uid="{00000000-0005-0000-0000-00007B040000}"/>
    <cellStyle name="20% - Accent1 3 4 5 2 2" xfId="19352" xr:uid="{00000000-0005-0000-0000-00007C040000}"/>
    <cellStyle name="20% - Accent1 3 4 5 2 2 2" xfId="41954" xr:uid="{00000000-0005-0000-0000-00007D040000}"/>
    <cellStyle name="20% - Accent1 3 4 5 2 3" xfId="30653" xr:uid="{00000000-0005-0000-0000-00007E040000}"/>
    <cellStyle name="20% - Accent1 3 4 5 3" xfId="13702" xr:uid="{00000000-0005-0000-0000-00007F040000}"/>
    <cellStyle name="20% - Accent1 3 4 5 3 2" xfId="36304" xr:uid="{00000000-0005-0000-0000-000080040000}"/>
    <cellStyle name="20% - Accent1 3 4 5 4" xfId="25003" xr:uid="{00000000-0005-0000-0000-000081040000}"/>
    <cellStyle name="20% - Accent1 3 4 6" xfId="4003" xr:uid="{00000000-0005-0000-0000-000082040000}"/>
    <cellStyle name="20% - Accent1 3 4 6 2" xfId="9653" xr:uid="{00000000-0005-0000-0000-000083040000}"/>
    <cellStyle name="20% - Accent1 3 4 6 2 2" xfId="20954" xr:uid="{00000000-0005-0000-0000-000084040000}"/>
    <cellStyle name="20% - Accent1 3 4 6 2 2 2" xfId="43556" xr:uid="{00000000-0005-0000-0000-000085040000}"/>
    <cellStyle name="20% - Accent1 3 4 6 2 3" xfId="32255" xr:uid="{00000000-0005-0000-0000-000086040000}"/>
    <cellStyle name="20% - Accent1 3 4 6 3" xfId="15304" xr:uid="{00000000-0005-0000-0000-000087040000}"/>
    <cellStyle name="20% - Accent1 3 4 6 3 2" xfId="37906" xr:uid="{00000000-0005-0000-0000-000088040000}"/>
    <cellStyle name="20% - Accent1 3 4 6 4" xfId="26605" xr:uid="{00000000-0005-0000-0000-000089040000}"/>
    <cellStyle name="20% - Accent1 3 4 7" xfId="6621" xr:uid="{00000000-0005-0000-0000-00008A040000}"/>
    <cellStyle name="20% - Accent1 3 4 7 2" xfId="17922" xr:uid="{00000000-0005-0000-0000-00008B040000}"/>
    <cellStyle name="20% - Accent1 3 4 7 2 2" xfId="40524" xr:uid="{00000000-0005-0000-0000-00008C040000}"/>
    <cellStyle name="20% - Accent1 3 4 7 3" xfId="29223" xr:uid="{00000000-0005-0000-0000-00008D040000}"/>
    <cellStyle name="20% - Accent1 3 4 8" xfId="12272" xr:uid="{00000000-0005-0000-0000-00008E040000}"/>
    <cellStyle name="20% - Accent1 3 4 8 2" xfId="34874" xr:uid="{00000000-0005-0000-0000-00008F040000}"/>
    <cellStyle name="20% - Accent1 3 4 9" xfId="23573" xr:uid="{00000000-0005-0000-0000-000090040000}"/>
    <cellStyle name="20% - Accent1 3 5" xfId="449" xr:uid="{00000000-0005-0000-0000-000091040000}"/>
    <cellStyle name="20% - Accent1 3 6" xfId="1480" xr:uid="{00000000-0005-0000-0000-000092040000}"/>
    <cellStyle name="20% - Accent1 3 7" xfId="6454" xr:uid="{00000000-0005-0000-0000-000093040000}"/>
    <cellStyle name="20% - Accent1 3 7 2" xfId="17755" xr:uid="{00000000-0005-0000-0000-000094040000}"/>
    <cellStyle name="20% - Accent1 3 7 2 2" xfId="40357" xr:uid="{00000000-0005-0000-0000-000095040000}"/>
    <cellStyle name="20% - Accent1 3 7 3" xfId="29056" xr:uid="{00000000-0005-0000-0000-000096040000}"/>
    <cellStyle name="20% - Accent1 3 8" xfId="12105" xr:uid="{00000000-0005-0000-0000-000097040000}"/>
    <cellStyle name="20% - Accent1 3 8 2" xfId="34707" xr:uid="{00000000-0005-0000-0000-000098040000}"/>
    <cellStyle name="20% - Accent1 3 9" xfId="23406" xr:uid="{00000000-0005-0000-0000-000099040000}"/>
    <cellStyle name="20% - Accent1 4" xfId="236" xr:uid="{00000000-0005-0000-0000-00009A040000}"/>
    <cellStyle name="20% - Accent1 4 10" xfId="3989" xr:uid="{00000000-0005-0000-0000-00009B040000}"/>
    <cellStyle name="20% - Accent1 4 10 2" xfId="9639" xr:uid="{00000000-0005-0000-0000-00009C040000}"/>
    <cellStyle name="20% - Accent1 4 10 2 2" xfId="20940" xr:uid="{00000000-0005-0000-0000-00009D040000}"/>
    <cellStyle name="20% - Accent1 4 10 2 2 2" xfId="43542" xr:uid="{00000000-0005-0000-0000-00009E040000}"/>
    <cellStyle name="20% - Accent1 4 10 2 3" xfId="32241" xr:uid="{00000000-0005-0000-0000-00009F040000}"/>
    <cellStyle name="20% - Accent1 4 10 3" xfId="15290" xr:uid="{00000000-0005-0000-0000-0000A0040000}"/>
    <cellStyle name="20% - Accent1 4 10 3 2" xfId="37892" xr:uid="{00000000-0005-0000-0000-0000A1040000}"/>
    <cellStyle name="20% - Accent1 4 10 4" xfId="26591" xr:uid="{00000000-0005-0000-0000-0000A2040000}"/>
    <cellStyle name="20% - Accent1 4 11" xfId="6468" xr:uid="{00000000-0005-0000-0000-0000A3040000}"/>
    <cellStyle name="20% - Accent1 4 11 2" xfId="17769" xr:uid="{00000000-0005-0000-0000-0000A4040000}"/>
    <cellStyle name="20% - Accent1 4 11 2 2" xfId="40371" xr:uid="{00000000-0005-0000-0000-0000A5040000}"/>
    <cellStyle name="20% - Accent1 4 11 3" xfId="29070" xr:uid="{00000000-0005-0000-0000-0000A6040000}"/>
    <cellStyle name="20% - Accent1 4 12" xfId="12119" xr:uid="{00000000-0005-0000-0000-0000A7040000}"/>
    <cellStyle name="20% - Accent1 4 12 2" xfId="34721" xr:uid="{00000000-0005-0000-0000-0000A8040000}"/>
    <cellStyle name="20% - Accent1 4 13" xfId="23420" xr:uid="{00000000-0005-0000-0000-0000A9040000}"/>
    <cellStyle name="20% - Accent1 4 2" xfId="359" xr:uid="{00000000-0005-0000-0000-0000AA040000}"/>
    <cellStyle name="20% - Accent1 4 2 10" xfId="23467" xr:uid="{00000000-0005-0000-0000-0000AB040000}"/>
    <cellStyle name="20% - Accent1 4 2 2" xfId="617" xr:uid="{00000000-0005-0000-0000-0000AC040000}"/>
    <cellStyle name="20% - Accent1 4 2 2 2" xfId="1327" xr:uid="{00000000-0005-0000-0000-0000AD040000}"/>
    <cellStyle name="20% - Accent1 4 2 2 2 2" xfId="1559" xr:uid="{00000000-0005-0000-0000-0000AE040000}"/>
    <cellStyle name="20% - Accent1 4 2 2 2 2 2" xfId="3396" xr:uid="{00000000-0005-0000-0000-0000AF040000}"/>
    <cellStyle name="20% - Accent1 4 2 2 2 2 2 2" xfId="6368" xr:uid="{00000000-0005-0000-0000-0000B0040000}"/>
    <cellStyle name="20% - Accent1 4 2 2 2 2 2 2 2" xfId="12018" xr:uid="{00000000-0005-0000-0000-0000B1040000}"/>
    <cellStyle name="20% - Accent1 4 2 2 2 2 2 2 2 2" xfId="23319" xr:uid="{00000000-0005-0000-0000-0000B2040000}"/>
    <cellStyle name="20% - Accent1 4 2 2 2 2 2 2 2 2 2" xfId="45921" xr:uid="{00000000-0005-0000-0000-0000B3040000}"/>
    <cellStyle name="20% - Accent1 4 2 2 2 2 2 2 2 3" xfId="34620" xr:uid="{00000000-0005-0000-0000-0000B4040000}"/>
    <cellStyle name="20% - Accent1 4 2 2 2 2 2 2 3" xfId="17669" xr:uid="{00000000-0005-0000-0000-0000B5040000}"/>
    <cellStyle name="20% - Accent1 4 2 2 2 2 2 2 3 2" xfId="40271" xr:uid="{00000000-0005-0000-0000-0000B6040000}"/>
    <cellStyle name="20% - Accent1 4 2 2 2 2 2 2 4" xfId="28970" xr:uid="{00000000-0005-0000-0000-0000B7040000}"/>
    <cellStyle name="20% - Accent1 4 2 2 2 2 2 3" xfId="9186" xr:uid="{00000000-0005-0000-0000-0000B8040000}"/>
    <cellStyle name="20% - Accent1 4 2 2 2 2 2 3 2" xfId="20487" xr:uid="{00000000-0005-0000-0000-0000B9040000}"/>
    <cellStyle name="20% - Accent1 4 2 2 2 2 2 3 2 2" xfId="43089" xr:uid="{00000000-0005-0000-0000-0000BA040000}"/>
    <cellStyle name="20% - Accent1 4 2 2 2 2 2 3 3" xfId="31788" xr:uid="{00000000-0005-0000-0000-0000BB040000}"/>
    <cellStyle name="20% - Accent1 4 2 2 2 2 2 4" xfId="14837" xr:uid="{00000000-0005-0000-0000-0000BC040000}"/>
    <cellStyle name="20% - Accent1 4 2 2 2 2 2 4 2" xfId="37439" xr:uid="{00000000-0005-0000-0000-0000BD040000}"/>
    <cellStyle name="20% - Accent1 4 2 2 2 2 2 5" xfId="26138" xr:uid="{00000000-0005-0000-0000-0000BE040000}"/>
    <cellStyle name="20% - Accent1 4 2 2 2 2 3" xfId="5134" xr:uid="{00000000-0005-0000-0000-0000BF040000}"/>
    <cellStyle name="20% - Accent1 4 2 2 2 2 3 2" xfId="10784" xr:uid="{00000000-0005-0000-0000-0000C0040000}"/>
    <cellStyle name="20% - Accent1 4 2 2 2 2 3 2 2" xfId="22085" xr:uid="{00000000-0005-0000-0000-0000C1040000}"/>
    <cellStyle name="20% - Accent1 4 2 2 2 2 3 2 2 2" xfId="44687" xr:uid="{00000000-0005-0000-0000-0000C2040000}"/>
    <cellStyle name="20% - Accent1 4 2 2 2 2 3 2 3" xfId="33386" xr:uid="{00000000-0005-0000-0000-0000C3040000}"/>
    <cellStyle name="20% - Accent1 4 2 2 2 2 3 3" xfId="16435" xr:uid="{00000000-0005-0000-0000-0000C4040000}"/>
    <cellStyle name="20% - Accent1 4 2 2 2 2 3 3 2" xfId="39037" xr:uid="{00000000-0005-0000-0000-0000C5040000}"/>
    <cellStyle name="20% - Accent1 4 2 2 2 2 3 4" xfId="27736" xr:uid="{00000000-0005-0000-0000-0000C6040000}"/>
    <cellStyle name="20% - Accent1 4 2 2 2 2 4" xfId="7415" xr:uid="{00000000-0005-0000-0000-0000C7040000}"/>
    <cellStyle name="20% - Accent1 4 2 2 2 2 4 2" xfId="18716" xr:uid="{00000000-0005-0000-0000-0000C8040000}"/>
    <cellStyle name="20% - Accent1 4 2 2 2 2 4 2 2" xfId="41318" xr:uid="{00000000-0005-0000-0000-0000C9040000}"/>
    <cellStyle name="20% - Accent1 4 2 2 2 2 4 3" xfId="30017" xr:uid="{00000000-0005-0000-0000-0000CA040000}"/>
    <cellStyle name="20% - Accent1 4 2 2 2 2 5" xfId="13066" xr:uid="{00000000-0005-0000-0000-0000CB040000}"/>
    <cellStyle name="20% - Accent1 4 2 2 2 2 5 2" xfId="35668" xr:uid="{00000000-0005-0000-0000-0000CC040000}"/>
    <cellStyle name="20% - Accent1 4 2 2 2 2 6" xfId="24367" xr:uid="{00000000-0005-0000-0000-0000CD040000}"/>
    <cellStyle name="20% - Accent1 4 2 2 2 3" xfId="2725" xr:uid="{00000000-0005-0000-0000-0000CE040000}"/>
    <cellStyle name="20% - Accent1 4 2 2 2 3 2" xfId="5744" xr:uid="{00000000-0005-0000-0000-0000CF040000}"/>
    <cellStyle name="20% - Accent1 4 2 2 2 3 2 2" xfId="11394" xr:uid="{00000000-0005-0000-0000-0000D0040000}"/>
    <cellStyle name="20% - Accent1 4 2 2 2 3 2 2 2" xfId="22695" xr:uid="{00000000-0005-0000-0000-0000D1040000}"/>
    <cellStyle name="20% - Accent1 4 2 2 2 3 2 2 2 2" xfId="45297" xr:uid="{00000000-0005-0000-0000-0000D2040000}"/>
    <cellStyle name="20% - Accent1 4 2 2 2 3 2 2 3" xfId="33996" xr:uid="{00000000-0005-0000-0000-0000D3040000}"/>
    <cellStyle name="20% - Accent1 4 2 2 2 3 2 3" xfId="17045" xr:uid="{00000000-0005-0000-0000-0000D4040000}"/>
    <cellStyle name="20% - Accent1 4 2 2 2 3 2 3 2" xfId="39647" xr:uid="{00000000-0005-0000-0000-0000D5040000}"/>
    <cellStyle name="20% - Accent1 4 2 2 2 3 2 4" xfId="28346" xr:uid="{00000000-0005-0000-0000-0000D6040000}"/>
    <cellStyle name="20% - Accent1 4 2 2 2 3 3" xfId="8561" xr:uid="{00000000-0005-0000-0000-0000D7040000}"/>
    <cellStyle name="20% - Accent1 4 2 2 2 3 3 2" xfId="19862" xr:uid="{00000000-0005-0000-0000-0000D8040000}"/>
    <cellStyle name="20% - Accent1 4 2 2 2 3 3 2 2" xfId="42464" xr:uid="{00000000-0005-0000-0000-0000D9040000}"/>
    <cellStyle name="20% - Accent1 4 2 2 2 3 3 3" xfId="31163" xr:uid="{00000000-0005-0000-0000-0000DA040000}"/>
    <cellStyle name="20% - Accent1 4 2 2 2 3 4" xfId="14212" xr:uid="{00000000-0005-0000-0000-0000DB040000}"/>
    <cellStyle name="20% - Accent1 4 2 2 2 3 4 2" xfId="36814" xr:uid="{00000000-0005-0000-0000-0000DC040000}"/>
    <cellStyle name="20% - Accent1 4 2 2 2 3 5" xfId="25513" xr:uid="{00000000-0005-0000-0000-0000DD040000}"/>
    <cellStyle name="20% - Accent1 4 2 2 2 4" xfId="4510" xr:uid="{00000000-0005-0000-0000-0000DE040000}"/>
    <cellStyle name="20% - Accent1 4 2 2 2 4 2" xfId="10160" xr:uid="{00000000-0005-0000-0000-0000DF040000}"/>
    <cellStyle name="20% - Accent1 4 2 2 2 4 2 2" xfId="21461" xr:uid="{00000000-0005-0000-0000-0000E0040000}"/>
    <cellStyle name="20% - Accent1 4 2 2 2 4 2 2 2" xfId="44063" xr:uid="{00000000-0005-0000-0000-0000E1040000}"/>
    <cellStyle name="20% - Accent1 4 2 2 2 4 2 3" xfId="32762" xr:uid="{00000000-0005-0000-0000-0000E2040000}"/>
    <cellStyle name="20% - Accent1 4 2 2 2 4 3" xfId="15811" xr:uid="{00000000-0005-0000-0000-0000E3040000}"/>
    <cellStyle name="20% - Accent1 4 2 2 2 4 3 2" xfId="38413" xr:uid="{00000000-0005-0000-0000-0000E4040000}"/>
    <cellStyle name="20% - Accent1 4 2 2 2 4 4" xfId="27112" xr:uid="{00000000-0005-0000-0000-0000E5040000}"/>
    <cellStyle name="20% - Accent1 4 2 2 2 5" xfId="7306" xr:uid="{00000000-0005-0000-0000-0000E6040000}"/>
    <cellStyle name="20% - Accent1 4 2 2 2 5 2" xfId="18607" xr:uid="{00000000-0005-0000-0000-0000E7040000}"/>
    <cellStyle name="20% - Accent1 4 2 2 2 5 2 2" xfId="41209" xr:uid="{00000000-0005-0000-0000-0000E8040000}"/>
    <cellStyle name="20% - Accent1 4 2 2 2 5 3" xfId="29908" xr:uid="{00000000-0005-0000-0000-0000E9040000}"/>
    <cellStyle name="20% - Accent1 4 2 2 2 6" xfId="12957" xr:uid="{00000000-0005-0000-0000-0000EA040000}"/>
    <cellStyle name="20% - Accent1 4 2 2 2 6 2" xfId="35559" xr:uid="{00000000-0005-0000-0000-0000EB040000}"/>
    <cellStyle name="20% - Accent1 4 2 2 2 7" xfId="24258" xr:uid="{00000000-0005-0000-0000-0000EC040000}"/>
    <cellStyle name="20% - Accent1 4 2 2 3" xfId="1025" xr:uid="{00000000-0005-0000-0000-0000ED040000}"/>
    <cellStyle name="20% - Accent1 4 2 2 3 2" xfId="3088" xr:uid="{00000000-0005-0000-0000-0000EE040000}"/>
    <cellStyle name="20% - Accent1 4 2 2 3 2 2" xfId="6060" xr:uid="{00000000-0005-0000-0000-0000EF040000}"/>
    <cellStyle name="20% - Accent1 4 2 2 3 2 2 2" xfId="11710" xr:uid="{00000000-0005-0000-0000-0000F0040000}"/>
    <cellStyle name="20% - Accent1 4 2 2 3 2 2 2 2" xfId="23011" xr:uid="{00000000-0005-0000-0000-0000F1040000}"/>
    <cellStyle name="20% - Accent1 4 2 2 3 2 2 2 2 2" xfId="45613" xr:uid="{00000000-0005-0000-0000-0000F2040000}"/>
    <cellStyle name="20% - Accent1 4 2 2 3 2 2 2 3" xfId="34312" xr:uid="{00000000-0005-0000-0000-0000F3040000}"/>
    <cellStyle name="20% - Accent1 4 2 2 3 2 2 3" xfId="17361" xr:uid="{00000000-0005-0000-0000-0000F4040000}"/>
    <cellStyle name="20% - Accent1 4 2 2 3 2 2 3 2" xfId="39963" xr:uid="{00000000-0005-0000-0000-0000F5040000}"/>
    <cellStyle name="20% - Accent1 4 2 2 3 2 2 4" xfId="28662" xr:uid="{00000000-0005-0000-0000-0000F6040000}"/>
    <cellStyle name="20% - Accent1 4 2 2 3 2 3" xfId="8878" xr:uid="{00000000-0005-0000-0000-0000F7040000}"/>
    <cellStyle name="20% - Accent1 4 2 2 3 2 3 2" xfId="20179" xr:uid="{00000000-0005-0000-0000-0000F8040000}"/>
    <cellStyle name="20% - Accent1 4 2 2 3 2 3 2 2" xfId="42781" xr:uid="{00000000-0005-0000-0000-0000F9040000}"/>
    <cellStyle name="20% - Accent1 4 2 2 3 2 3 3" xfId="31480" xr:uid="{00000000-0005-0000-0000-0000FA040000}"/>
    <cellStyle name="20% - Accent1 4 2 2 3 2 4" xfId="14529" xr:uid="{00000000-0005-0000-0000-0000FB040000}"/>
    <cellStyle name="20% - Accent1 4 2 2 3 2 4 2" xfId="37131" xr:uid="{00000000-0005-0000-0000-0000FC040000}"/>
    <cellStyle name="20% - Accent1 4 2 2 3 2 5" xfId="25830" xr:uid="{00000000-0005-0000-0000-0000FD040000}"/>
    <cellStyle name="20% - Accent1 4 2 2 3 3" xfId="4826" xr:uid="{00000000-0005-0000-0000-0000FE040000}"/>
    <cellStyle name="20% - Accent1 4 2 2 3 3 2" xfId="10476" xr:uid="{00000000-0005-0000-0000-0000FF040000}"/>
    <cellStyle name="20% - Accent1 4 2 2 3 3 2 2" xfId="21777" xr:uid="{00000000-0005-0000-0000-000000050000}"/>
    <cellStyle name="20% - Accent1 4 2 2 3 3 2 2 2" xfId="44379" xr:uid="{00000000-0005-0000-0000-000001050000}"/>
    <cellStyle name="20% - Accent1 4 2 2 3 3 2 3" xfId="33078" xr:uid="{00000000-0005-0000-0000-000002050000}"/>
    <cellStyle name="20% - Accent1 4 2 2 3 3 3" xfId="16127" xr:uid="{00000000-0005-0000-0000-000003050000}"/>
    <cellStyle name="20% - Accent1 4 2 2 3 3 3 2" xfId="38729" xr:uid="{00000000-0005-0000-0000-000004050000}"/>
    <cellStyle name="20% - Accent1 4 2 2 3 3 4" xfId="27428" xr:uid="{00000000-0005-0000-0000-000005050000}"/>
    <cellStyle name="20% - Accent1 4 2 2 3 4" xfId="7013" xr:uid="{00000000-0005-0000-0000-000006050000}"/>
    <cellStyle name="20% - Accent1 4 2 2 3 4 2" xfId="18314" xr:uid="{00000000-0005-0000-0000-000007050000}"/>
    <cellStyle name="20% - Accent1 4 2 2 3 4 2 2" xfId="40916" xr:uid="{00000000-0005-0000-0000-000008050000}"/>
    <cellStyle name="20% - Accent1 4 2 2 3 4 3" xfId="29615" xr:uid="{00000000-0005-0000-0000-000009050000}"/>
    <cellStyle name="20% - Accent1 4 2 2 3 5" xfId="12664" xr:uid="{00000000-0005-0000-0000-00000A050000}"/>
    <cellStyle name="20% - Accent1 4 2 2 3 5 2" xfId="35266" xr:uid="{00000000-0005-0000-0000-00000B050000}"/>
    <cellStyle name="20% - Accent1 4 2 2 3 6" xfId="23965" xr:uid="{00000000-0005-0000-0000-00000C050000}"/>
    <cellStyle name="20% - Accent1 4 2 2 4" xfId="1558" xr:uid="{00000000-0005-0000-0000-00000D050000}"/>
    <cellStyle name="20% - Accent1 4 2 2 4 2" xfId="3532" xr:uid="{00000000-0005-0000-0000-00000E050000}"/>
    <cellStyle name="20% - Accent1 4 2 2 4 2 2" xfId="9285" xr:uid="{00000000-0005-0000-0000-00000F050000}"/>
    <cellStyle name="20% - Accent1 4 2 2 4 2 2 2" xfId="20586" xr:uid="{00000000-0005-0000-0000-000010050000}"/>
    <cellStyle name="20% - Accent1 4 2 2 4 2 2 2 2" xfId="43188" xr:uid="{00000000-0005-0000-0000-000011050000}"/>
    <cellStyle name="20% - Accent1 4 2 2 4 2 2 3" xfId="31887" xr:uid="{00000000-0005-0000-0000-000012050000}"/>
    <cellStyle name="20% - Accent1 4 2 2 4 2 3" xfId="14936" xr:uid="{00000000-0005-0000-0000-000013050000}"/>
    <cellStyle name="20% - Accent1 4 2 2 4 2 3 2" xfId="37538" xr:uid="{00000000-0005-0000-0000-000014050000}"/>
    <cellStyle name="20% - Accent1 4 2 2 4 2 4" xfId="26237" xr:uid="{00000000-0005-0000-0000-000015050000}"/>
    <cellStyle name="20% - Accent1 4 2 2 4 3" xfId="5436" xr:uid="{00000000-0005-0000-0000-000016050000}"/>
    <cellStyle name="20% - Accent1 4 2 2 4 3 2" xfId="11086" xr:uid="{00000000-0005-0000-0000-000017050000}"/>
    <cellStyle name="20% - Accent1 4 2 2 4 3 2 2" xfId="22387" xr:uid="{00000000-0005-0000-0000-000018050000}"/>
    <cellStyle name="20% - Accent1 4 2 2 4 3 2 2 2" xfId="44989" xr:uid="{00000000-0005-0000-0000-000019050000}"/>
    <cellStyle name="20% - Accent1 4 2 2 4 3 2 3" xfId="33688" xr:uid="{00000000-0005-0000-0000-00001A050000}"/>
    <cellStyle name="20% - Accent1 4 2 2 4 3 3" xfId="16737" xr:uid="{00000000-0005-0000-0000-00001B050000}"/>
    <cellStyle name="20% - Accent1 4 2 2 4 3 3 2" xfId="39339" xr:uid="{00000000-0005-0000-0000-00001C050000}"/>
    <cellStyle name="20% - Accent1 4 2 2 4 3 4" xfId="28038" xr:uid="{00000000-0005-0000-0000-00001D050000}"/>
    <cellStyle name="20% - Accent1 4 2 2 4 4" xfId="7414" xr:uid="{00000000-0005-0000-0000-00001E050000}"/>
    <cellStyle name="20% - Accent1 4 2 2 4 4 2" xfId="18715" xr:uid="{00000000-0005-0000-0000-00001F050000}"/>
    <cellStyle name="20% - Accent1 4 2 2 4 4 2 2" xfId="41317" xr:uid="{00000000-0005-0000-0000-000020050000}"/>
    <cellStyle name="20% - Accent1 4 2 2 4 4 3" xfId="30016" xr:uid="{00000000-0005-0000-0000-000021050000}"/>
    <cellStyle name="20% - Accent1 4 2 2 4 5" xfId="13065" xr:uid="{00000000-0005-0000-0000-000022050000}"/>
    <cellStyle name="20% - Accent1 4 2 2 4 5 2" xfId="35667" xr:uid="{00000000-0005-0000-0000-000023050000}"/>
    <cellStyle name="20% - Accent1 4 2 2 4 6" xfId="24366" xr:uid="{00000000-0005-0000-0000-000024050000}"/>
    <cellStyle name="20% - Accent1 4 2 2 5" xfId="2417" xr:uid="{00000000-0005-0000-0000-000025050000}"/>
    <cellStyle name="20% - Accent1 4 2 2 5 2" xfId="8253" xr:uid="{00000000-0005-0000-0000-000026050000}"/>
    <cellStyle name="20% - Accent1 4 2 2 5 2 2" xfId="19554" xr:uid="{00000000-0005-0000-0000-000027050000}"/>
    <cellStyle name="20% - Accent1 4 2 2 5 2 2 2" xfId="42156" xr:uid="{00000000-0005-0000-0000-000028050000}"/>
    <cellStyle name="20% - Accent1 4 2 2 5 2 3" xfId="30855" xr:uid="{00000000-0005-0000-0000-000029050000}"/>
    <cellStyle name="20% - Accent1 4 2 2 5 3" xfId="13904" xr:uid="{00000000-0005-0000-0000-00002A050000}"/>
    <cellStyle name="20% - Accent1 4 2 2 5 3 2" xfId="36506" xr:uid="{00000000-0005-0000-0000-00002B050000}"/>
    <cellStyle name="20% - Accent1 4 2 2 5 4" xfId="25205" xr:uid="{00000000-0005-0000-0000-00002C050000}"/>
    <cellStyle name="20% - Accent1 4 2 2 6" xfId="4202" xr:uid="{00000000-0005-0000-0000-00002D050000}"/>
    <cellStyle name="20% - Accent1 4 2 2 6 2" xfId="9852" xr:uid="{00000000-0005-0000-0000-00002E050000}"/>
    <cellStyle name="20% - Accent1 4 2 2 6 2 2" xfId="21153" xr:uid="{00000000-0005-0000-0000-00002F050000}"/>
    <cellStyle name="20% - Accent1 4 2 2 6 2 2 2" xfId="43755" xr:uid="{00000000-0005-0000-0000-000030050000}"/>
    <cellStyle name="20% - Accent1 4 2 2 6 2 3" xfId="32454" xr:uid="{00000000-0005-0000-0000-000031050000}"/>
    <cellStyle name="20% - Accent1 4 2 2 6 3" xfId="15503" xr:uid="{00000000-0005-0000-0000-000032050000}"/>
    <cellStyle name="20% - Accent1 4 2 2 6 3 2" xfId="38105" xr:uid="{00000000-0005-0000-0000-000033050000}"/>
    <cellStyle name="20% - Accent1 4 2 2 6 4" xfId="26804" xr:uid="{00000000-0005-0000-0000-000034050000}"/>
    <cellStyle name="20% - Accent1 4 2 2 7" xfId="6682" xr:uid="{00000000-0005-0000-0000-000035050000}"/>
    <cellStyle name="20% - Accent1 4 2 2 7 2" xfId="17983" xr:uid="{00000000-0005-0000-0000-000036050000}"/>
    <cellStyle name="20% - Accent1 4 2 2 7 2 2" xfId="40585" xr:uid="{00000000-0005-0000-0000-000037050000}"/>
    <cellStyle name="20% - Accent1 4 2 2 7 3" xfId="29284" xr:uid="{00000000-0005-0000-0000-000038050000}"/>
    <cellStyle name="20% - Accent1 4 2 2 8" xfId="12333" xr:uid="{00000000-0005-0000-0000-000039050000}"/>
    <cellStyle name="20% - Accent1 4 2 2 8 2" xfId="34935" xr:uid="{00000000-0005-0000-0000-00003A050000}"/>
    <cellStyle name="20% - Accent1 4 2 2 9" xfId="23634" xr:uid="{00000000-0005-0000-0000-00003B050000}"/>
    <cellStyle name="20% - Accent1 4 2 3" xfId="1189" xr:uid="{00000000-0005-0000-0000-00003C050000}"/>
    <cellStyle name="20% - Accent1 4 2 3 2" xfId="1560" xr:uid="{00000000-0005-0000-0000-00003D050000}"/>
    <cellStyle name="20% - Accent1 4 2 3 2 2" xfId="3257" xr:uid="{00000000-0005-0000-0000-00003E050000}"/>
    <cellStyle name="20% - Accent1 4 2 3 2 2 2" xfId="6229" xr:uid="{00000000-0005-0000-0000-00003F050000}"/>
    <cellStyle name="20% - Accent1 4 2 3 2 2 2 2" xfId="11879" xr:uid="{00000000-0005-0000-0000-000040050000}"/>
    <cellStyle name="20% - Accent1 4 2 3 2 2 2 2 2" xfId="23180" xr:uid="{00000000-0005-0000-0000-000041050000}"/>
    <cellStyle name="20% - Accent1 4 2 3 2 2 2 2 2 2" xfId="45782" xr:uid="{00000000-0005-0000-0000-000042050000}"/>
    <cellStyle name="20% - Accent1 4 2 3 2 2 2 2 3" xfId="34481" xr:uid="{00000000-0005-0000-0000-000043050000}"/>
    <cellStyle name="20% - Accent1 4 2 3 2 2 2 3" xfId="17530" xr:uid="{00000000-0005-0000-0000-000044050000}"/>
    <cellStyle name="20% - Accent1 4 2 3 2 2 2 3 2" xfId="40132" xr:uid="{00000000-0005-0000-0000-000045050000}"/>
    <cellStyle name="20% - Accent1 4 2 3 2 2 2 4" xfId="28831" xr:uid="{00000000-0005-0000-0000-000046050000}"/>
    <cellStyle name="20% - Accent1 4 2 3 2 2 3" xfId="9047" xr:uid="{00000000-0005-0000-0000-000047050000}"/>
    <cellStyle name="20% - Accent1 4 2 3 2 2 3 2" xfId="20348" xr:uid="{00000000-0005-0000-0000-000048050000}"/>
    <cellStyle name="20% - Accent1 4 2 3 2 2 3 2 2" xfId="42950" xr:uid="{00000000-0005-0000-0000-000049050000}"/>
    <cellStyle name="20% - Accent1 4 2 3 2 2 3 3" xfId="31649" xr:uid="{00000000-0005-0000-0000-00004A050000}"/>
    <cellStyle name="20% - Accent1 4 2 3 2 2 4" xfId="14698" xr:uid="{00000000-0005-0000-0000-00004B050000}"/>
    <cellStyle name="20% - Accent1 4 2 3 2 2 4 2" xfId="37300" xr:uid="{00000000-0005-0000-0000-00004C050000}"/>
    <cellStyle name="20% - Accent1 4 2 3 2 2 5" xfId="25999" xr:uid="{00000000-0005-0000-0000-00004D050000}"/>
    <cellStyle name="20% - Accent1 4 2 3 2 3" xfId="4995" xr:uid="{00000000-0005-0000-0000-00004E050000}"/>
    <cellStyle name="20% - Accent1 4 2 3 2 3 2" xfId="10645" xr:uid="{00000000-0005-0000-0000-00004F050000}"/>
    <cellStyle name="20% - Accent1 4 2 3 2 3 2 2" xfId="21946" xr:uid="{00000000-0005-0000-0000-000050050000}"/>
    <cellStyle name="20% - Accent1 4 2 3 2 3 2 2 2" xfId="44548" xr:uid="{00000000-0005-0000-0000-000051050000}"/>
    <cellStyle name="20% - Accent1 4 2 3 2 3 2 3" xfId="33247" xr:uid="{00000000-0005-0000-0000-000052050000}"/>
    <cellStyle name="20% - Accent1 4 2 3 2 3 3" xfId="16296" xr:uid="{00000000-0005-0000-0000-000053050000}"/>
    <cellStyle name="20% - Accent1 4 2 3 2 3 3 2" xfId="38898" xr:uid="{00000000-0005-0000-0000-000054050000}"/>
    <cellStyle name="20% - Accent1 4 2 3 2 3 4" xfId="27597" xr:uid="{00000000-0005-0000-0000-000055050000}"/>
    <cellStyle name="20% - Accent1 4 2 3 2 4" xfId="7416" xr:uid="{00000000-0005-0000-0000-000056050000}"/>
    <cellStyle name="20% - Accent1 4 2 3 2 4 2" xfId="18717" xr:uid="{00000000-0005-0000-0000-000057050000}"/>
    <cellStyle name="20% - Accent1 4 2 3 2 4 2 2" xfId="41319" xr:uid="{00000000-0005-0000-0000-000058050000}"/>
    <cellStyle name="20% - Accent1 4 2 3 2 4 3" xfId="30018" xr:uid="{00000000-0005-0000-0000-000059050000}"/>
    <cellStyle name="20% - Accent1 4 2 3 2 5" xfId="13067" xr:uid="{00000000-0005-0000-0000-00005A050000}"/>
    <cellStyle name="20% - Accent1 4 2 3 2 5 2" xfId="35669" xr:uid="{00000000-0005-0000-0000-00005B050000}"/>
    <cellStyle name="20% - Accent1 4 2 3 2 6" xfId="24368" xr:uid="{00000000-0005-0000-0000-00005C050000}"/>
    <cellStyle name="20% - Accent1 4 2 3 3" xfId="2586" xr:uid="{00000000-0005-0000-0000-00005D050000}"/>
    <cellStyle name="20% - Accent1 4 2 3 3 2" xfId="5605" xr:uid="{00000000-0005-0000-0000-00005E050000}"/>
    <cellStyle name="20% - Accent1 4 2 3 3 2 2" xfId="11255" xr:uid="{00000000-0005-0000-0000-00005F050000}"/>
    <cellStyle name="20% - Accent1 4 2 3 3 2 2 2" xfId="22556" xr:uid="{00000000-0005-0000-0000-000060050000}"/>
    <cellStyle name="20% - Accent1 4 2 3 3 2 2 2 2" xfId="45158" xr:uid="{00000000-0005-0000-0000-000061050000}"/>
    <cellStyle name="20% - Accent1 4 2 3 3 2 2 3" xfId="33857" xr:uid="{00000000-0005-0000-0000-000062050000}"/>
    <cellStyle name="20% - Accent1 4 2 3 3 2 3" xfId="16906" xr:uid="{00000000-0005-0000-0000-000063050000}"/>
    <cellStyle name="20% - Accent1 4 2 3 3 2 3 2" xfId="39508" xr:uid="{00000000-0005-0000-0000-000064050000}"/>
    <cellStyle name="20% - Accent1 4 2 3 3 2 4" xfId="28207" xr:uid="{00000000-0005-0000-0000-000065050000}"/>
    <cellStyle name="20% - Accent1 4 2 3 3 3" xfId="8422" xr:uid="{00000000-0005-0000-0000-000066050000}"/>
    <cellStyle name="20% - Accent1 4 2 3 3 3 2" xfId="19723" xr:uid="{00000000-0005-0000-0000-000067050000}"/>
    <cellStyle name="20% - Accent1 4 2 3 3 3 2 2" xfId="42325" xr:uid="{00000000-0005-0000-0000-000068050000}"/>
    <cellStyle name="20% - Accent1 4 2 3 3 3 3" xfId="31024" xr:uid="{00000000-0005-0000-0000-000069050000}"/>
    <cellStyle name="20% - Accent1 4 2 3 3 4" xfId="14073" xr:uid="{00000000-0005-0000-0000-00006A050000}"/>
    <cellStyle name="20% - Accent1 4 2 3 3 4 2" xfId="36675" xr:uid="{00000000-0005-0000-0000-00006B050000}"/>
    <cellStyle name="20% - Accent1 4 2 3 3 5" xfId="25374" xr:uid="{00000000-0005-0000-0000-00006C050000}"/>
    <cellStyle name="20% - Accent1 4 2 3 4" xfId="4371" xr:uid="{00000000-0005-0000-0000-00006D050000}"/>
    <cellStyle name="20% - Accent1 4 2 3 4 2" xfId="10021" xr:uid="{00000000-0005-0000-0000-00006E050000}"/>
    <cellStyle name="20% - Accent1 4 2 3 4 2 2" xfId="21322" xr:uid="{00000000-0005-0000-0000-00006F050000}"/>
    <cellStyle name="20% - Accent1 4 2 3 4 2 2 2" xfId="43924" xr:uid="{00000000-0005-0000-0000-000070050000}"/>
    <cellStyle name="20% - Accent1 4 2 3 4 2 3" xfId="32623" xr:uid="{00000000-0005-0000-0000-000071050000}"/>
    <cellStyle name="20% - Accent1 4 2 3 4 3" xfId="15672" xr:uid="{00000000-0005-0000-0000-000072050000}"/>
    <cellStyle name="20% - Accent1 4 2 3 4 3 2" xfId="38274" xr:uid="{00000000-0005-0000-0000-000073050000}"/>
    <cellStyle name="20% - Accent1 4 2 3 4 4" xfId="26973" xr:uid="{00000000-0005-0000-0000-000074050000}"/>
    <cellStyle name="20% - Accent1 4 2 3 5" xfId="7168" xr:uid="{00000000-0005-0000-0000-000075050000}"/>
    <cellStyle name="20% - Accent1 4 2 3 5 2" xfId="18469" xr:uid="{00000000-0005-0000-0000-000076050000}"/>
    <cellStyle name="20% - Accent1 4 2 3 5 2 2" xfId="41071" xr:uid="{00000000-0005-0000-0000-000077050000}"/>
    <cellStyle name="20% - Accent1 4 2 3 5 3" xfId="29770" xr:uid="{00000000-0005-0000-0000-000078050000}"/>
    <cellStyle name="20% - Accent1 4 2 3 6" xfId="12819" xr:uid="{00000000-0005-0000-0000-000079050000}"/>
    <cellStyle name="20% - Accent1 4 2 3 6 2" xfId="35421" xr:uid="{00000000-0005-0000-0000-00007A050000}"/>
    <cellStyle name="20% - Accent1 4 2 3 7" xfId="24120" xr:uid="{00000000-0005-0000-0000-00007B050000}"/>
    <cellStyle name="20% - Accent1 4 2 4" xfId="879" xr:uid="{00000000-0005-0000-0000-00007C050000}"/>
    <cellStyle name="20% - Accent1 4 2 4 2" xfId="2950" xr:uid="{00000000-0005-0000-0000-00007D050000}"/>
    <cellStyle name="20% - Accent1 4 2 4 2 2" xfId="5922" xr:uid="{00000000-0005-0000-0000-00007E050000}"/>
    <cellStyle name="20% - Accent1 4 2 4 2 2 2" xfId="11572" xr:uid="{00000000-0005-0000-0000-00007F050000}"/>
    <cellStyle name="20% - Accent1 4 2 4 2 2 2 2" xfId="22873" xr:uid="{00000000-0005-0000-0000-000080050000}"/>
    <cellStyle name="20% - Accent1 4 2 4 2 2 2 2 2" xfId="45475" xr:uid="{00000000-0005-0000-0000-000081050000}"/>
    <cellStyle name="20% - Accent1 4 2 4 2 2 2 3" xfId="34174" xr:uid="{00000000-0005-0000-0000-000082050000}"/>
    <cellStyle name="20% - Accent1 4 2 4 2 2 3" xfId="17223" xr:uid="{00000000-0005-0000-0000-000083050000}"/>
    <cellStyle name="20% - Accent1 4 2 4 2 2 3 2" xfId="39825" xr:uid="{00000000-0005-0000-0000-000084050000}"/>
    <cellStyle name="20% - Accent1 4 2 4 2 2 4" xfId="28524" xr:uid="{00000000-0005-0000-0000-000085050000}"/>
    <cellStyle name="20% - Accent1 4 2 4 2 3" xfId="8740" xr:uid="{00000000-0005-0000-0000-000086050000}"/>
    <cellStyle name="20% - Accent1 4 2 4 2 3 2" xfId="20041" xr:uid="{00000000-0005-0000-0000-000087050000}"/>
    <cellStyle name="20% - Accent1 4 2 4 2 3 2 2" xfId="42643" xr:uid="{00000000-0005-0000-0000-000088050000}"/>
    <cellStyle name="20% - Accent1 4 2 4 2 3 3" xfId="31342" xr:uid="{00000000-0005-0000-0000-000089050000}"/>
    <cellStyle name="20% - Accent1 4 2 4 2 4" xfId="14391" xr:uid="{00000000-0005-0000-0000-00008A050000}"/>
    <cellStyle name="20% - Accent1 4 2 4 2 4 2" xfId="36993" xr:uid="{00000000-0005-0000-0000-00008B050000}"/>
    <cellStyle name="20% - Accent1 4 2 4 2 5" xfId="25692" xr:uid="{00000000-0005-0000-0000-00008C050000}"/>
    <cellStyle name="20% - Accent1 4 2 4 3" xfId="4688" xr:uid="{00000000-0005-0000-0000-00008D050000}"/>
    <cellStyle name="20% - Accent1 4 2 4 3 2" xfId="10338" xr:uid="{00000000-0005-0000-0000-00008E050000}"/>
    <cellStyle name="20% - Accent1 4 2 4 3 2 2" xfId="21639" xr:uid="{00000000-0005-0000-0000-00008F050000}"/>
    <cellStyle name="20% - Accent1 4 2 4 3 2 2 2" xfId="44241" xr:uid="{00000000-0005-0000-0000-000090050000}"/>
    <cellStyle name="20% - Accent1 4 2 4 3 2 3" xfId="32940" xr:uid="{00000000-0005-0000-0000-000091050000}"/>
    <cellStyle name="20% - Accent1 4 2 4 3 3" xfId="15989" xr:uid="{00000000-0005-0000-0000-000092050000}"/>
    <cellStyle name="20% - Accent1 4 2 4 3 3 2" xfId="38591" xr:uid="{00000000-0005-0000-0000-000093050000}"/>
    <cellStyle name="20% - Accent1 4 2 4 3 4" xfId="27290" xr:uid="{00000000-0005-0000-0000-000094050000}"/>
    <cellStyle name="20% - Accent1 4 2 4 4" xfId="6875" xr:uid="{00000000-0005-0000-0000-000095050000}"/>
    <cellStyle name="20% - Accent1 4 2 4 4 2" xfId="18176" xr:uid="{00000000-0005-0000-0000-000096050000}"/>
    <cellStyle name="20% - Accent1 4 2 4 4 2 2" xfId="40778" xr:uid="{00000000-0005-0000-0000-000097050000}"/>
    <cellStyle name="20% - Accent1 4 2 4 4 3" xfId="29477" xr:uid="{00000000-0005-0000-0000-000098050000}"/>
    <cellStyle name="20% - Accent1 4 2 4 5" xfId="12526" xr:uid="{00000000-0005-0000-0000-000099050000}"/>
    <cellStyle name="20% - Accent1 4 2 4 5 2" xfId="35128" xr:uid="{00000000-0005-0000-0000-00009A050000}"/>
    <cellStyle name="20% - Accent1 4 2 4 6" xfId="23827" xr:uid="{00000000-0005-0000-0000-00009B050000}"/>
    <cellStyle name="20% - Accent1 4 2 5" xfId="1557" xr:uid="{00000000-0005-0000-0000-00009C050000}"/>
    <cellStyle name="20% - Accent1 4 2 5 2" xfId="2174" xr:uid="{00000000-0005-0000-0000-00009D050000}"/>
    <cellStyle name="20% - Accent1 4 2 5 2 2" xfId="8019" xr:uid="{00000000-0005-0000-0000-00009E050000}"/>
    <cellStyle name="20% - Accent1 4 2 5 2 2 2" xfId="19320" xr:uid="{00000000-0005-0000-0000-00009F050000}"/>
    <cellStyle name="20% - Accent1 4 2 5 2 2 2 2" xfId="41922" xr:uid="{00000000-0005-0000-0000-0000A0050000}"/>
    <cellStyle name="20% - Accent1 4 2 5 2 2 3" xfId="30621" xr:uid="{00000000-0005-0000-0000-0000A1050000}"/>
    <cellStyle name="20% - Accent1 4 2 5 2 3" xfId="13670" xr:uid="{00000000-0005-0000-0000-0000A2050000}"/>
    <cellStyle name="20% - Accent1 4 2 5 2 3 2" xfId="36272" xr:uid="{00000000-0005-0000-0000-0000A3050000}"/>
    <cellStyle name="20% - Accent1 4 2 5 2 4" xfId="24971" xr:uid="{00000000-0005-0000-0000-0000A4050000}"/>
    <cellStyle name="20% - Accent1 4 2 5 3" xfId="5298" xr:uid="{00000000-0005-0000-0000-0000A5050000}"/>
    <cellStyle name="20% - Accent1 4 2 5 3 2" xfId="10948" xr:uid="{00000000-0005-0000-0000-0000A6050000}"/>
    <cellStyle name="20% - Accent1 4 2 5 3 2 2" xfId="22249" xr:uid="{00000000-0005-0000-0000-0000A7050000}"/>
    <cellStyle name="20% - Accent1 4 2 5 3 2 2 2" xfId="44851" xr:uid="{00000000-0005-0000-0000-0000A8050000}"/>
    <cellStyle name="20% - Accent1 4 2 5 3 2 3" xfId="33550" xr:uid="{00000000-0005-0000-0000-0000A9050000}"/>
    <cellStyle name="20% - Accent1 4 2 5 3 3" xfId="16599" xr:uid="{00000000-0005-0000-0000-0000AA050000}"/>
    <cellStyle name="20% - Accent1 4 2 5 3 3 2" xfId="39201" xr:uid="{00000000-0005-0000-0000-0000AB050000}"/>
    <cellStyle name="20% - Accent1 4 2 5 3 4" xfId="27900" xr:uid="{00000000-0005-0000-0000-0000AC050000}"/>
    <cellStyle name="20% - Accent1 4 2 5 4" xfId="7413" xr:uid="{00000000-0005-0000-0000-0000AD050000}"/>
    <cellStyle name="20% - Accent1 4 2 5 4 2" xfId="18714" xr:uid="{00000000-0005-0000-0000-0000AE050000}"/>
    <cellStyle name="20% - Accent1 4 2 5 4 2 2" xfId="41316" xr:uid="{00000000-0005-0000-0000-0000AF050000}"/>
    <cellStyle name="20% - Accent1 4 2 5 4 3" xfId="30015" xr:uid="{00000000-0005-0000-0000-0000B0050000}"/>
    <cellStyle name="20% - Accent1 4 2 5 5" xfId="13064" xr:uid="{00000000-0005-0000-0000-0000B1050000}"/>
    <cellStyle name="20% - Accent1 4 2 5 5 2" xfId="35666" xr:uid="{00000000-0005-0000-0000-0000B2050000}"/>
    <cellStyle name="20% - Accent1 4 2 5 6" xfId="24365" xr:uid="{00000000-0005-0000-0000-0000B3050000}"/>
    <cellStyle name="20% - Accent1 4 2 6" xfId="2277" xr:uid="{00000000-0005-0000-0000-0000B4050000}"/>
    <cellStyle name="20% - Accent1 4 2 6 2" xfId="8113" xr:uid="{00000000-0005-0000-0000-0000B5050000}"/>
    <cellStyle name="20% - Accent1 4 2 6 2 2" xfId="19414" xr:uid="{00000000-0005-0000-0000-0000B6050000}"/>
    <cellStyle name="20% - Accent1 4 2 6 2 2 2" xfId="42016" xr:uid="{00000000-0005-0000-0000-0000B7050000}"/>
    <cellStyle name="20% - Accent1 4 2 6 2 3" xfId="30715" xr:uid="{00000000-0005-0000-0000-0000B8050000}"/>
    <cellStyle name="20% - Accent1 4 2 6 3" xfId="13764" xr:uid="{00000000-0005-0000-0000-0000B9050000}"/>
    <cellStyle name="20% - Accent1 4 2 6 3 2" xfId="36366" xr:uid="{00000000-0005-0000-0000-0000BA050000}"/>
    <cellStyle name="20% - Accent1 4 2 6 4" xfId="25065" xr:uid="{00000000-0005-0000-0000-0000BB050000}"/>
    <cellStyle name="20% - Accent1 4 2 7" xfId="4064" xr:uid="{00000000-0005-0000-0000-0000BC050000}"/>
    <cellStyle name="20% - Accent1 4 2 7 2" xfId="9714" xr:uid="{00000000-0005-0000-0000-0000BD050000}"/>
    <cellStyle name="20% - Accent1 4 2 7 2 2" xfId="21015" xr:uid="{00000000-0005-0000-0000-0000BE050000}"/>
    <cellStyle name="20% - Accent1 4 2 7 2 2 2" xfId="43617" xr:uid="{00000000-0005-0000-0000-0000BF050000}"/>
    <cellStyle name="20% - Accent1 4 2 7 2 3" xfId="32316" xr:uid="{00000000-0005-0000-0000-0000C0050000}"/>
    <cellStyle name="20% - Accent1 4 2 7 3" xfId="15365" xr:uid="{00000000-0005-0000-0000-0000C1050000}"/>
    <cellStyle name="20% - Accent1 4 2 7 3 2" xfId="37967" xr:uid="{00000000-0005-0000-0000-0000C2050000}"/>
    <cellStyle name="20% - Accent1 4 2 7 4" xfId="26666" xr:uid="{00000000-0005-0000-0000-0000C3050000}"/>
    <cellStyle name="20% - Accent1 4 2 8" xfId="6515" xr:uid="{00000000-0005-0000-0000-0000C4050000}"/>
    <cellStyle name="20% - Accent1 4 2 8 2" xfId="17816" xr:uid="{00000000-0005-0000-0000-0000C5050000}"/>
    <cellStyle name="20% - Accent1 4 2 8 2 2" xfId="40418" xr:uid="{00000000-0005-0000-0000-0000C6050000}"/>
    <cellStyle name="20% - Accent1 4 2 8 3" xfId="29117" xr:uid="{00000000-0005-0000-0000-0000C7050000}"/>
    <cellStyle name="20% - Accent1 4 2 9" xfId="12166" xr:uid="{00000000-0005-0000-0000-0000C8050000}"/>
    <cellStyle name="20% - Accent1 4 2 9 2" xfId="34768" xr:uid="{00000000-0005-0000-0000-0000C9050000}"/>
    <cellStyle name="20% - Accent1 4 3" xfId="421" xr:uid="{00000000-0005-0000-0000-0000CA050000}"/>
    <cellStyle name="20% - Accent1 4 3 10" xfId="23516" xr:uid="{00000000-0005-0000-0000-0000CB050000}"/>
    <cellStyle name="20% - Accent1 4 3 2" xfId="666" xr:uid="{00000000-0005-0000-0000-0000CC050000}"/>
    <cellStyle name="20% - Accent1 4 3 2 2" xfId="1376" xr:uid="{00000000-0005-0000-0000-0000CD050000}"/>
    <cellStyle name="20% - Accent1 4 3 2 2 2" xfId="1563" xr:uid="{00000000-0005-0000-0000-0000CE050000}"/>
    <cellStyle name="20% - Accent1 4 3 2 2 2 2" xfId="3445" xr:uid="{00000000-0005-0000-0000-0000CF050000}"/>
    <cellStyle name="20% - Accent1 4 3 2 2 2 2 2" xfId="6417" xr:uid="{00000000-0005-0000-0000-0000D0050000}"/>
    <cellStyle name="20% - Accent1 4 3 2 2 2 2 2 2" xfId="12067" xr:uid="{00000000-0005-0000-0000-0000D1050000}"/>
    <cellStyle name="20% - Accent1 4 3 2 2 2 2 2 2 2" xfId="23368" xr:uid="{00000000-0005-0000-0000-0000D2050000}"/>
    <cellStyle name="20% - Accent1 4 3 2 2 2 2 2 2 2 2" xfId="45970" xr:uid="{00000000-0005-0000-0000-0000D3050000}"/>
    <cellStyle name="20% - Accent1 4 3 2 2 2 2 2 2 3" xfId="34669" xr:uid="{00000000-0005-0000-0000-0000D4050000}"/>
    <cellStyle name="20% - Accent1 4 3 2 2 2 2 2 3" xfId="17718" xr:uid="{00000000-0005-0000-0000-0000D5050000}"/>
    <cellStyle name="20% - Accent1 4 3 2 2 2 2 2 3 2" xfId="40320" xr:uid="{00000000-0005-0000-0000-0000D6050000}"/>
    <cellStyle name="20% - Accent1 4 3 2 2 2 2 2 4" xfId="29019" xr:uid="{00000000-0005-0000-0000-0000D7050000}"/>
    <cellStyle name="20% - Accent1 4 3 2 2 2 2 3" xfId="9235" xr:uid="{00000000-0005-0000-0000-0000D8050000}"/>
    <cellStyle name="20% - Accent1 4 3 2 2 2 2 3 2" xfId="20536" xr:uid="{00000000-0005-0000-0000-0000D9050000}"/>
    <cellStyle name="20% - Accent1 4 3 2 2 2 2 3 2 2" xfId="43138" xr:uid="{00000000-0005-0000-0000-0000DA050000}"/>
    <cellStyle name="20% - Accent1 4 3 2 2 2 2 3 3" xfId="31837" xr:uid="{00000000-0005-0000-0000-0000DB050000}"/>
    <cellStyle name="20% - Accent1 4 3 2 2 2 2 4" xfId="14886" xr:uid="{00000000-0005-0000-0000-0000DC050000}"/>
    <cellStyle name="20% - Accent1 4 3 2 2 2 2 4 2" xfId="37488" xr:uid="{00000000-0005-0000-0000-0000DD050000}"/>
    <cellStyle name="20% - Accent1 4 3 2 2 2 2 5" xfId="26187" xr:uid="{00000000-0005-0000-0000-0000DE050000}"/>
    <cellStyle name="20% - Accent1 4 3 2 2 2 3" xfId="5183" xr:uid="{00000000-0005-0000-0000-0000DF050000}"/>
    <cellStyle name="20% - Accent1 4 3 2 2 2 3 2" xfId="10833" xr:uid="{00000000-0005-0000-0000-0000E0050000}"/>
    <cellStyle name="20% - Accent1 4 3 2 2 2 3 2 2" xfId="22134" xr:uid="{00000000-0005-0000-0000-0000E1050000}"/>
    <cellStyle name="20% - Accent1 4 3 2 2 2 3 2 2 2" xfId="44736" xr:uid="{00000000-0005-0000-0000-0000E2050000}"/>
    <cellStyle name="20% - Accent1 4 3 2 2 2 3 2 3" xfId="33435" xr:uid="{00000000-0005-0000-0000-0000E3050000}"/>
    <cellStyle name="20% - Accent1 4 3 2 2 2 3 3" xfId="16484" xr:uid="{00000000-0005-0000-0000-0000E4050000}"/>
    <cellStyle name="20% - Accent1 4 3 2 2 2 3 3 2" xfId="39086" xr:uid="{00000000-0005-0000-0000-0000E5050000}"/>
    <cellStyle name="20% - Accent1 4 3 2 2 2 3 4" xfId="27785" xr:uid="{00000000-0005-0000-0000-0000E6050000}"/>
    <cellStyle name="20% - Accent1 4 3 2 2 2 4" xfId="7419" xr:uid="{00000000-0005-0000-0000-0000E7050000}"/>
    <cellStyle name="20% - Accent1 4 3 2 2 2 4 2" xfId="18720" xr:uid="{00000000-0005-0000-0000-0000E8050000}"/>
    <cellStyle name="20% - Accent1 4 3 2 2 2 4 2 2" xfId="41322" xr:uid="{00000000-0005-0000-0000-0000E9050000}"/>
    <cellStyle name="20% - Accent1 4 3 2 2 2 4 3" xfId="30021" xr:uid="{00000000-0005-0000-0000-0000EA050000}"/>
    <cellStyle name="20% - Accent1 4 3 2 2 2 5" xfId="13070" xr:uid="{00000000-0005-0000-0000-0000EB050000}"/>
    <cellStyle name="20% - Accent1 4 3 2 2 2 5 2" xfId="35672" xr:uid="{00000000-0005-0000-0000-0000EC050000}"/>
    <cellStyle name="20% - Accent1 4 3 2 2 2 6" xfId="24371" xr:uid="{00000000-0005-0000-0000-0000ED050000}"/>
    <cellStyle name="20% - Accent1 4 3 2 2 3" xfId="2774" xr:uid="{00000000-0005-0000-0000-0000EE050000}"/>
    <cellStyle name="20% - Accent1 4 3 2 2 3 2" xfId="5793" xr:uid="{00000000-0005-0000-0000-0000EF050000}"/>
    <cellStyle name="20% - Accent1 4 3 2 2 3 2 2" xfId="11443" xr:uid="{00000000-0005-0000-0000-0000F0050000}"/>
    <cellStyle name="20% - Accent1 4 3 2 2 3 2 2 2" xfId="22744" xr:uid="{00000000-0005-0000-0000-0000F1050000}"/>
    <cellStyle name="20% - Accent1 4 3 2 2 3 2 2 2 2" xfId="45346" xr:uid="{00000000-0005-0000-0000-0000F2050000}"/>
    <cellStyle name="20% - Accent1 4 3 2 2 3 2 2 3" xfId="34045" xr:uid="{00000000-0005-0000-0000-0000F3050000}"/>
    <cellStyle name="20% - Accent1 4 3 2 2 3 2 3" xfId="17094" xr:uid="{00000000-0005-0000-0000-0000F4050000}"/>
    <cellStyle name="20% - Accent1 4 3 2 2 3 2 3 2" xfId="39696" xr:uid="{00000000-0005-0000-0000-0000F5050000}"/>
    <cellStyle name="20% - Accent1 4 3 2 2 3 2 4" xfId="28395" xr:uid="{00000000-0005-0000-0000-0000F6050000}"/>
    <cellStyle name="20% - Accent1 4 3 2 2 3 3" xfId="8610" xr:uid="{00000000-0005-0000-0000-0000F7050000}"/>
    <cellStyle name="20% - Accent1 4 3 2 2 3 3 2" xfId="19911" xr:uid="{00000000-0005-0000-0000-0000F8050000}"/>
    <cellStyle name="20% - Accent1 4 3 2 2 3 3 2 2" xfId="42513" xr:uid="{00000000-0005-0000-0000-0000F9050000}"/>
    <cellStyle name="20% - Accent1 4 3 2 2 3 3 3" xfId="31212" xr:uid="{00000000-0005-0000-0000-0000FA050000}"/>
    <cellStyle name="20% - Accent1 4 3 2 2 3 4" xfId="14261" xr:uid="{00000000-0005-0000-0000-0000FB050000}"/>
    <cellStyle name="20% - Accent1 4 3 2 2 3 4 2" xfId="36863" xr:uid="{00000000-0005-0000-0000-0000FC050000}"/>
    <cellStyle name="20% - Accent1 4 3 2 2 3 5" xfId="25562" xr:uid="{00000000-0005-0000-0000-0000FD050000}"/>
    <cellStyle name="20% - Accent1 4 3 2 2 4" xfId="4559" xr:uid="{00000000-0005-0000-0000-0000FE050000}"/>
    <cellStyle name="20% - Accent1 4 3 2 2 4 2" xfId="10209" xr:uid="{00000000-0005-0000-0000-0000FF050000}"/>
    <cellStyle name="20% - Accent1 4 3 2 2 4 2 2" xfId="21510" xr:uid="{00000000-0005-0000-0000-000000060000}"/>
    <cellStyle name="20% - Accent1 4 3 2 2 4 2 2 2" xfId="44112" xr:uid="{00000000-0005-0000-0000-000001060000}"/>
    <cellStyle name="20% - Accent1 4 3 2 2 4 2 3" xfId="32811" xr:uid="{00000000-0005-0000-0000-000002060000}"/>
    <cellStyle name="20% - Accent1 4 3 2 2 4 3" xfId="15860" xr:uid="{00000000-0005-0000-0000-000003060000}"/>
    <cellStyle name="20% - Accent1 4 3 2 2 4 3 2" xfId="38462" xr:uid="{00000000-0005-0000-0000-000004060000}"/>
    <cellStyle name="20% - Accent1 4 3 2 2 4 4" xfId="27161" xr:uid="{00000000-0005-0000-0000-000005060000}"/>
    <cellStyle name="20% - Accent1 4 3 2 2 5" xfId="7355" xr:uid="{00000000-0005-0000-0000-000006060000}"/>
    <cellStyle name="20% - Accent1 4 3 2 2 5 2" xfId="18656" xr:uid="{00000000-0005-0000-0000-000007060000}"/>
    <cellStyle name="20% - Accent1 4 3 2 2 5 2 2" xfId="41258" xr:uid="{00000000-0005-0000-0000-000008060000}"/>
    <cellStyle name="20% - Accent1 4 3 2 2 5 3" xfId="29957" xr:uid="{00000000-0005-0000-0000-000009060000}"/>
    <cellStyle name="20% - Accent1 4 3 2 2 6" xfId="13006" xr:uid="{00000000-0005-0000-0000-00000A060000}"/>
    <cellStyle name="20% - Accent1 4 3 2 2 6 2" xfId="35608" xr:uid="{00000000-0005-0000-0000-00000B060000}"/>
    <cellStyle name="20% - Accent1 4 3 2 2 7" xfId="24307" xr:uid="{00000000-0005-0000-0000-00000C060000}"/>
    <cellStyle name="20% - Accent1 4 3 2 3" xfId="1074" xr:uid="{00000000-0005-0000-0000-00000D060000}"/>
    <cellStyle name="20% - Accent1 4 3 2 3 2" xfId="3137" xr:uid="{00000000-0005-0000-0000-00000E060000}"/>
    <cellStyle name="20% - Accent1 4 3 2 3 2 2" xfId="6109" xr:uid="{00000000-0005-0000-0000-00000F060000}"/>
    <cellStyle name="20% - Accent1 4 3 2 3 2 2 2" xfId="11759" xr:uid="{00000000-0005-0000-0000-000010060000}"/>
    <cellStyle name="20% - Accent1 4 3 2 3 2 2 2 2" xfId="23060" xr:uid="{00000000-0005-0000-0000-000011060000}"/>
    <cellStyle name="20% - Accent1 4 3 2 3 2 2 2 2 2" xfId="45662" xr:uid="{00000000-0005-0000-0000-000012060000}"/>
    <cellStyle name="20% - Accent1 4 3 2 3 2 2 2 3" xfId="34361" xr:uid="{00000000-0005-0000-0000-000013060000}"/>
    <cellStyle name="20% - Accent1 4 3 2 3 2 2 3" xfId="17410" xr:uid="{00000000-0005-0000-0000-000014060000}"/>
    <cellStyle name="20% - Accent1 4 3 2 3 2 2 3 2" xfId="40012" xr:uid="{00000000-0005-0000-0000-000015060000}"/>
    <cellStyle name="20% - Accent1 4 3 2 3 2 2 4" xfId="28711" xr:uid="{00000000-0005-0000-0000-000016060000}"/>
    <cellStyle name="20% - Accent1 4 3 2 3 2 3" xfId="8927" xr:uid="{00000000-0005-0000-0000-000017060000}"/>
    <cellStyle name="20% - Accent1 4 3 2 3 2 3 2" xfId="20228" xr:uid="{00000000-0005-0000-0000-000018060000}"/>
    <cellStyle name="20% - Accent1 4 3 2 3 2 3 2 2" xfId="42830" xr:uid="{00000000-0005-0000-0000-000019060000}"/>
    <cellStyle name="20% - Accent1 4 3 2 3 2 3 3" xfId="31529" xr:uid="{00000000-0005-0000-0000-00001A060000}"/>
    <cellStyle name="20% - Accent1 4 3 2 3 2 4" xfId="14578" xr:uid="{00000000-0005-0000-0000-00001B060000}"/>
    <cellStyle name="20% - Accent1 4 3 2 3 2 4 2" xfId="37180" xr:uid="{00000000-0005-0000-0000-00001C060000}"/>
    <cellStyle name="20% - Accent1 4 3 2 3 2 5" xfId="25879" xr:uid="{00000000-0005-0000-0000-00001D060000}"/>
    <cellStyle name="20% - Accent1 4 3 2 3 3" xfId="4875" xr:uid="{00000000-0005-0000-0000-00001E060000}"/>
    <cellStyle name="20% - Accent1 4 3 2 3 3 2" xfId="10525" xr:uid="{00000000-0005-0000-0000-00001F060000}"/>
    <cellStyle name="20% - Accent1 4 3 2 3 3 2 2" xfId="21826" xr:uid="{00000000-0005-0000-0000-000020060000}"/>
    <cellStyle name="20% - Accent1 4 3 2 3 3 2 2 2" xfId="44428" xr:uid="{00000000-0005-0000-0000-000021060000}"/>
    <cellStyle name="20% - Accent1 4 3 2 3 3 2 3" xfId="33127" xr:uid="{00000000-0005-0000-0000-000022060000}"/>
    <cellStyle name="20% - Accent1 4 3 2 3 3 3" xfId="16176" xr:uid="{00000000-0005-0000-0000-000023060000}"/>
    <cellStyle name="20% - Accent1 4 3 2 3 3 3 2" xfId="38778" xr:uid="{00000000-0005-0000-0000-000024060000}"/>
    <cellStyle name="20% - Accent1 4 3 2 3 3 4" xfId="27477" xr:uid="{00000000-0005-0000-0000-000025060000}"/>
    <cellStyle name="20% - Accent1 4 3 2 3 4" xfId="7062" xr:uid="{00000000-0005-0000-0000-000026060000}"/>
    <cellStyle name="20% - Accent1 4 3 2 3 4 2" xfId="18363" xr:uid="{00000000-0005-0000-0000-000027060000}"/>
    <cellStyle name="20% - Accent1 4 3 2 3 4 2 2" xfId="40965" xr:uid="{00000000-0005-0000-0000-000028060000}"/>
    <cellStyle name="20% - Accent1 4 3 2 3 4 3" xfId="29664" xr:uid="{00000000-0005-0000-0000-000029060000}"/>
    <cellStyle name="20% - Accent1 4 3 2 3 5" xfId="12713" xr:uid="{00000000-0005-0000-0000-00002A060000}"/>
    <cellStyle name="20% - Accent1 4 3 2 3 5 2" xfId="35315" xr:uid="{00000000-0005-0000-0000-00002B060000}"/>
    <cellStyle name="20% - Accent1 4 3 2 3 6" xfId="24014" xr:uid="{00000000-0005-0000-0000-00002C060000}"/>
    <cellStyle name="20% - Accent1 4 3 2 4" xfId="1562" xr:uid="{00000000-0005-0000-0000-00002D060000}"/>
    <cellStyle name="20% - Accent1 4 3 2 4 2" xfId="3578" xr:uid="{00000000-0005-0000-0000-00002E060000}"/>
    <cellStyle name="20% - Accent1 4 3 2 4 2 2" xfId="9305" xr:uid="{00000000-0005-0000-0000-00002F060000}"/>
    <cellStyle name="20% - Accent1 4 3 2 4 2 2 2" xfId="20606" xr:uid="{00000000-0005-0000-0000-000030060000}"/>
    <cellStyle name="20% - Accent1 4 3 2 4 2 2 2 2" xfId="43208" xr:uid="{00000000-0005-0000-0000-000031060000}"/>
    <cellStyle name="20% - Accent1 4 3 2 4 2 2 3" xfId="31907" xr:uid="{00000000-0005-0000-0000-000032060000}"/>
    <cellStyle name="20% - Accent1 4 3 2 4 2 3" xfId="14956" xr:uid="{00000000-0005-0000-0000-000033060000}"/>
    <cellStyle name="20% - Accent1 4 3 2 4 2 3 2" xfId="37558" xr:uid="{00000000-0005-0000-0000-000034060000}"/>
    <cellStyle name="20% - Accent1 4 3 2 4 2 4" xfId="26257" xr:uid="{00000000-0005-0000-0000-000035060000}"/>
    <cellStyle name="20% - Accent1 4 3 2 4 3" xfId="5485" xr:uid="{00000000-0005-0000-0000-000036060000}"/>
    <cellStyle name="20% - Accent1 4 3 2 4 3 2" xfId="11135" xr:uid="{00000000-0005-0000-0000-000037060000}"/>
    <cellStyle name="20% - Accent1 4 3 2 4 3 2 2" xfId="22436" xr:uid="{00000000-0005-0000-0000-000038060000}"/>
    <cellStyle name="20% - Accent1 4 3 2 4 3 2 2 2" xfId="45038" xr:uid="{00000000-0005-0000-0000-000039060000}"/>
    <cellStyle name="20% - Accent1 4 3 2 4 3 2 3" xfId="33737" xr:uid="{00000000-0005-0000-0000-00003A060000}"/>
    <cellStyle name="20% - Accent1 4 3 2 4 3 3" xfId="16786" xr:uid="{00000000-0005-0000-0000-00003B060000}"/>
    <cellStyle name="20% - Accent1 4 3 2 4 3 3 2" xfId="39388" xr:uid="{00000000-0005-0000-0000-00003C060000}"/>
    <cellStyle name="20% - Accent1 4 3 2 4 3 4" xfId="28087" xr:uid="{00000000-0005-0000-0000-00003D060000}"/>
    <cellStyle name="20% - Accent1 4 3 2 4 4" xfId="7418" xr:uid="{00000000-0005-0000-0000-00003E060000}"/>
    <cellStyle name="20% - Accent1 4 3 2 4 4 2" xfId="18719" xr:uid="{00000000-0005-0000-0000-00003F060000}"/>
    <cellStyle name="20% - Accent1 4 3 2 4 4 2 2" xfId="41321" xr:uid="{00000000-0005-0000-0000-000040060000}"/>
    <cellStyle name="20% - Accent1 4 3 2 4 4 3" xfId="30020" xr:uid="{00000000-0005-0000-0000-000041060000}"/>
    <cellStyle name="20% - Accent1 4 3 2 4 5" xfId="13069" xr:uid="{00000000-0005-0000-0000-000042060000}"/>
    <cellStyle name="20% - Accent1 4 3 2 4 5 2" xfId="35671" xr:uid="{00000000-0005-0000-0000-000043060000}"/>
    <cellStyle name="20% - Accent1 4 3 2 4 6" xfId="24370" xr:uid="{00000000-0005-0000-0000-000044060000}"/>
    <cellStyle name="20% - Accent1 4 3 2 5" xfId="2466" xr:uid="{00000000-0005-0000-0000-000045060000}"/>
    <cellStyle name="20% - Accent1 4 3 2 5 2" xfId="8302" xr:uid="{00000000-0005-0000-0000-000046060000}"/>
    <cellStyle name="20% - Accent1 4 3 2 5 2 2" xfId="19603" xr:uid="{00000000-0005-0000-0000-000047060000}"/>
    <cellStyle name="20% - Accent1 4 3 2 5 2 2 2" xfId="42205" xr:uid="{00000000-0005-0000-0000-000048060000}"/>
    <cellStyle name="20% - Accent1 4 3 2 5 2 3" xfId="30904" xr:uid="{00000000-0005-0000-0000-000049060000}"/>
    <cellStyle name="20% - Accent1 4 3 2 5 3" xfId="13953" xr:uid="{00000000-0005-0000-0000-00004A060000}"/>
    <cellStyle name="20% - Accent1 4 3 2 5 3 2" xfId="36555" xr:uid="{00000000-0005-0000-0000-00004B060000}"/>
    <cellStyle name="20% - Accent1 4 3 2 5 4" xfId="25254" xr:uid="{00000000-0005-0000-0000-00004C060000}"/>
    <cellStyle name="20% - Accent1 4 3 2 6" xfId="4251" xr:uid="{00000000-0005-0000-0000-00004D060000}"/>
    <cellStyle name="20% - Accent1 4 3 2 6 2" xfId="9901" xr:uid="{00000000-0005-0000-0000-00004E060000}"/>
    <cellStyle name="20% - Accent1 4 3 2 6 2 2" xfId="21202" xr:uid="{00000000-0005-0000-0000-00004F060000}"/>
    <cellStyle name="20% - Accent1 4 3 2 6 2 2 2" xfId="43804" xr:uid="{00000000-0005-0000-0000-000050060000}"/>
    <cellStyle name="20% - Accent1 4 3 2 6 2 3" xfId="32503" xr:uid="{00000000-0005-0000-0000-000051060000}"/>
    <cellStyle name="20% - Accent1 4 3 2 6 3" xfId="15552" xr:uid="{00000000-0005-0000-0000-000052060000}"/>
    <cellStyle name="20% - Accent1 4 3 2 6 3 2" xfId="38154" xr:uid="{00000000-0005-0000-0000-000053060000}"/>
    <cellStyle name="20% - Accent1 4 3 2 6 4" xfId="26853" xr:uid="{00000000-0005-0000-0000-000054060000}"/>
    <cellStyle name="20% - Accent1 4 3 2 7" xfId="6731" xr:uid="{00000000-0005-0000-0000-000055060000}"/>
    <cellStyle name="20% - Accent1 4 3 2 7 2" xfId="18032" xr:uid="{00000000-0005-0000-0000-000056060000}"/>
    <cellStyle name="20% - Accent1 4 3 2 7 2 2" xfId="40634" xr:uid="{00000000-0005-0000-0000-000057060000}"/>
    <cellStyle name="20% - Accent1 4 3 2 7 3" xfId="29333" xr:uid="{00000000-0005-0000-0000-000058060000}"/>
    <cellStyle name="20% - Accent1 4 3 2 8" xfId="12382" xr:uid="{00000000-0005-0000-0000-000059060000}"/>
    <cellStyle name="20% - Accent1 4 3 2 8 2" xfId="34984" xr:uid="{00000000-0005-0000-0000-00005A060000}"/>
    <cellStyle name="20% - Accent1 4 3 2 9" xfId="23683" xr:uid="{00000000-0005-0000-0000-00005B060000}"/>
    <cellStyle name="20% - Accent1 4 3 3" xfId="1238" xr:uid="{00000000-0005-0000-0000-00005C060000}"/>
    <cellStyle name="20% - Accent1 4 3 3 2" xfId="1564" xr:uid="{00000000-0005-0000-0000-00005D060000}"/>
    <cellStyle name="20% - Accent1 4 3 3 2 2" xfId="3306" xr:uid="{00000000-0005-0000-0000-00005E060000}"/>
    <cellStyle name="20% - Accent1 4 3 3 2 2 2" xfId="6278" xr:uid="{00000000-0005-0000-0000-00005F060000}"/>
    <cellStyle name="20% - Accent1 4 3 3 2 2 2 2" xfId="11928" xr:uid="{00000000-0005-0000-0000-000060060000}"/>
    <cellStyle name="20% - Accent1 4 3 3 2 2 2 2 2" xfId="23229" xr:uid="{00000000-0005-0000-0000-000061060000}"/>
    <cellStyle name="20% - Accent1 4 3 3 2 2 2 2 2 2" xfId="45831" xr:uid="{00000000-0005-0000-0000-000062060000}"/>
    <cellStyle name="20% - Accent1 4 3 3 2 2 2 2 3" xfId="34530" xr:uid="{00000000-0005-0000-0000-000063060000}"/>
    <cellStyle name="20% - Accent1 4 3 3 2 2 2 3" xfId="17579" xr:uid="{00000000-0005-0000-0000-000064060000}"/>
    <cellStyle name="20% - Accent1 4 3 3 2 2 2 3 2" xfId="40181" xr:uid="{00000000-0005-0000-0000-000065060000}"/>
    <cellStyle name="20% - Accent1 4 3 3 2 2 2 4" xfId="28880" xr:uid="{00000000-0005-0000-0000-000066060000}"/>
    <cellStyle name="20% - Accent1 4 3 3 2 2 3" xfId="9096" xr:uid="{00000000-0005-0000-0000-000067060000}"/>
    <cellStyle name="20% - Accent1 4 3 3 2 2 3 2" xfId="20397" xr:uid="{00000000-0005-0000-0000-000068060000}"/>
    <cellStyle name="20% - Accent1 4 3 3 2 2 3 2 2" xfId="42999" xr:uid="{00000000-0005-0000-0000-000069060000}"/>
    <cellStyle name="20% - Accent1 4 3 3 2 2 3 3" xfId="31698" xr:uid="{00000000-0005-0000-0000-00006A060000}"/>
    <cellStyle name="20% - Accent1 4 3 3 2 2 4" xfId="14747" xr:uid="{00000000-0005-0000-0000-00006B060000}"/>
    <cellStyle name="20% - Accent1 4 3 3 2 2 4 2" xfId="37349" xr:uid="{00000000-0005-0000-0000-00006C060000}"/>
    <cellStyle name="20% - Accent1 4 3 3 2 2 5" xfId="26048" xr:uid="{00000000-0005-0000-0000-00006D060000}"/>
    <cellStyle name="20% - Accent1 4 3 3 2 3" xfId="5044" xr:uid="{00000000-0005-0000-0000-00006E060000}"/>
    <cellStyle name="20% - Accent1 4 3 3 2 3 2" xfId="10694" xr:uid="{00000000-0005-0000-0000-00006F060000}"/>
    <cellStyle name="20% - Accent1 4 3 3 2 3 2 2" xfId="21995" xr:uid="{00000000-0005-0000-0000-000070060000}"/>
    <cellStyle name="20% - Accent1 4 3 3 2 3 2 2 2" xfId="44597" xr:uid="{00000000-0005-0000-0000-000071060000}"/>
    <cellStyle name="20% - Accent1 4 3 3 2 3 2 3" xfId="33296" xr:uid="{00000000-0005-0000-0000-000072060000}"/>
    <cellStyle name="20% - Accent1 4 3 3 2 3 3" xfId="16345" xr:uid="{00000000-0005-0000-0000-000073060000}"/>
    <cellStyle name="20% - Accent1 4 3 3 2 3 3 2" xfId="38947" xr:uid="{00000000-0005-0000-0000-000074060000}"/>
    <cellStyle name="20% - Accent1 4 3 3 2 3 4" xfId="27646" xr:uid="{00000000-0005-0000-0000-000075060000}"/>
    <cellStyle name="20% - Accent1 4 3 3 2 4" xfId="7420" xr:uid="{00000000-0005-0000-0000-000076060000}"/>
    <cellStyle name="20% - Accent1 4 3 3 2 4 2" xfId="18721" xr:uid="{00000000-0005-0000-0000-000077060000}"/>
    <cellStyle name="20% - Accent1 4 3 3 2 4 2 2" xfId="41323" xr:uid="{00000000-0005-0000-0000-000078060000}"/>
    <cellStyle name="20% - Accent1 4 3 3 2 4 3" xfId="30022" xr:uid="{00000000-0005-0000-0000-000079060000}"/>
    <cellStyle name="20% - Accent1 4 3 3 2 5" xfId="13071" xr:uid="{00000000-0005-0000-0000-00007A060000}"/>
    <cellStyle name="20% - Accent1 4 3 3 2 5 2" xfId="35673" xr:uid="{00000000-0005-0000-0000-00007B060000}"/>
    <cellStyle name="20% - Accent1 4 3 3 2 6" xfId="24372" xr:uid="{00000000-0005-0000-0000-00007C060000}"/>
    <cellStyle name="20% - Accent1 4 3 3 3" xfId="2635" xr:uid="{00000000-0005-0000-0000-00007D060000}"/>
    <cellStyle name="20% - Accent1 4 3 3 3 2" xfId="5654" xr:uid="{00000000-0005-0000-0000-00007E060000}"/>
    <cellStyle name="20% - Accent1 4 3 3 3 2 2" xfId="11304" xr:uid="{00000000-0005-0000-0000-00007F060000}"/>
    <cellStyle name="20% - Accent1 4 3 3 3 2 2 2" xfId="22605" xr:uid="{00000000-0005-0000-0000-000080060000}"/>
    <cellStyle name="20% - Accent1 4 3 3 3 2 2 2 2" xfId="45207" xr:uid="{00000000-0005-0000-0000-000081060000}"/>
    <cellStyle name="20% - Accent1 4 3 3 3 2 2 3" xfId="33906" xr:uid="{00000000-0005-0000-0000-000082060000}"/>
    <cellStyle name="20% - Accent1 4 3 3 3 2 3" xfId="16955" xr:uid="{00000000-0005-0000-0000-000083060000}"/>
    <cellStyle name="20% - Accent1 4 3 3 3 2 3 2" xfId="39557" xr:uid="{00000000-0005-0000-0000-000084060000}"/>
    <cellStyle name="20% - Accent1 4 3 3 3 2 4" xfId="28256" xr:uid="{00000000-0005-0000-0000-000085060000}"/>
    <cellStyle name="20% - Accent1 4 3 3 3 3" xfId="8471" xr:uid="{00000000-0005-0000-0000-000086060000}"/>
    <cellStyle name="20% - Accent1 4 3 3 3 3 2" xfId="19772" xr:uid="{00000000-0005-0000-0000-000087060000}"/>
    <cellStyle name="20% - Accent1 4 3 3 3 3 2 2" xfId="42374" xr:uid="{00000000-0005-0000-0000-000088060000}"/>
    <cellStyle name="20% - Accent1 4 3 3 3 3 3" xfId="31073" xr:uid="{00000000-0005-0000-0000-000089060000}"/>
    <cellStyle name="20% - Accent1 4 3 3 3 4" xfId="14122" xr:uid="{00000000-0005-0000-0000-00008A060000}"/>
    <cellStyle name="20% - Accent1 4 3 3 3 4 2" xfId="36724" xr:uid="{00000000-0005-0000-0000-00008B060000}"/>
    <cellStyle name="20% - Accent1 4 3 3 3 5" xfId="25423" xr:uid="{00000000-0005-0000-0000-00008C060000}"/>
    <cellStyle name="20% - Accent1 4 3 3 4" xfId="4420" xr:uid="{00000000-0005-0000-0000-00008D060000}"/>
    <cellStyle name="20% - Accent1 4 3 3 4 2" xfId="10070" xr:uid="{00000000-0005-0000-0000-00008E060000}"/>
    <cellStyle name="20% - Accent1 4 3 3 4 2 2" xfId="21371" xr:uid="{00000000-0005-0000-0000-00008F060000}"/>
    <cellStyle name="20% - Accent1 4 3 3 4 2 2 2" xfId="43973" xr:uid="{00000000-0005-0000-0000-000090060000}"/>
    <cellStyle name="20% - Accent1 4 3 3 4 2 3" xfId="32672" xr:uid="{00000000-0005-0000-0000-000091060000}"/>
    <cellStyle name="20% - Accent1 4 3 3 4 3" xfId="15721" xr:uid="{00000000-0005-0000-0000-000092060000}"/>
    <cellStyle name="20% - Accent1 4 3 3 4 3 2" xfId="38323" xr:uid="{00000000-0005-0000-0000-000093060000}"/>
    <cellStyle name="20% - Accent1 4 3 3 4 4" xfId="27022" xr:uid="{00000000-0005-0000-0000-000094060000}"/>
    <cellStyle name="20% - Accent1 4 3 3 5" xfId="7217" xr:uid="{00000000-0005-0000-0000-000095060000}"/>
    <cellStyle name="20% - Accent1 4 3 3 5 2" xfId="18518" xr:uid="{00000000-0005-0000-0000-000096060000}"/>
    <cellStyle name="20% - Accent1 4 3 3 5 2 2" xfId="41120" xr:uid="{00000000-0005-0000-0000-000097060000}"/>
    <cellStyle name="20% - Accent1 4 3 3 5 3" xfId="29819" xr:uid="{00000000-0005-0000-0000-000098060000}"/>
    <cellStyle name="20% - Accent1 4 3 3 6" xfId="12868" xr:uid="{00000000-0005-0000-0000-000099060000}"/>
    <cellStyle name="20% - Accent1 4 3 3 6 2" xfId="35470" xr:uid="{00000000-0005-0000-0000-00009A060000}"/>
    <cellStyle name="20% - Accent1 4 3 3 7" xfId="24169" xr:uid="{00000000-0005-0000-0000-00009B060000}"/>
    <cellStyle name="20% - Accent1 4 3 4" xfId="929" xr:uid="{00000000-0005-0000-0000-00009C060000}"/>
    <cellStyle name="20% - Accent1 4 3 4 2" xfId="2999" xr:uid="{00000000-0005-0000-0000-00009D060000}"/>
    <cellStyle name="20% - Accent1 4 3 4 2 2" xfId="5971" xr:uid="{00000000-0005-0000-0000-00009E060000}"/>
    <cellStyle name="20% - Accent1 4 3 4 2 2 2" xfId="11621" xr:uid="{00000000-0005-0000-0000-00009F060000}"/>
    <cellStyle name="20% - Accent1 4 3 4 2 2 2 2" xfId="22922" xr:uid="{00000000-0005-0000-0000-0000A0060000}"/>
    <cellStyle name="20% - Accent1 4 3 4 2 2 2 2 2" xfId="45524" xr:uid="{00000000-0005-0000-0000-0000A1060000}"/>
    <cellStyle name="20% - Accent1 4 3 4 2 2 2 3" xfId="34223" xr:uid="{00000000-0005-0000-0000-0000A2060000}"/>
    <cellStyle name="20% - Accent1 4 3 4 2 2 3" xfId="17272" xr:uid="{00000000-0005-0000-0000-0000A3060000}"/>
    <cellStyle name="20% - Accent1 4 3 4 2 2 3 2" xfId="39874" xr:uid="{00000000-0005-0000-0000-0000A4060000}"/>
    <cellStyle name="20% - Accent1 4 3 4 2 2 4" xfId="28573" xr:uid="{00000000-0005-0000-0000-0000A5060000}"/>
    <cellStyle name="20% - Accent1 4 3 4 2 3" xfId="8789" xr:uid="{00000000-0005-0000-0000-0000A6060000}"/>
    <cellStyle name="20% - Accent1 4 3 4 2 3 2" xfId="20090" xr:uid="{00000000-0005-0000-0000-0000A7060000}"/>
    <cellStyle name="20% - Accent1 4 3 4 2 3 2 2" xfId="42692" xr:uid="{00000000-0005-0000-0000-0000A8060000}"/>
    <cellStyle name="20% - Accent1 4 3 4 2 3 3" xfId="31391" xr:uid="{00000000-0005-0000-0000-0000A9060000}"/>
    <cellStyle name="20% - Accent1 4 3 4 2 4" xfId="14440" xr:uid="{00000000-0005-0000-0000-0000AA060000}"/>
    <cellStyle name="20% - Accent1 4 3 4 2 4 2" xfId="37042" xr:uid="{00000000-0005-0000-0000-0000AB060000}"/>
    <cellStyle name="20% - Accent1 4 3 4 2 5" xfId="25741" xr:uid="{00000000-0005-0000-0000-0000AC060000}"/>
    <cellStyle name="20% - Accent1 4 3 4 3" xfId="4737" xr:uid="{00000000-0005-0000-0000-0000AD060000}"/>
    <cellStyle name="20% - Accent1 4 3 4 3 2" xfId="10387" xr:uid="{00000000-0005-0000-0000-0000AE060000}"/>
    <cellStyle name="20% - Accent1 4 3 4 3 2 2" xfId="21688" xr:uid="{00000000-0005-0000-0000-0000AF060000}"/>
    <cellStyle name="20% - Accent1 4 3 4 3 2 2 2" xfId="44290" xr:uid="{00000000-0005-0000-0000-0000B0060000}"/>
    <cellStyle name="20% - Accent1 4 3 4 3 2 3" xfId="32989" xr:uid="{00000000-0005-0000-0000-0000B1060000}"/>
    <cellStyle name="20% - Accent1 4 3 4 3 3" xfId="16038" xr:uid="{00000000-0005-0000-0000-0000B2060000}"/>
    <cellStyle name="20% - Accent1 4 3 4 3 3 2" xfId="38640" xr:uid="{00000000-0005-0000-0000-0000B3060000}"/>
    <cellStyle name="20% - Accent1 4 3 4 3 4" xfId="27339" xr:uid="{00000000-0005-0000-0000-0000B4060000}"/>
    <cellStyle name="20% - Accent1 4 3 4 4" xfId="6924" xr:uid="{00000000-0005-0000-0000-0000B5060000}"/>
    <cellStyle name="20% - Accent1 4 3 4 4 2" xfId="18225" xr:uid="{00000000-0005-0000-0000-0000B6060000}"/>
    <cellStyle name="20% - Accent1 4 3 4 4 2 2" xfId="40827" xr:uid="{00000000-0005-0000-0000-0000B7060000}"/>
    <cellStyle name="20% - Accent1 4 3 4 4 3" xfId="29526" xr:uid="{00000000-0005-0000-0000-0000B8060000}"/>
    <cellStyle name="20% - Accent1 4 3 4 5" xfId="12575" xr:uid="{00000000-0005-0000-0000-0000B9060000}"/>
    <cellStyle name="20% - Accent1 4 3 4 5 2" xfId="35177" xr:uid="{00000000-0005-0000-0000-0000BA060000}"/>
    <cellStyle name="20% - Accent1 4 3 4 6" xfId="23876" xr:uid="{00000000-0005-0000-0000-0000BB060000}"/>
    <cellStyle name="20% - Accent1 4 3 5" xfId="1561" xr:uid="{00000000-0005-0000-0000-0000BC060000}"/>
    <cellStyle name="20% - Accent1 4 3 5 2" xfId="3552" xr:uid="{00000000-0005-0000-0000-0000BD060000}"/>
    <cellStyle name="20% - Accent1 4 3 5 2 2" xfId="9295" xr:uid="{00000000-0005-0000-0000-0000BE060000}"/>
    <cellStyle name="20% - Accent1 4 3 5 2 2 2" xfId="20596" xr:uid="{00000000-0005-0000-0000-0000BF060000}"/>
    <cellStyle name="20% - Accent1 4 3 5 2 2 2 2" xfId="43198" xr:uid="{00000000-0005-0000-0000-0000C0060000}"/>
    <cellStyle name="20% - Accent1 4 3 5 2 2 3" xfId="31897" xr:uid="{00000000-0005-0000-0000-0000C1060000}"/>
    <cellStyle name="20% - Accent1 4 3 5 2 3" xfId="14946" xr:uid="{00000000-0005-0000-0000-0000C2060000}"/>
    <cellStyle name="20% - Accent1 4 3 5 2 3 2" xfId="37548" xr:uid="{00000000-0005-0000-0000-0000C3060000}"/>
    <cellStyle name="20% - Accent1 4 3 5 2 4" xfId="26247" xr:uid="{00000000-0005-0000-0000-0000C4060000}"/>
    <cellStyle name="20% - Accent1 4 3 5 3" xfId="5347" xr:uid="{00000000-0005-0000-0000-0000C5060000}"/>
    <cellStyle name="20% - Accent1 4 3 5 3 2" xfId="10997" xr:uid="{00000000-0005-0000-0000-0000C6060000}"/>
    <cellStyle name="20% - Accent1 4 3 5 3 2 2" xfId="22298" xr:uid="{00000000-0005-0000-0000-0000C7060000}"/>
    <cellStyle name="20% - Accent1 4 3 5 3 2 2 2" xfId="44900" xr:uid="{00000000-0005-0000-0000-0000C8060000}"/>
    <cellStyle name="20% - Accent1 4 3 5 3 2 3" xfId="33599" xr:uid="{00000000-0005-0000-0000-0000C9060000}"/>
    <cellStyle name="20% - Accent1 4 3 5 3 3" xfId="16648" xr:uid="{00000000-0005-0000-0000-0000CA060000}"/>
    <cellStyle name="20% - Accent1 4 3 5 3 3 2" xfId="39250" xr:uid="{00000000-0005-0000-0000-0000CB060000}"/>
    <cellStyle name="20% - Accent1 4 3 5 3 4" xfId="27949" xr:uid="{00000000-0005-0000-0000-0000CC060000}"/>
    <cellStyle name="20% - Accent1 4 3 5 4" xfId="7417" xr:uid="{00000000-0005-0000-0000-0000CD060000}"/>
    <cellStyle name="20% - Accent1 4 3 5 4 2" xfId="18718" xr:uid="{00000000-0005-0000-0000-0000CE060000}"/>
    <cellStyle name="20% - Accent1 4 3 5 4 2 2" xfId="41320" xr:uid="{00000000-0005-0000-0000-0000CF060000}"/>
    <cellStyle name="20% - Accent1 4 3 5 4 3" xfId="30019" xr:uid="{00000000-0005-0000-0000-0000D0060000}"/>
    <cellStyle name="20% - Accent1 4 3 5 5" xfId="13068" xr:uid="{00000000-0005-0000-0000-0000D1060000}"/>
    <cellStyle name="20% - Accent1 4 3 5 5 2" xfId="35670" xr:uid="{00000000-0005-0000-0000-0000D2060000}"/>
    <cellStyle name="20% - Accent1 4 3 5 6" xfId="24369" xr:uid="{00000000-0005-0000-0000-0000D3060000}"/>
    <cellStyle name="20% - Accent1 4 3 6" xfId="2326" xr:uid="{00000000-0005-0000-0000-0000D4060000}"/>
    <cellStyle name="20% - Accent1 4 3 6 2" xfId="8162" xr:uid="{00000000-0005-0000-0000-0000D5060000}"/>
    <cellStyle name="20% - Accent1 4 3 6 2 2" xfId="19463" xr:uid="{00000000-0005-0000-0000-0000D6060000}"/>
    <cellStyle name="20% - Accent1 4 3 6 2 2 2" xfId="42065" xr:uid="{00000000-0005-0000-0000-0000D7060000}"/>
    <cellStyle name="20% - Accent1 4 3 6 2 3" xfId="30764" xr:uid="{00000000-0005-0000-0000-0000D8060000}"/>
    <cellStyle name="20% - Accent1 4 3 6 3" xfId="13813" xr:uid="{00000000-0005-0000-0000-0000D9060000}"/>
    <cellStyle name="20% - Accent1 4 3 6 3 2" xfId="36415" xr:uid="{00000000-0005-0000-0000-0000DA060000}"/>
    <cellStyle name="20% - Accent1 4 3 6 4" xfId="25114" xr:uid="{00000000-0005-0000-0000-0000DB060000}"/>
    <cellStyle name="20% - Accent1 4 3 7" xfId="4113" xr:uid="{00000000-0005-0000-0000-0000DC060000}"/>
    <cellStyle name="20% - Accent1 4 3 7 2" xfId="9763" xr:uid="{00000000-0005-0000-0000-0000DD060000}"/>
    <cellStyle name="20% - Accent1 4 3 7 2 2" xfId="21064" xr:uid="{00000000-0005-0000-0000-0000DE060000}"/>
    <cellStyle name="20% - Accent1 4 3 7 2 2 2" xfId="43666" xr:uid="{00000000-0005-0000-0000-0000DF060000}"/>
    <cellStyle name="20% - Accent1 4 3 7 2 3" xfId="32365" xr:uid="{00000000-0005-0000-0000-0000E0060000}"/>
    <cellStyle name="20% - Accent1 4 3 7 3" xfId="15414" xr:uid="{00000000-0005-0000-0000-0000E1060000}"/>
    <cellStyle name="20% - Accent1 4 3 7 3 2" xfId="38016" xr:uid="{00000000-0005-0000-0000-0000E2060000}"/>
    <cellStyle name="20% - Accent1 4 3 7 4" xfId="26715" xr:uid="{00000000-0005-0000-0000-0000E3060000}"/>
    <cellStyle name="20% - Accent1 4 3 8" xfId="6564" xr:uid="{00000000-0005-0000-0000-0000E4060000}"/>
    <cellStyle name="20% - Accent1 4 3 8 2" xfId="17865" xr:uid="{00000000-0005-0000-0000-0000E5060000}"/>
    <cellStyle name="20% - Accent1 4 3 8 2 2" xfId="40467" xr:uid="{00000000-0005-0000-0000-0000E6060000}"/>
    <cellStyle name="20% - Accent1 4 3 8 3" xfId="29166" xr:uid="{00000000-0005-0000-0000-0000E7060000}"/>
    <cellStyle name="20% - Accent1 4 3 9" xfId="12215" xr:uid="{00000000-0005-0000-0000-0000E8060000}"/>
    <cellStyle name="20% - Accent1 4 3 9 2" xfId="34817" xr:uid="{00000000-0005-0000-0000-0000E9060000}"/>
    <cellStyle name="20% - Accent1 4 4" xfId="568" xr:uid="{00000000-0005-0000-0000-0000EA060000}"/>
    <cellStyle name="20% - Accent1 4 4 2" xfId="1142" xr:uid="{00000000-0005-0000-0000-0000EB060000}"/>
    <cellStyle name="20% - Accent1 4 4 2 2" xfId="1566" xr:uid="{00000000-0005-0000-0000-0000EC060000}"/>
    <cellStyle name="20% - Accent1 4 4 2 2 2" xfId="3210" xr:uid="{00000000-0005-0000-0000-0000ED060000}"/>
    <cellStyle name="20% - Accent1 4 4 2 2 2 2" xfId="6182" xr:uid="{00000000-0005-0000-0000-0000EE060000}"/>
    <cellStyle name="20% - Accent1 4 4 2 2 2 2 2" xfId="11832" xr:uid="{00000000-0005-0000-0000-0000EF060000}"/>
    <cellStyle name="20% - Accent1 4 4 2 2 2 2 2 2" xfId="23133" xr:uid="{00000000-0005-0000-0000-0000F0060000}"/>
    <cellStyle name="20% - Accent1 4 4 2 2 2 2 2 2 2" xfId="45735" xr:uid="{00000000-0005-0000-0000-0000F1060000}"/>
    <cellStyle name="20% - Accent1 4 4 2 2 2 2 2 3" xfId="34434" xr:uid="{00000000-0005-0000-0000-0000F2060000}"/>
    <cellStyle name="20% - Accent1 4 4 2 2 2 2 3" xfId="17483" xr:uid="{00000000-0005-0000-0000-0000F3060000}"/>
    <cellStyle name="20% - Accent1 4 4 2 2 2 2 3 2" xfId="40085" xr:uid="{00000000-0005-0000-0000-0000F4060000}"/>
    <cellStyle name="20% - Accent1 4 4 2 2 2 2 4" xfId="28784" xr:uid="{00000000-0005-0000-0000-0000F5060000}"/>
    <cellStyle name="20% - Accent1 4 4 2 2 2 3" xfId="9000" xr:uid="{00000000-0005-0000-0000-0000F6060000}"/>
    <cellStyle name="20% - Accent1 4 4 2 2 2 3 2" xfId="20301" xr:uid="{00000000-0005-0000-0000-0000F7060000}"/>
    <cellStyle name="20% - Accent1 4 4 2 2 2 3 2 2" xfId="42903" xr:uid="{00000000-0005-0000-0000-0000F8060000}"/>
    <cellStyle name="20% - Accent1 4 4 2 2 2 3 3" xfId="31602" xr:uid="{00000000-0005-0000-0000-0000F9060000}"/>
    <cellStyle name="20% - Accent1 4 4 2 2 2 4" xfId="14651" xr:uid="{00000000-0005-0000-0000-0000FA060000}"/>
    <cellStyle name="20% - Accent1 4 4 2 2 2 4 2" xfId="37253" xr:uid="{00000000-0005-0000-0000-0000FB060000}"/>
    <cellStyle name="20% - Accent1 4 4 2 2 2 5" xfId="25952" xr:uid="{00000000-0005-0000-0000-0000FC060000}"/>
    <cellStyle name="20% - Accent1 4 4 2 2 3" xfId="4948" xr:uid="{00000000-0005-0000-0000-0000FD060000}"/>
    <cellStyle name="20% - Accent1 4 4 2 2 3 2" xfId="10598" xr:uid="{00000000-0005-0000-0000-0000FE060000}"/>
    <cellStyle name="20% - Accent1 4 4 2 2 3 2 2" xfId="21899" xr:uid="{00000000-0005-0000-0000-0000FF060000}"/>
    <cellStyle name="20% - Accent1 4 4 2 2 3 2 2 2" xfId="44501" xr:uid="{00000000-0005-0000-0000-000000070000}"/>
    <cellStyle name="20% - Accent1 4 4 2 2 3 2 3" xfId="33200" xr:uid="{00000000-0005-0000-0000-000001070000}"/>
    <cellStyle name="20% - Accent1 4 4 2 2 3 3" xfId="16249" xr:uid="{00000000-0005-0000-0000-000002070000}"/>
    <cellStyle name="20% - Accent1 4 4 2 2 3 3 2" xfId="38851" xr:uid="{00000000-0005-0000-0000-000003070000}"/>
    <cellStyle name="20% - Accent1 4 4 2 2 3 4" xfId="27550" xr:uid="{00000000-0005-0000-0000-000004070000}"/>
    <cellStyle name="20% - Accent1 4 4 2 2 4" xfId="7422" xr:uid="{00000000-0005-0000-0000-000005070000}"/>
    <cellStyle name="20% - Accent1 4 4 2 2 4 2" xfId="18723" xr:uid="{00000000-0005-0000-0000-000006070000}"/>
    <cellStyle name="20% - Accent1 4 4 2 2 4 2 2" xfId="41325" xr:uid="{00000000-0005-0000-0000-000007070000}"/>
    <cellStyle name="20% - Accent1 4 4 2 2 4 3" xfId="30024" xr:uid="{00000000-0005-0000-0000-000008070000}"/>
    <cellStyle name="20% - Accent1 4 4 2 2 5" xfId="13073" xr:uid="{00000000-0005-0000-0000-000009070000}"/>
    <cellStyle name="20% - Accent1 4 4 2 2 5 2" xfId="35675" xr:uid="{00000000-0005-0000-0000-00000A070000}"/>
    <cellStyle name="20% - Accent1 4 4 2 2 6" xfId="24374" xr:uid="{00000000-0005-0000-0000-00000B070000}"/>
    <cellStyle name="20% - Accent1 4 4 2 3" xfId="2539" xr:uid="{00000000-0005-0000-0000-00000C070000}"/>
    <cellStyle name="20% - Accent1 4 4 2 3 2" xfId="5558" xr:uid="{00000000-0005-0000-0000-00000D070000}"/>
    <cellStyle name="20% - Accent1 4 4 2 3 2 2" xfId="11208" xr:uid="{00000000-0005-0000-0000-00000E070000}"/>
    <cellStyle name="20% - Accent1 4 4 2 3 2 2 2" xfId="22509" xr:uid="{00000000-0005-0000-0000-00000F070000}"/>
    <cellStyle name="20% - Accent1 4 4 2 3 2 2 2 2" xfId="45111" xr:uid="{00000000-0005-0000-0000-000010070000}"/>
    <cellStyle name="20% - Accent1 4 4 2 3 2 2 3" xfId="33810" xr:uid="{00000000-0005-0000-0000-000011070000}"/>
    <cellStyle name="20% - Accent1 4 4 2 3 2 3" xfId="16859" xr:uid="{00000000-0005-0000-0000-000012070000}"/>
    <cellStyle name="20% - Accent1 4 4 2 3 2 3 2" xfId="39461" xr:uid="{00000000-0005-0000-0000-000013070000}"/>
    <cellStyle name="20% - Accent1 4 4 2 3 2 4" xfId="28160" xr:uid="{00000000-0005-0000-0000-000014070000}"/>
    <cellStyle name="20% - Accent1 4 4 2 3 3" xfId="8375" xr:uid="{00000000-0005-0000-0000-000015070000}"/>
    <cellStyle name="20% - Accent1 4 4 2 3 3 2" xfId="19676" xr:uid="{00000000-0005-0000-0000-000016070000}"/>
    <cellStyle name="20% - Accent1 4 4 2 3 3 2 2" xfId="42278" xr:uid="{00000000-0005-0000-0000-000017070000}"/>
    <cellStyle name="20% - Accent1 4 4 2 3 3 3" xfId="30977" xr:uid="{00000000-0005-0000-0000-000018070000}"/>
    <cellStyle name="20% - Accent1 4 4 2 3 4" xfId="14026" xr:uid="{00000000-0005-0000-0000-000019070000}"/>
    <cellStyle name="20% - Accent1 4 4 2 3 4 2" xfId="36628" xr:uid="{00000000-0005-0000-0000-00001A070000}"/>
    <cellStyle name="20% - Accent1 4 4 2 3 5" xfId="25327" xr:uid="{00000000-0005-0000-0000-00001B070000}"/>
    <cellStyle name="20% - Accent1 4 4 2 4" xfId="4324" xr:uid="{00000000-0005-0000-0000-00001C070000}"/>
    <cellStyle name="20% - Accent1 4 4 2 4 2" xfId="9974" xr:uid="{00000000-0005-0000-0000-00001D070000}"/>
    <cellStyle name="20% - Accent1 4 4 2 4 2 2" xfId="21275" xr:uid="{00000000-0005-0000-0000-00001E070000}"/>
    <cellStyle name="20% - Accent1 4 4 2 4 2 2 2" xfId="43877" xr:uid="{00000000-0005-0000-0000-00001F070000}"/>
    <cellStyle name="20% - Accent1 4 4 2 4 2 3" xfId="32576" xr:uid="{00000000-0005-0000-0000-000020070000}"/>
    <cellStyle name="20% - Accent1 4 4 2 4 3" xfId="15625" xr:uid="{00000000-0005-0000-0000-000021070000}"/>
    <cellStyle name="20% - Accent1 4 4 2 4 3 2" xfId="38227" xr:uid="{00000000-0005-0000-0000-000022070000}"/>
    <cellStyle name="20% - Accent1 4 4 2 4 4" xfId="26926" xr:uid="{00000000-0005-0000-0000-000023070000}"/>
    <cellStyle name="20% - Accent1 4 4 2 5" xfId="7121" xr:uid="{00000000-0005-0000-0000-000024070000}"/>
    <cellStyle name="20% - Accent1 4 4 2 5 2" xfId="18422" xr:uid="{00000000-0005-0000-0000-000025070000}"/>
    <cellStyle name="20% - Accent1 4 4 2 5 2 2" xfId="41024" xr:uid="{00000000-0005-0000-0000-000026070000}"/>
    <cellStyle name="20% - Accent1 4 4 2 5 3" xfId="29723" xr:uid="{00000000-0005-0000-0000-000027070000}"/>
    <cellStyle name="20% - Accent1 4 4 2 6" xfId="12772" xr:uid="{00000000-0005-0000-0000-000028070000}"/>
    <cellStyle name="20% - Accent1 4 4 2 6 2" xfId="35374" xr:uid="{00000000-0005-0000-0000-000029070000}"/>
    <cellStyle name="20% - Accent1 4 4 2 7" xfId="24073" xr:uid="{00000000-0005-0000-0000-00002A070000}"/>
    <cellStyle name="20% - Accent1 4 4 3" xfId="816" xr:uid="{00000000-0005-0000-0000-00002B070000}"/>
    <cellStyle name="20% - Accent1 4 4 3 2" xfId="2903" xr:uid="{00000000-0005-0000-0000-00002C070000}"/>
    <cellStyle name="20% - Accent1 4 4 3 2 2" xfId="5875" xr:uid="{00000000-0005-0000-0000-00002D070000}"/>
    <cellStyle name="20% - Accent1 4 4 3 2 2 2" xfId="11525" xr:uid="{00000000-0005-0000-0000-00002E070000}"/>
    <cellStyle name="20% - Accent1 4 4 3 2 2 2 2" xfId="22826" xr:uid="{00000000-0005-0000-0000-00002F070000}"/>
    <cellStyle name="20% - Accent1 4 4 3 2 2 2 2 2" xfId="45428" xr:uid="{00000000-0005-0000-0000-000030070000}"/>
    <cellStyle name="20% - Accent1 4 4 3 2 2 2 3" xfId="34127" xr:uid="{00000000-0005-0000-0000-000031070000}"/>
    <cellStyle name="20% - Accent1 4 4 3 2 2 3" xfId="17176" xr:uid="{00000000-0005-0000-0000-000032070000}"/>
    <cellStyle name="20% - Accent1 4 4 3 2 2 3 2" xfId="39778" xr:uid="{00000000-0005-0000-0000-000033070000}"/>
    <cellStyle name="20% - Accent1 4 4 3 2 2 4" xfId="28477" xr:uid="{00000000-0005-0000-0000-000034070000}"/>
    <cellStyle name="20% - Accent1 4 4 3 2 3" xfId="8693" xr:uid="{00000000-0005-0000-0000-000035070000}"/>
    <cellStyle name="20% - Accent1 4 4 3 2 3 2" xfId="19994" xr:uid="{00000000-0005-0000-0000-000036070000}"/>
    <cellStyle name="20% - Accent1 4 4 3 2 3 2 2" xfId="42596" xr:uid="{00000000-0005-0000-0000-000037070000}"/>
    <cellStyle name="20% - Accent1 4 4 3 2 3 3" xfId="31295" xr:uid="{00000000-0005-0000-0000-000038070000}"/>
    <cellStyle name="20% - Accent1 4 4 3 2 4" xfId="14344" xr:uid="{00000000-0005-0000-0000-000039070000}"/>
    <cellStyle name="20% - Accent1 4 4 3 2 4 2" xfId="36946" xr:uid="{00000000-0005-0000-0000-00003A070000}"/>
    <cellStyle name="20% - Accent1 4 4 3 2 5" xfId="25645" xr:uid="{00000000-0005-0000-0000-00003B070000}"/>
    <cellStyle name="20% - Accent1 4 4 3 3" xfId="4641" xr:uid="{00000000-0005-0000-0000-00003C070000}"/>
    <cellStyle name="20% - Accent1 4 4 3 3 2" xfId="10291" xr:uid="{00000000-0005-0000-0000-00003D070000}"/>
    <cellStyle name="20% - Accent1 4 4 3 3 2 2" xfId="21592" xr:uid="{00000000-0005-0000-0000-00003E070000}"/>
    <cellStyle name="20% - Accent1 4 4 3 3 2 2 2" xfId="44194" xr:uid="{00000000-0005-0000-0000-00003F070000}"/>
    <cellStyle name="20% - Accent1 4 4 3 3 2 3" xfId="32893" xr:uid="{00000000-0005-0000-0000-000040070000}"/>
    <cellStyle name="20% - Accent1 4 4 3 3 3" xfId="15942" xr:uid="{00000000-0005-0000-0000-000041070000}"/>
    <cellStyle name="20% - Accent1 4 4 3 3 3 2" xfId="38544" xr:uid="{00000000-0005-0000-0000-000042070000}"/>
    <cellStyle name="20% - Accent1 4 4 3 3 4" xfId="27243" xr:uid="{00000000-0005-0000-0000-000043070000}"/>
    <cellStyle name="20% - Accent1 4 4 3 4" xfId="6824" xr:uid="{00000000-0005-0000-0000-000044070000}"/>
    <cellStyle name="20% - Accent1 4 4 3 4 2" xfId="18125" xr:uid="{00000000-0005-0000-0000-000045070000}"/>
    <cellStyle name="20% - Accent1 4 4 3 4 2 2" xfId="40727" xr:uid="{00000000-0005-0000-0000-000046070000}"/>
    <cellStyle name="20% - Accent1 4 4 3 4 3" xfId="29426" xr:uid="{00000000-0005-0000-0000-000047070000}"/>
    <cellStyle name="20% - Accent1 4 4 3 5" xfId="12475" xr:uid="{00000000-0005-0000-0000-000048070000}"/>
    <cellStyle name="20% - Accent1 4 4 3 5 2" xfId="35077" xr:uid="{00000000-0005-0000-0000-000049070000}"/>
    <cellStyle name="20% - Accent1 4 4 3 6" xfId="23776" xr:uid="{00000000-0005-0000-0000-00004A070000}"/>
    <cellStyle name="20% - Accent1 4 4 4" xfId="1565" xr:uid="{00000000-0005-0000-0000-00004B070000}"/>
    <cellStyle name="20% - Accent1 4 4 4 2" xfId="3558" xr:uid="{00000000-0005-0000-0000-00004C070000}"/>
    <cellStyle name="20% - Accent1 4 4 4 2 2" xfId="9297" xr:uid="{00000000-0005-0000-0000-00004D070000}"/>
    <cellStyle name="20% - Accent1 4 4 4 2 2 2" xfId="20598" xr:uid="{00000000-0005-0000-0000-00004E070000}"/>
    <cellStyle name="20% - Accent1 4 4 4 2 2 2 2" xfId="43200" xr:uid="{00000000-0005-0000-0000-00004F070000}"/>
    <cellStyle name="20% - Accent1 4 4 4 2 2 3" xfId="31899" xr:uid="{00000000-0005-0000-0000-000050070000}"/>
    <cellStyle name="20% - Accent1 4 4 4 2 3" xfId="14948" xr:uid="{00000000-0005-0000-0000-000051070000}"/>
    <cellStyle name="20% - Accent1 4 4 4 2 3 2" xfId="37550" xr:uid="{00000000-0005-0000-0000-000052070000}"/>
    <cellStyle name="20% - Accent1 4 4 4 2 4" xfId="26249" xr:uid="{00000000-0005-0000-0000-000053070000}"/>
    <cellStyle name="20% - Accent1 4 4 4 3" xfId="5251" xr:uid="{00000000-0005-0000-0000-000054070000}"/>
    <cellStyle name="20% - Accent1 4 4 4 3 2" xfId="10901" xr:uid="{00000000-0005-0000-0000-000055070000}"/>
    <cellStyle name="20% - Accent1 4 4 4 3 2 2" xfId="22202" xr:uid="{00000000-0005-0000-0000-000056070000}"/>
    <cellStyle name="20% - Accent1 4 4 4 3 2 2 2" xfId="44804" xr:uid="{00000000-0005-0000-0000-000057070000}"/>
    <cellStyle name="20% - Accent1 4 4 4 3 2 3" xfId="33503" xr:uid="{00000000-0005-0000-0000-000058070000}"/>
    <cellStyle name="20% - Accent1 4 4 4 3 3" xfId="16552" xr:uid="{00000000-0005-0000-0000-000059070000}"/>
    <cellStyle name="20% - Accent1 4 4 4 3 3 2" xfId="39154" xr:uid="{00000000-0005-0000-0000-00005A070000}"/>
    <cellStyle name="20% - Accent1 4 4 4 3 4" xfId="27853" xr:uid="{00000000-0005-0000-0000-00005B070000}"/>
    <cellStyle name="20% - Accent1 4 4 4 4" xfId="7421" xr:uid="{00000000-0005-0000-0000-00005C070000}"/>
    <cellStyle name="20% - Accent1 4 4 4 4 2" xfId="18722" xr:uid="{00000000-0005-0000-0000-00005D070000}"/>
    <cellStyle name="20% - Accent1 4 4 4 4 2 2" xfId="41324" xr:uid="{00000000-0005-0000-0000-00005E070000}"/>
    <cellStyle name="20% - Accent1 4 4 4 4 3" xfId="30023" xr:uid="{00000000-0005-0000-0000-00005F070000}"/>
    <cellStyle name="20% - Accent1 4 4 4 5" xfId="13072" xr:uid="{00000000-0005-0000-0000-000060070000}"/>
    <cellStyle name="20% - Accent1 4 4 4 5 2" xfId="35674" xr:uid="{00000000-0005-0000-0000-000061070000}"/>
    <cellStyle name="20% - Accent1 4 4 4 6" xfId="24373" xr:uid="{00000000-0005-0000-0000-000062070000}"/>
    <cellStyle name="20% - Accent1 4 4 5" xfId="2223" xr:uid="{00000000-0005-0000-0000-000063070000}"/>
    <cellStyle name="20% - Accent1 4 4 5 2" xfId="8065" xr:uid="{00000000-0005-0000-0000-000064070000}"/>
    <cellStyle name="20% - Accent1 4 4 5 2 2" xfId="19366" xr:uid="{00000000-0005-0000-0000-000065070000}"/>
    <cellStyle name="20% - Accent1 4 4 5 2 2 2" xfId="41968" xr:uid="{00000000-0005-0000-0000-000066070000}"/>
    <cellStyle name="20% - Accent1 4 4 5 2 3" xfId="30667" xr:uid="{00000000-0005-0000-0000-000067070000}"/>
    <cellStyle name="20% - Accent1 4 4 5 3" xfId="13716" xr:uid="{00000000-0005-0000-0000-000068070000}"/>
    <cellStyle name="20% - Accent1 4 4 5 3 2" xfId="36318" xr:uid="{00000000-0005-0000-0000-000069070000}"/>
    <cellStyle name="20% - Accent1 4 4 5 4" xfId="25017" xr:uid="{00000000-0005-0000-0000-00006A070000}"/>
    <cellStyle name="20% - Accent1 4 4 6" xfId="4017" xr:uid="{00000000-0005-0000-0000-00006B070000}"/>
    <cellStyle name="20% - Accent1 4 4 6 2" xfId="9667" xr:uid="{00000000-0005-0000-0000-00006C070000}"/>
    <cellStyle name="20% - Accent1 4 4 6 2 2" xfId="20968" xr:uid="{00000000-0005-0000-0000-00006D070000}"/>
    <cellStyle name="20% - Accent1 4 4 6 2 2 2" xfId="43570" xr:uid="{00000000-0005-0000-0000-00006E070000}"/>
    <cellStyle name="20% - Accent1 4 4 6 2 3" xfId="32269" xr:uid="{00000000-0005-0000-0000-00006F070000}"/>
    <cellStyle name="20% - Accent1 4 4 6 3" xfId="15318" xr:uid="{00000000-0005-0000-0000-000070070000}"/>
    <cellStyle name="20% - Accent1 4 4 6 3 2" xfId="37920" xr:uid="{00000000-0005-0000-0000-000071070000}"/>
    <cellStyle name="20% - Accent1 4 4 6 4" xfId="26619" xr:uid="{00000000-0005-0000-0000-000072070000}"/>
    <cellStyle name="20% - Accent1 4 4 7" xfId="6635" xr:uid="{00000000-0005-0000-0000-000073070000}"/>
    <cellStyle name="20% - Accent1 4 4 7 2" xfId="17936" xr:uid="{00000000-0005-0000-0000-000074070000}"/>
    <cellStyle name="20% - Accent1 4 4 7 2 2" xfId="40538" xr:uid="{00000000-0005-0000-0000-000075070000}"/>
    <cellStyle name="20% - Accent1 4 4 7 3" xfId="29237" xr:uid="{00000000-0005-0000-0000-000076070000}"/>
    <cellStyle name="20% - Accent1 4 4 8" xfId="12286" xr:uid="{00000000-0005-0000-0000-000077070000}"/>
    <cellStyle name="20% - Accent1 4 4 8 2" xfId="34888" xr:uid="{00000000-0005-0000-0000-000078070000}"/>
    <cellStyle name="20% - Accent1 4 4 9" xfId="23587" xr:uid="{00000000-0005-0000-0000-000079070000}"/>
    <cellStyle name="20% - Accent1 4 5" xfId="512" xr:uid="{00000000-0005-0000-0000-00007A070000}"/>
    <cellStyle name="20% - Accent1 4 5 2" xfId="1281" xr:uid="{00000000-0005-0000-0000-00007B070000}"/>
    <cellStyle name="20% - Accent1 4 5 2 2" xfId="1568" xr:uid="{00000000-0005-0000-0000-00007C070000}"/>
    <cellStyle name="20% - Accent1 4 5 2 2 2" xfId="3350" xr:uid="{00000000-0005-0000-0000-00007D070000}"/>
    <cellStyle name="20% - Accent1 4 5 2 2 2 2" xfId="6322" xr:uid="{00000000-0005-0000-0000-00007E070000}"/>
    <cellStyle name="20% - Accent1 4 5 2 2 2 2 2" xfId="11972" xr:uid="{00000000-0005-0000-0000-00007F070000}"/>
    <cellStyle name="20% - Accent1 4 5 2 2 2 2 2 2" xfId="23273" xr:uid="{00000000-0005-0000-0000-000080070000}"/>
    <cellStyle name="20% - Accent1 4 5 2 2 2 2 2 2 2" xfId="45875" xr:uid="{00000000-0005-0000-0000-000081070000}"/>
    <cellStyle name="20% - Accent1 4 5 2 2 2 2 2 3" xfId="34574" xr:uid="{00000000-0005-0000-0000-000082070000}"/>
    <cellStyle name="20% - Accent1 4 5 2 2 2 2 3" xfId="17623" xr:uid="{00000000-0005-0000-0000-000083070000}"/>
    <cellStyle name="20% - Accent1 4 5 2 2 2 2 3 2" xfId="40225" xr:uid="{00000000-0005-0000-0000-000084070000}"/>
    <cellStyle name="20% - Accent1 4 5 2 2 2 2 4" xfId="28924" xr:uid="{00000000-0005-0000-0000-000085070000}"/>
    <cellStyle name="20% - Accent1 4 5 2 2 2 3" xfId="9140" xr:uid="{00000000-0005-0000-0000-000086070000}"/>
    <cellStyle name="20% - Accent1 4 5 2 2 2 3 2" xfId="20441" xr:uid="{00000000-0005-0000-0000-000087070000}"/>
    <cellStyle name="20% - Accent1 4 5 2 2 2 3 2 2" xfId="43043" xr:uid="{00000000-0005-0000-0000-000088070000}"/>
    <cellStyle name="20% - Accent1 4 5 2 2 2 3 3" xfId="31742" xr:uid="{00000000-0005-0000-0000-000089070000}"/>
    <cellStyle name="20% - Accent1 4 5 2 2 2 4" xfId="14791" xr:uid="{00000000-0005-0000-0000-00008A070000}"/>
    <cellStyle name="20% - Accent1 4 5 2 2 2 4 2" xfId="37393" xr:uid="{00000000-0005-0000-0000-00008B070000}"/>
    <cellStyle name="20% - Accent1 4 5 2 2 2 5" xfId="26092" xr:uid="{00000000-0005-0000-0000-00008C070000}"/>
    <cellStyle name="20% - Accent1 4 5 2 2 3" xfId="5088" xr:uid="{00000000-0005-0000-0000-00008D070000}"/>
    <cellStyle name="20% - Accent1 4 5 2 2 3 2" xfId="10738" xr:uid="{00000000-0005-0000-0000-00008E070000}"/>
    <cellStyle name="20% - Accent1 4 5 2 2 3 2 2" xfId="22039" xr:uid="{00000000-0005-0000-0000-00008F070000}"/>
    <cellStyle name="20% - Accent1 4 5 2 2 3 2 2 2" xfId="44641" xr:uid="{00000000-0005-0000-0000-000090070000}"/>
    <cellStyle name="20% - Accent1 4 5 2 2 3 2 3" xfId="33340" xr:uid="{00000000-0005-0000-0000-000091070000}"/>
    <cellStyle name="20% - Accent1 4 5 2 2 3 3" xfId="16389" xr:uid="{00000000-0005-0000-0000-000092070000}"/>
    <cellStyle name="20% - Accent1 4 5 2 2 3 3 2" xfId="38991" xr:uid="{00000000-0005-0000-0000-000093070000}"/>
    <cellStyle name="20% - Accent1 4 5 2 2 3 4" xfId="27690" xr:uid="{00000000-0005-0000-0000-000094070000}"/>
    <cellStyle name="20% - Accent1 4 5 2 2 4" xfId="7424" xr:uid="{00000000-0005-0000-0000-000095070000}"/>
    <cellStyle name="20% - Accent1 4 5 2 2 4 2" xfId="18725" xr:uid="{00000000-0005-0000-0000-000096070000}"/>
    <cellStyle name="20% - Accent1 4 5 2 2 4 2 2" xfId="41327" xr:uid="{00000000-0005-0000-0000-000097070000}"/>
    <cellStyle name="20% - Accent1 4 5 2 2 4 3" xfId="30026" xr:uid="{00000000-0005-0000-0000-000098070000}"/>
    <cellStyle name="20% - Accent1 4 5 2 2 5" xfId="13075" xr:uid="{00000000-0005-0000-0000-000099070000}"/>
    <cellStyle name="20% - Accent1 4 5 2 2 5 2" xfId="35677" xr:uid="{00000000-0005-0000-0000-00009A070000}"/>
    <cellStyle name="20% - Accent1 4 5 2 2 6" xfId="24376" xr:uid="{00000000-0005-0000-0000-00009B070000}"/>
    <cellStyle name="20% - Accent1 4 5 2 3" xfId="2679" xr:uid="{00000000-0005-0000-0000-00009C070000}"/>
    <cellStyle name="20% - Accent1 4 5 2 3 2" xfId="5698" xr:uid="{00000000-0005-0000-0000-00009D070000}"/>
    <cellStyle name="20% - Accent1 4 5 2 3 2 2" xfId="11348" xr:uid="{00000000-0005-0000-0000-00009E070000}"/>
    <cellStyle name="20% - Accent1 4 5 2 3 2 2 2" xfId="22649" xr:uid="{00000000-0005-0000-0000-00009F070000}"/>
    <cellStyle name="20% - Accent1 4 5 2 3 2 2 2 2" xfId="45251" xr:uid="{00000000-0005-0000-0000-0000A0070000}"/>
    <cellStyle name="20% - Accent1 4 5 2 3 2 2 3" xfId="33950" xr:uid="{00000000-0005-0000-0000-0000A1070000}"/>
    <cellStyle name="20% - Accent1 4 5 2 3 2 3" xfId="16999" xr:uid="{00000000-0005-0000-0000-0000A2070000}"/>
    <cellStyle name="20% - Accent1 4 5 2 3 2 3 2" xfId="39601" xr:uid="{00000000-0005-0000-0000-0000A3070000}"/>
    <cellStyle name="20% - Accent1 4 5 2 3 2 4" xfId="28300" xr:uid="{00000000-0005-0000-0000-0000A4070000}"/>
    <cellStyle name="20% - Accent1 4 5 2 3 3" xfId="8515" xr:uid="{00000000-0005-0000-0000-0000A5070000}"/>
    <cellStyle name="20% - Accent1 4 5 2 3 3 2" xfId="19816" xr:uid="{00000000-0005-0000-0000-0000A6070000}"/>
    <cellStyle name="20% - Accent1 4 5 2 3 3 2 2" xfId="42418" xr:uid="{00000000-0005-0000-0000-0000A7070000}"/>
    <cellStyle name="20% - Accent1 4 5 2 3 3 3" xfId="31117" xr:uid="{00000000-0005-0000-0000-0000A8070000}"/>
    <cellStyle name="20% - Accent1 4 5 2 3 4" xfId="14166" xr:uid="{00000000-0005-0000-0000-0000A9070000}"/>
    <cellStyle name="20% - Accent1 4 5 2 3 4 2" xfId="36768" xr:uid="{00000000-0005-0000-0000-0000AA070000}"/>
    <cellStyle name="20% - Accent1 4 5 2 3 5" xfId="25467" xr:uid="{00000000-0005-0000-0000-0000AB070000}"/>
    <cellStyle name="20% - Accent1 4 5 2 4" xfId="4464" xr:uid="{00000000-0005-0000-0000-0000AC070000}"/>
    <cellStyle name="20% - Accent1 4 5 2 4 2" xfId="10114" xr:uid="{00000000-0005-0000-0000-0000AD070000}"/>
    <cellStyle name="20% - Accent1 4 5 2 4 2 2" xfId="21415" xr:uid="{00000000-0005-0000-0000-0000AE070000}"/>
    <cellStyle name="20% - Accent1 4 5 2 4 2 2 2" xfId="44017" xr:uid="{00000000-0005-0000-0000-0000AF070000}"/>
    <cellStyle name="20% - Accent1 4 5 2 4 2 3" xfId="32716" xr:uid="{00000000-0005-0000-0000-0000B0070000}"/>
    <cellStyle name="20% - Accent1 4 5 2 4 3" xfId="15765" xr:uid="{00000000-0005-0000-0000-0000B1070000}"/>
    <cellStyle name="20% - Accent1 4 5 2 4 3 2" xfId="38367" xr:uid="{00000000-0005-0000-0000-0000B2070000}"/>
    <cellStyle name="20% - Accent1 4 5 2 4 4" xfId="27066" xr:uid="{00000000-0005-0000-0000-0000B3070000}"/>
    <cellStyle name="20% - Accent1 4 5 2 5" xfId="7260" xr:uid="{00000000-0005-0000-0000-0000B4070000}"/>
    <cellStyle name="20% - Accent1 4 5 2 5 2" xfId="18561" xr:uid="{00000000-0005-0000-0000-0000B5070000}"/>
    <cellStyle name="20% - Accent1 4 5 2 5 2 2" xfId="41163" xr:uid="{00000000-0005-0000-0000-0000B6070000}"/>
    <cellStyle name="20% - Accent1 4 5 2 5 3" xfId="29862" xr:uid="{00000000-0005-0000-0000-0000B7070000}"/>
    <cellStyle name="20% - Accent1 4 5 2 6" xfId="12911" xr:uid="{00000000-0005-0000-0000-0000B8070000}"/>
    <cellStyle name="20% - Accent1 4 5 2 6 2" xfId="35513" xr:uid="{00000000-0005-0000-0000-0000B9070000}"/>
    <cellStyle name="20% - Accent1 4 5 2 7" xfId="24212" xr:uid="{00000000-0005-0000-0000-0000BA070000}"/>
    <cellStyle name="20% - Accent1 4 5 3" xfId="979" xr:uid="{00000000-0005-0000-0000-0000BB070000}"/>
    <cellStyle name="20% - Accent1 4 5 3 2" xfId="3042" xr:uid="{00000000-0005-0000-0000-0000BC070000}"/>
    <cellStyle name="20% - Accent1 4 5 3 2 2" xfId="6014" xr:uid="{00000000-0005-0000-0000-0000BD070000}"/>
    <cellStyle name="20% - Accent1 4 5 3 2 2 2" xfId="11664" xr:uid="{00000000-0005-0000-0000-0000BE070000}"/>
    <cellStyle name="20% - Accent1 4 5 3 2 2 2 2" xfId="22965" xr:uid="{00000000-0005-0000-0000-0000BF070000}"/>
    <cellStyle name="20% - Accent1 4 5 3 2 2 2 2 2" xfId="45567" xr:uid="{00000000-0005-0000-0000-0000C0070000}"/>
    <cellStyle name="20% - Accent1 4 5 3 2 2 2 3" xfId="34266" xr:uid="{00000000-0005-0000-0000-0000C1070000}"/>
    <cellStyle name="20% - Accent1 4 5 3 2 2 3" xfId="17315" xr:uid="{00000000-0005-0000-0000-0000C2070000}"/>
    <cellStyle name="20% - Accent1 4 5 3 2 2 3 2" xfId="39917" xr:uid="{00000000-0005-0000-0000-0000C3070000}"/>
    <cellStyle name="20% - Accent1 4 5 3 2 2 4" xfId="28616" xr:uid="{00000000-0005-0000-0000-0000C4070000}"/>
    <cellStyle name="20% - Accent1 4 5 3 2 3" xfId="8832" xr:uid="{00000000-0005-0000-0000-0000C5070000}"/>
    <cellStyle name="20% - Accent1 4 5 3 2 3 2" xfId="20133" xr:uid="{00000000-0005-0000-0000-0000C6070000}"/>
    <cellStyle name="20% - Accent1 4 5 3 2 3 2 2" xfId="42735" xr:uid="{00000000-0005-0000-0000-0000C7070000}"/>
    <cellStyle name="20% - Accent1 4 5 3 2 3 3" xfId="31434" xr:uid="{00000000-0005-0000-0000-0000C8070000}"/>
    <cellStyle name="20% - Accent1 4 5 3 2 4" xfId="14483" xr:uid="{00000000-0005-0000-0000-0000C9070000}"/>
    <cellStyle name="20% - Accent1 4 5 3 2 4 2" xfId="37085" xr:uid="{00000000-0005-0000-0000-0000CA070000}"/>
    <cellStyle name="20% - Accent1 4 5 3 2 5" xfId="25784" xr:uid="{00000000-0005-0000-0000-0000CB070000}"/>
    <cellStyle name="20% - Accent1 4 5 3 3" xfId="4780" xr:uid="{00000000-0005-0000-0000-0000CC070000}"/>
    <cellStyle name="20% - Accent1 4 5 3 3 2" xfId="10430" xr:uid="{00000000-0005-0000-0000-0000CD070000}"/>
    <cellStyle name="20% - Accent1 4 5 3 3 2 2" xfId="21731" xr:uid="{00000000-0005-0000-0000-0000CE070000}"/>
    <cellStyle name="20% - Accent1 4 5 3 3 2 2 2" xfId="44333" xr:uid="{00000000-0005-0000-0000-0000CF070000}"/>
    <cellStyle name="20% - Accent1 4 5 3 3 2 3" xfId="33032" xr:uid="{00000000-0005-0000-0000-0000D0070000}"/>
    <cellStyle name="20% - Accent1 4 5 3 3 3" xfId="16081" xr:uid="{00000000-0005-0000-0000-0000D1070000}"/>
    <cellStyle name="20% - Accent1 4 5 3 3 3 2" xfId="38683" xr:uid="{00000000-0005-0000-0000-0000D2070000}"/>
    <cellStyle name="20% - Accent1 4 5 3 3 4" xfId="27382" xr:uid="{00000000-0005-0000-0000-0000D3070000}"/>
    <cellStyle name="20% - Accent1 4 5 3 4" xfId="6967" xr:uid="{00000000-0005-0000-0000-0000D4070000}"/>
    <cellStyle name="20% - Accent1 4 5 3 4 2" xfId="18268" xr:uid="{00000000-0005-0000-0000-0000D5070000}"/>
    <cellStyle name="20% - Accent1 4 5 3 4 2 2" xfId="40870" xr:uid="{00000000-0005-0000-0000-0000D6070000}"/>
    <cellStyle name="20% - Accent1 4 5 3 4 3" xfId="29569" xr:uid="{00000000-0005-0000-0000-0000D7070000}"/>
    <cellStyle name="20% - Accent1 4 5 3 5" xfId="12618" xr:uid="{00000000-0005-0000-0000-0000D8070000}"/>
    <cellStyle name="20% - Accent1 4 5 3 5 2" xfId="35220" xr:uid="{00000000-0005-0000-0000-0000D9070000}"/>
    <cellStyle name="20% - Accent1 4 5 3 6" xfId="23919" xr:uid="{00000000-0005-0000-0000-0000DA070000}"/>
    <cellStyle name="20% - Accent1 4 5 4" xfId="1567" xr:uid="{00000000-0005-0000-0000-0000DB070000}"/>
    <cellStyle name="20% - Accent1 4 5 4 2" xfId="2180" xr:uid="{00000000-0005-0000-0000-0000DC070000}"/>
    <cellStyle name="20% - Accent1 4 5 4 2 2" xfId="8024" xr:uid="{00000000-0005-0000-0000-0000DD070000}"/>
    <cellStyle name="20% - Accent1 4 5 4 2 2 2" xfId="19325" xr:uid="{00000000-0005-0000-0000-0000DE070000}"/>
    <cellStyle name="20% - Accent1 4 5 4 2 2 2 2" xfId="41927" xr:uid="{00000000-0005-0000-0000-0000DF070000}"/>
    <cellStyle name="20% - Accent1 4 5 4 2 2 3" xfId="30626" xr:uid="{00000000-0005-0000-0000-0000E0070000}"/>
    <cellStyle name="20% - Accent1 4 5 4 2 3" xfId="13675" xr:uid="{00000000-0005-0000-0000-0000E1070000}"/>
    <cellStyle name="20% - Accent1 4 5 4 2 3 2" xfId="36277" xr:uid="{00000000-0005-0000-0000-0000E2070000}"/>
    <cellStyle name="20% - Accent1 4 5 4 2 4" xfId="24976" xr:uid="{00000000-0005-0000-0000-0000E3070000}"/>
    <cellStyle name="20% - Accent1 4 5 4 3" xfId="5390" xr:uid="{00000000-0005-0000-0000-0000E4070000}"/>
    <cellStyle name="20% - Accent1 4 5 4 3 2" xfId="11040" xr:uid="{00000000-0005-0000-0000-0000E5070000}"/>
    <cellStyle name="20% - Accent1 4 5 4 3 2 2" xfId="22341" xr:uid="{00000000-0005-0000-0000-0000E6070000}"/>
    <cellStyle name="20% - Accent1 4 5 4 3 2 2 2" xfId="44943" xr:uid="{00000000-0005-0000-0000-0000E7070000}"/>
    <cellStyle name="20% - Accent1 4 5 4 3 2 3" xfId="33642" xr:uid="{00000000-0005-0000-0000-0000E8070000}"/>
    <cellStyle name="20% - Accent1 4 5 4 3 3" xfId="16691" xr:uid="{00000000-0005-0000-0000-0000E9070000}"/>
    <cellStyle name="20% - Accent1 4 5 4 3 3 2" xfId="39293" xr:uid="{00000000-0005-0000-0000-0000EA070000}"/>
    <cellStyle name="20% - Accent1 4 5 4 3 4" xfId="27992" xr:uid="{00000000-0005-0000-0000-0000EB070000}"/>
    <cellStyle name="20% - Accent1 4 5 4 4" xfId="7423" xr:uid="{00000000-0005-0000-0000-0000EC070000}"/>
    <cellStyle name="20% - Accent1 4 5 4 4 2" xfId="18724" xr:uid="{00000000-0005-0000-0000-0000ED070000}"/>
    <cellStyle name="20% - Accent1 4 5 4 4 2 2" xfId="41326" xr:uid="{00000000-0005-0000-0000-0000EE070000}"/>
    <cellStyle name="20% - Accent1 4 5 4 4 3" xfId="30025" xr:uid="{00000000-0005-0000-0000-0000EF070000}"/>
    <cellStyle name="20% - Accent1 4 5 4 5" xfId="13074" xr:uid="{00000000-0005-0000-0000-0000F0070000}"/>
    <cellStyle name="20% - Accent1 4 5 4 5 2" xfId="35676" xr:uid="{00000000-0005-0000-0000-0000F1070000}"/>
    <cellStyle name="20% - Accent1 4 5 4 6" xfId="24375" xr:uid="{00000000-0005-0000-0000-0000F2070000}"/>
    <cellStyle name="20% - Accent1 4 5 5" xfId="2371" xr:uid="{00000000-0005-0000-0000-0000F3070000}"/>
    <cellStyle name="20% - Accent1 4 5 5 2" xfId="8207" xr:uid="{00000000-0005-0000-0000-0000F4070000}"/>
    <cellStyle name="20% - Accent1 4 5 5 2 2" xfId="19508" xr:uid="{00000000-0005-0000-0000-0000F5070000}"/>
    <cellStyle name="20% - Accent1 4 5 5 2 2 2" xfId="42110" xr:uid="{00000000-0005-0000-0000-0000F6070000}"/>
    <cellStyle name="20% - Accent1 4 5 5 2 3" xfId="30809" xr:uid="{00000000-0005-0000-0000-0000F7070000}"/>
    <cellStyle name="20% - Accent1 4 5 5 3" xfId="13858" xr:uid="{00000000-0005-0000-0000-0000F8070000}"/>
    <cellStyle name="20% - Accent1 4 5 5 3 2" xfId="36460" xr:uid="{00000000-0005-0000-0000-0000F9070000}"/>
    <cellStyle name="20% - Accent1 4 5 5 4" xfId="25159" xr:uid="{00000000-0005-0000-0000-0000FA070000}"/>
    <cellStyle name="20% - Accent1 4 5 6" xfId="4156" xr:uid="{00000000-0005-0000-0000-0000FB070000}"/>
    <cellStyle name="20% - Accent1 4 5 6 2" xfId="9806" xr:uid="{00000000-0005-0000-0000-0000FC070000}"/>
    <cellStyle name="20% - Accent1 4 5 6 2 2" xfId="21107" xr:uid="{00000000-0005-0000-0000-0000FD070000}"/>
    <cellStyle name="20% - Accent1 4 5 6 2 2 2" xfId="43709" xr:uid="{00000000-0005-0000-0000-0000FE070000}"/>
    <cellStyle name="20% - Accent1 4 5 6 2 3" xfId="32408" xr:uid="{00000000-0005-0000-0000-0000FF070000}"/>
    <cellStyle name="20% - Accent1 4 5 6 3" xfId="15457" xr:uid="{00000000-0005-0000-0000-000000080000}"/>
    <cellStyle name="20% - Accent1 4 5 6 3 2" xfId="38059" xr:uid="{00000000-0005-0000-0000-000001080000}"/>
    <cellStyle name="20% - Accent1 4 5 6 4" xfId="26758" xr:uid="{00000000-0005-0000-0000-000002080000}"/>
    <cellStyle name="20% - Accent1 4 5 7" xfId="6607" xr:uid="{00000000-0005-0000-0000-000003080000}"/>
    <cellStyle name="20% - Accent1 4 5 7 2" xfId="17908" xr:uid="{00000000-0005-0000-0000-000004080000}"/>
    <cellStyle name="20% - Accent1 4 5 7 2 2" xfId="40510" xr:uid="{00000000-0005-0000-0000-000005080000}"/>
    <cellStyle name="20% - Accent1 4 5 7 3" xfId="29209" xr:uid="{00000000-0005-0000-0000-000006080000}"/>
    <cellStyle name="20% - Accent1 4 5 8" xfId="12258" xr:uid="{00000000-0005-0000-0000-000007080000}"/>
    <cellStyle name="20% - Accent1 4 5 8 2" xfId="34860" xr:uid="{00000000-0005-0000-0000-000008080000}"/>
    <cellStyle name="20% - Accent1 4 5 9" xfId="23559" xr:uid="{00000000-0005-0000-0000-000009080000}"/>
    <cellStyle name="20% - Accent1 4 6" xfId="1114" xr:uid="{00000000-0005-0000-0000-00000A080000}"/>
    <cellStyle name="20% - Accent1 4 6 2" xfId="1569" xr:uid="{00000000-0005-0000-0000-00000B080000}"/>
    <cellStyle name="20% - Accent1 4 6 2 2" xfId="3181" xr:uid="{00000000-0005-0000-0000-00000C080000}"/>
    <cellStyle name="20% - Accent1 4 6 2 2 2" xfId="6153" xr:uid="{00000000-0005-0000-0000-00000D080000}"/>
    <cellStyle name="20% - Accent1 4 6 2 2 2 2" xfId="11803" xr:uid="{00000000-0005-0000-0000-00000E080000}"/>
    <cellStyle name="20% - Accent1 4 6 2 2 2 2 2" xfId="23104" xr:uid="{00000000-0005-0000-0000-00000F080000}"/>
    <cellStyle name="20% - Accent1 4 6 2 2 2 2 2 2" xfId="45706" xr:uid="{00000000-0005-0000-0000-000010080000}"/>
    <cellStyle name="20% - Accent1 4 6 2 2 2 2 3" xfId="34405" xr:uid="{00000000-0005-0000-0000-000011080000}"/>
    <cellStyle name="20% - Accent1 4 6 2 2 2 3" xfId="17454" xr:uid="{00000000-0005-0000-0000-000012080000}"/>
    <cellStyle name="20% - Accent1 4 6 2 2 2 3 2" xfId="40056" xr:uid="{00000000-0005-0000-0000-000013080000}"/>
    <cellStyle name="20% - Accent1 4 6 2 2 2 4" xfId="28755" xr:uid="{00000000-0005-0000-0000-000014080000}"/>
    <cellStyle name="20% - Accent1 4 6 2 2 3" xfId="8971" xr:uid="{00000000-0005-0000-0000-000015080000}"/>
    <cellStyle name="20% - Accent1 4 6 2 2 3 2" xfId="20272" xr:uid="{00000000-0005-0000-0000-000016080000}"/>
    <cellStyle name="20% - Accent1 4 6 2 2 3 2 2" xfId="42874" xr:uid="{00000000-0005-0000-0000-000017080000}"/>
    <cellStyle name="20% - Accent1 4 6 2 2 3 3" xfId="31573" xr:uid="{00000000-0005-0000-0000-000018080000}"/>
    <cellStyle name="20% - Accent1 4 6 2 2 4" xfId="14622" xr:uid="{00000000-0005-0000-0000-000019080000}"/>
    <cellStyle name="20% - Accent1 4 6 2 2 4 2" xfId="37224" xr:uid="{00000000-0005-0000-0000-00001A080000}"/>
    <cellStyle name="20% - Accent1 4 6 2 2 5" xfId="25923" xr:uid="{00000000-0005-0000-0000-00001B080000}"/>
    <cellStyle name="20% - Accent1 4 6 2 3" xfId="4919" xr:uid="{00000000-0005-0000-0000-00001C080000}"/>
    <cellStyle name="20% - Accent1 4 6 2 3 2" xfId="10569" xr:uid="{00000000-0005-0000-0000-00001D080000}"/>
    <cellStyle name="20% - Accent1 4 6 2 3 2 2" xfId="21870" xr:uid="{00000000-0005-0000-0000-00001E080000}"/>
    <cellStyle name="20% - Accent1 4 6 2 3 2 2 2" xfId="44472" xr:uid="{00000000-0005-0000-0000-00001F080000}"/>
    <cellStyle name="20% - Accent1 4 6 2 3 2 3" xfId="33171" xr:uid="{00000000-0005-0000-0000-000020080000}"/>
    <cellStyle name="20% - Accent1 4 6 2 3 3" xfId="16220" xr:uid="{00000000-0005-0000-0000-000021080000}"/>
    <cellStyle name="20% - Accent1 4 6 2 3 3 2" xfId="38822" xr:uid="{00000000-0005-0000-0000-000022080000}"/>
    <cellStyle name="20% - Accent1 4 6 2 3 4" xfId="27521" xr:uid="{00000000-0005-0000-0000-000023080000}"/>
    <cellStyle name="20% - Accent1 4 6 2 4" xfId="7425" xr:uid="{00000000-0005-0000-0000-000024080000}"/>
    <cellStyle name="20% - Accent1 4 6 2 4 2" xfId="18726" xr:uid="{00000000-0005-0000-0000-000025080000}"/>
    <cellStyle name="20% - Accent1 4 6 2 4 2 2" xfId="41328" xr:uid="{00000000-0005-0000-0000-000026080000}"/>
    <cellStyle name="20% - Accent1 4 6 2 4 3" xfId="30027" xr:uid="{00000000-0005-0000-0000-000027080000}"/>
    <cellStyle name="20% - Accent1 4 6 2 5" xfId="13076" xr:uid="{00000000-0005-0000-0000-000028080000}"/>
    <cellStyle name="20% - Accent1 4 6 2 5 2" xfId="35678" xr:uid="{00000000-0005-0000-0000-000029080000}"/>
    <cellStyle name="20% - Accent1 4 6 2 6" xfId="24377" xr:uid="{00000000-0005-0000-0000-00002A080000}"/>
    <cellStyle name="20% - Accent1 4 6 3" xfId="2510" xr:uid="{00000000-0005-0000-0000-00002B080000}"/>
    <cellStyle name="20% - Accent1 4 6 3 2" xfId="5529" xr:uid="{00000000-0005-0000-0000-00002C080000}"/>
    <cellStyle name="20% - Accent1 4 6 3 2 2" xfId="11179" xr:uid="{00000000-0005-0000-0000-00002D080000}"/>
    <cellStyle name="20% - Accent1 4 6 3 2 2 2" xfId="22480" xr:uid="{00000000-0005-0000-0000-00002E080000}"/>
    <cellStyle name="20% - Accent1 4 6 3 2 2 2 2" xfId="45082" xr:uid="{00000000-0005-0000-0000-00002F080000}"/>
    <cellStyle name="20% - Accent1 4 6 3 2 2 3" xfId="33781" xr:uid="{00000000-0005-0000-0000-000030080000}"/>
    <cellStyle name="20% - Accent1 4 6 3 2 3" xfId="16830" xr:uid="{00000000-0005-0000-0000-000031080000}"/>
    <cellStyle name="20% - Accent1 4 6 3 2 3 2" xfId="39432" xr:uid="{00000000-0005-0000-0000-000032080000}"/>
    <cellStyle name="20% - Accent1 4 6 3 2 4" xfId="28131" xr:uid="{00000000-0005-0000-0000-000033080000}"/>
    <cellStyle name="20% - Accent1 4 6 3 3" xfId="8346" xr:uid="{00000000-0005-0000-0000-000034080000}"/>
    <cellStyle name="20% - Accent1 4 6 3 3 2" xfId="19647" xr:uid="{00000000-0005-0000-0000-000035080000}"/>
    <cellStyle name="20% - Accent1 4 6 3 3 2 2" xfId="42249" xr:uid="{00000000-0005-0000-0000-000036080000}"/>
    <cellStyle name="20% - Accent1 4 6 3 3 3" xfId="30948" xr:uid="{00000000-0005-0000-0000-000037080000}"/>
    <cellStyle name="20% - Accent1 4 6 3 4" xfId="13997" xr:uid="{00000000-0005-0000-0000-000038080000}"/>
    <cellStyle name="20% - Accent1 4 6 3 4 2" xfId="36599" xr:uid="{00000000-0005-0000-0000-000039080000}"/>
    <cellStyle name="20% - Accent1 4 6 3 5" xfId="25298" xr:uid="{00000000-0005-0000-0000-00003A080000}"/>
    <cellStyle name="20% - Accent1 4 6 4" xfId="4295" xr:uid="{00000000-0005-0000-0000-00003B080000}"/>
    <cellStyle name="20% - Accent1 4 6 4 2" xfId="9945" xr:uid="{00000000-0005-0000-0000-00003C080000}"/>
    <cellStyle name="20% - Accent1 4 6 4 2 2" xfId="21246" xr:uid="{00000000-0005-0000-0000-00003D080000}"/>
    <cellStyle name="20% - Accent1 4 6 4 2 2 2" xfId="43848" xr:uid="{00000000-0005-0000-0000-00003E080000}"/>
    <cellStyle name="20% - Accent1 4 6 4 2 3" xfId="32547" xr:uid="{00000000-0005-0000-0000-00003F080000}"/>
    <cellStyle name="20% - Accent1 4 6 4 3" xfId="15596" xr:uid="{00000000-0005-0000-0000-000040080000}"/>
    <cellStyle name="20% - Accent1 4 6 4 3 2" xfId="38198" xr:uid="{00000000-0005-0000-0000-000041080000}"/>
    <cellStyle name="20% - Accent1 4 6 4 4" xfId="26897" xr:uid="{00000000-0005-0000-0000-000042080000}"/>
    <cellStyle name="20% - Accent1 4 6 5" xfId="7093" xr:uid="{00000000-0005-0000-0000-000043080000}"/>
    <cellStyle name="20% - Accent1 4 6 5 2" xfId="18394" xr:uid="{00000000-0005-0000-0000-000044080000}"/>
    <cellStyle name="20% - Accent1 4 6 5 2 2" xfId="40996" xr:uid="{00000000-0005-0000-0000-000045080000}"/>
    <cellStyle name="20% - Accent1 4 6 5 3" xfId="29695" xr:uid="{00000000-0005-0000-0000-000046080000}"/>
    <cellStyle name="20% - Accent1 4 6 6" xfId="12744" xr:uid="{00000000-0005-0000-0000-000047080000}"/>
    <cellStyle name="20% - Accent1 4 6 6 2" xfId="35346" xr:uid="{00000000-0005-0000-0000-000048080000}"/>
    <cellStyle name="20% - Accent1 4 6 7" xfId="24045" xr:uid="{00000000-0005-0000-0000-000049080000}"/>
    <cellStyle name="20% - Accent1 4 7" xfId="778" xr:uid="{00000000-0005-0000-0000-00004A080000}"/>
    <cellStyle name="20% - Accent1 4 7 2" xfId="2875" xr:uid="{00000000-0005-0000-0000-00004B080000}"/>
    <cellStyle name="20% - Accent1 4 7 2 2" xfId="5847" xr:uid="{00000000-0005-0000-0000-00004C080000}"/>
    <cellStyle name="20% - Accent1 4 7 2 2 2" xfId="11497" xr:uid="{00000000-0005-0000-0000-00004D080000}"/>
    <cellStyle name="20% - Accent1 4 7 2 2 2 2" xfId="22798" xr:uid="{00000000-0005-0000-0000-00004E080000}"/>
    <cellStyle name="20% - Accent1 4 7 2 2 2 2 2" xfId="45400" xr:uid="{00000000-0005-0000-0000-00004F080000}"/>
    <cellStyle name="20% - Accent1 4 7 2 2 2 3" xfId="34099" xr:uid="{00000000-0005-0000-0000-000050080000}"/>
    <cellStyle name="20% - Accent1 4 7 2 2 3" xfId="17148" xr:uid="{00000000-0005-0000-0000-000051080000}"/>
    <cellStyle name="20% - Accent1 4 7 2 2 3 2" xfId="39750" xr:uid="{00000000-0005-0000-0000-000052080000}"/>
    <cellStyle name="20% - Accent1 4 7 2 2 4" xfId="28449" xr:uid="{00000000-0005-0000-0000-000053080000}"/>
    <cellStyle name="20% - Accent1 4 7 2 3" xfId="8665" xr:uid="{00000000-0005-0000-0000-000054080000}"/>
    <cellStyle name="20% - Accent1 4 7 2 3 2" xfId="19966" xr:uid="{00000000-0005-0000-0000-000055080000}"/>
    <cellStyle name="20% - Accent1 4 7 2 3 2 2" xfId="42568" xr:uid="{00000000-0005-0000-0000-000056080000}"/>
    <cellStyle name="20% - Accent1 4 7 2 3 3" xfId="31267" xr:uid="{00000000-0005-0000-0000-000057080000}"/>
    <cellStyle name="20% - Accent1 4 7 2 4" xfId="14316" xr:uid="{00000000-0005-0000-0000-000058080000}"/>
    <cellStyle name="20% - Accent1 4 7 2 4 2" xfId="36918" xr:uid="{00000000-0005-0000-0000-000059080000}"/>
    <cellStyle name="20% - Accent1 4 7 2 5" xfId="25617" xr:uid="{00000000-0005-0000-0000-00005A080000}"/>
    <cellStyle name="20% - Accent1 4 7 3" xfId="4613" xr:uid="{00000000-0005-0000-0000-00005B080000}"/>
    <cellStyle name="20% - Accent1 4 7 3 2" xfId="10263" xr:uid="{00000000-0005-0000-0000-00005C080000}"/>
    <cellStyle name="20% - Accent1 4 7 3 2 2" xfId="21564" xr:uid="{00000000-0005-0000-0000-00005D080000}"/>
    <cellStyle name="20% - Accent1 4 7 3 2 2 2" xfId="44166" xr:uid="{00000000-0005-0000-0000-00005E080000}"/>
    <cellStyle name="20% - Accent1 4 7 3 2 3" xfId="32865" xr:uid="{00000000-0005-0000-0000-00005F080000}"/>
    <cellStyle name="20% - Accent1 4 7 3 3" xfId="15914" xr:uid="{00000000-0005-0000-0000-000060080000}"/>
    <cellStyle name="20% - Accent1 4 7 3 3 2" xfId="38516" xr:uid="{00000000-0005-0000-0000-000061080000}"/>
    <cellStyle name="20% - Accent1 4 7 3 4" xfId="27215" xr:uid="{00000000-0005-0000-0000-000062080000}"/>
    <cellStyle name="20% - Accent1 4 7 4" xfId="6795" xr:uid="{00000000-0005-0000-0000-000063080000}"/>
    <cellStyle name="20% - Accent1 4 7 4 2" xfId="18096" xr:uid="{00000000-0005-0000-0000-000064080000}"/>
    <cellStyle name="20% - Accent1 4 7 4 2 2" xfId="40698" xr:uid="{00000000-0005-0000-0000-000065080000}"/>
    <cellStyle name="20% - Accent1 4 7 4 3" xfId="29397" xr:uid="{00000000-0005-0000-0000-000066080000}"/>
    <cellStyle name="20% - Accent1 4 7 5" xfId="12446" xr:uid="{00000000-0005-0000-0000-000067080000}"/>
    <cellStyle name="20% - Accent1 4 7 5 2" xfId="35048" xr:uid="{00000000-0005-0000-0000-000068080000}"/>
    <cellStyle name="20% - Accent1 4 7 6" xfId="23747" xr:uid="{00000000-0005-0000-0000-000069080000}"/>
    <cellStyle name="20% - Accent1 4 8" xfId="1556" xr:uid="{00000000-0005-0000-0000-00006A080000}"/>
    <cellStyle name="20% - Accent1 4 8 2" xfId="3593" xr:uid="{00000000-0005-0000-0000-00006B080000}"/>
    <cellStyle name="20% - Accent1 4 8 2 2" xfId="9311" xr:uid="{00000000-0005-0000-0000-00006C080000}"/>
    <cellStyle name="20% - Accent1 4 8 2 2 2" xfId="20612" xr:uid="{00000000-0005-0000-0000-00006D080000}"/>
    <cellStyle name="20% - Accent1 4 8 2 2 2 2" xfId="43214" xr:uid="{00000000-0005-0000-0000-00006E080000}"/>
    <cellStyle name="20% - Accent1 4 8 2 2 3" xfId="31913" xr:uid="{00000000-0005-0000-0000-00006F080000}"/>
    <cellStyle name="20% - Accent1 4 8 2 3" xfId="14962" xr:uid="{00000000-0005-0000-0000-000070080000}"/>
    <cellStyle name="20% - Accent1 4 8 2 3 2" xfId="37564" xr:uid="{00000000-0005-0000-0000-000071080000}"/>
    <cellStyle name="20% - Accent1 4 8 2 4" xfId="26263" xr:uid="{00000000-0005-0000-0000-000072080000}"/>
    <cellStyle name="20% - Accent1 4 8 3" xfId="5223" xr:uid="{00000000-0005-0000-0000-000073080000}"/>
    <cellStyle name="20% - Accent1 4 8 3 2" xfId="10873" xr:uid="{00000000-0005-0000-0000-000074080000}"/>
    <cellStyle name="20% - Accent1 4 8 3 2 2" xfId="22174" xr:uid="{00000000-0005-0000-0000-000075080000}"/>
    <cellStyle name="20% - Accent1 4 8 3 2 2 2" xfId="44776" xr:uid="{00000000-0005-0000-0000-000076080000}"/>
    <cellStyle name="20% - Accent1 4 8 3 2 3" xfId="33475" xr:uid="{00000000-0005-0000-0000-000077080000}"/>
    <cellStyle name="20% - Accent1 4 8 3 3" xfId="16524" xr:uid="{00000000-0005-0000-0000-000078080000}"/>
    <cellStyle name="20% - Accent1 4 8 3 3 2" xfId="39126" xr:uid="{00000000-0005-0000-0000-000079080000}"/>
    <cellStyle name="20% - Accent1 4 8 3 4" xfId="27825" xr:uid="{00000000-0005-0000-0000-00007A080000}"/>
    <cellStyle name="20% - Accent1 4 8 4" xfId="7412" xr:uid="{00000000-0005-0000-0000-00007B080000}"/>
    <cellStyle name="20% - Accent1 4 8 4 2" xfId="18713" xr:uid="{00000000-0005-0000-0000-00007C080000}"/>
    <cellStyle name="20% - Accent1 4 8 4 2 2" xfId="41315" xr:uid="{00000000-0005-0000-0000-00007D080000}"/>
    <cellStyle name="20% - Accent1 4 8 4 3" xfId="30014" xr:uid="{00000000-0005-0000-0000-00007E080000}"/>
    <cellStyle name="20% - Accent1 4 8 5" xfId="13063" xr:uid="{00000000-0005-0000-0000-00007F080000}"/>
    <cellStyle name="20% - Accent1 4 8 5 2" xfId="35665" xr:uid="{00000000-0005-0000-0000-000080080000}"/>
    <cellStyle name="20% - Accent1 4 8 6" xfId="24364" xr:uid="{00000000-0005-0000-0000-000081080000}"/>
    <cellStyle name="20% - Accent1 4 9" xfId="2194" xr:uid="{00000000-0005-0000-0000-000082080000}"/>
    <cellStyle name="20% - Accent1 4 9 2" xfId="8037" xr:uid="{00000000-0005-0000-0000-000083080000}"/>
    <cellStyle name="20% - Accent1 4 9 2 2" xfId="19338" xr:uid="{00000000-0005-0000-0000-000084080000}"/>
    <cellStyle name="20% - Accent1 4 9 2 2 2" xfId="41940" xr:uid="{00000000-0005-0000-0000-000085080000}"/>
    <cellStyle name="20% - Accent1 4 9 2 3" xfId="30639" xr:uid="{00000000-0005-0000-0000-000086080000}"/>
    <cellStyle name="20% - Accent1 4 9 3" xfId="13688" xr:uid="{00000000-0005-0000-0000-000087080000}"/>
    <cellStyle name="20% - Accent1 4 9 3 2" xfId="36290" xr:uid="{00000000-0005-0000-0000-000088080000}"/>
    <cellStyle name="20% - Accent1 4 9 4" xfId="24989" xr:uid="{00000000-0005-0000-0000-000089080000}"/>
    <cellStyle name="20% - Accent1 5" xfId="265" xr:uid="{00000000-0005-0000-0000-00008A080000}"/>
    <cellStyle name="20% - Accent1 5 10" xfId="12131" xr:uid="{00000000-0005-0000-0000-00008B080000}"/>
    <cellStyle name="20% - Accent1 5 10 2" xfId="34733" xr:uid="{00000000-0005-0000-0000-00008C080000}"/>
    <cellStyle name="20% - Accent1 5 11" xfId="23432" xr:uid="{00000000-0005-0000-0000-00008D080000}"/>
    <cellStyle name="20% - Accent1 5 2" xfId="433" xr:uid="{00000000-0005-0000-0000-00008E080000}"/>
    <cellStyle name="20% - Accent1 5 2 10" xfId="23528" xr:uid="{00000000-0005-0000-0000-00008F080000}"/>
    <cellStyle name="20% - Accent1 5 2 2" xfId="678" xr:uid="{00000000-0005-0000-0000-000090080000}"/>
    <cellStyle name="20% - Accent1 5 2 2 2" xfId="1388" xr:uid="{00000000-0005-0000-0000-000091080000}"/>
    <cellStyle name="20% - Accent1 5 2 2 2 2" xfId="1573" xr:uid="{00000000-0005-0000-0000-000092080000}"/>
    <cellStyle name="20% - Accent1 5 2 2 2 2 2" xfId="3457" xr:uid="{00000000-0005-0000-0000-000093080000}"/>
    <cellStyle name="20% - Accent1 5 2 2 2 2 2 2" xfId="6429" xr:uid="{00000000-0005-0000-0000-000094080000}"/>
    <cellStyle name="20% - Accent1 5 2 2 2 2 2 2 2" xfId="12079" xr:uid="{00000000-0005-0000-0000-000095080000}"/>
    <cellStyle name="20% - Accent1 5 2 2 2 2 2 2 2 2" xfId="23380" xr:uid="{00000000-0005-0000-0000-000096080000}"/>
    <cellStyle name="20% - Accent1 5 2 2 2 2 2 2 2 2 2" xfId="45982" xr:uid="{00000000-0005-0000-0000-000097080000}"/>
    <cellStyle name="20% - Accent1 5 2 2 2 2 2 2 2 3" xfId="34681" xr:uid="{00000000-0005-0000-0000-000098080000}"/>
    <cellStyle name="20% - Accent1 5 2 2 2 2 2 2 3" xfId="17730" xr:uid="{00000000-0005-0000-0000-000099080000}"/>
    <cellStyle name="20% - Accent1 5 2 2 2 2 2 2 3 2" xfId="40332" xr:uid="{00000000-0005-0000-0000-00009A080000}"/>
    <cellStyle name="20% - Accent1 5 2 2 2 2 2 2 4" xfId="29031" xr:uid="{00000000-0005-0000-0000-00009B080000}"/>
    <cellStyle name="20% - Accent1 5 2 2 2 2 2 3" xfId="9247" xr:uid="{00000000-0005-0000-0000-00009C080000}"/>
    <cellStyle name="20% - Accent1 5 2 2 2 2 2 3 2" xfId="20548" xr:uid="{00000000-0005-0000-0000-00009D080000}"/>
    <cellStyle name="20% - Accent1 5 2 2 2 2 2 3 2 2" xfId="43150" xr:uid="{00000000-0005-0000-0000-00009E080000}"/>
    <cellStyle name="20% - Accent1 5 2 2 2 2 2 3 3" xfId="31849" xr:uid="{00000000-0005-0000-0000-00009F080000}"/>
    <cellStyle name="20% - Accent1 5 2 2 2 2 2 4" xfId="14898" xr:uid="{00000000-0005-0000-0000-0000A0080000}"/>
    <cellStyle name="20% - Accent1 5 2 2 2 2 2 4 2" xfId="37500" xr:uid="{00000000-0005-0000-0000-0000A1080000}"/>
    <cellStyle name="20% - Accent1 5 2 2 2 2 2 5" xfId="26199" xr:uid="{00000000-0005-0000-0000-0000A2080000}"/>
    <cellStyle name="20% - Accent1 5 2 2 2 2 3" xfId="5195" xr:uid="{00000000-0005-0000-0000-0000A3080000}"/>
    <cellStyle name="20% - Accent1 5 2 2 2 2 3 2" xfId="10845" xr:uid="{00000000-0005-0000-0000-0000A4080000}"/>
    <cellStyle name="20% - Accent1 5 2 2 2 2 3 2 2" xfId="22146" xr:uid="{00000000-0005-0000-0000-0000A5080000}"/>
    <cellStyle name="20% - Accent1 5 2 2 2 2 3 2 2 2" xfId="44748" xr:uid="{00000000-0005-0000-0000-0000A6080000}"/>
    <cellStyle name="20% - Accent1 5 2 2 2 2 3 2 3" xfId="33447" xr:uid="{00000000-0005-0000-0000-0000A7080000}"/>
    <cellStyle name="20% - Accent1 5 2 2 2 2 3 3" xfId="16496" xr:uid="{00000000-0005-0000-0000-0000A8080000}"/>
    <cellStyle name="20% - Accent1 5 2 2 2 2 3 3 2" xfId="39098" xr:uid="{00000000-0005-0000-0000-0000A9080000}"/>
    <cellStyle name="20% - Accent1 5 2 2 2 2 3 4" xfId="27797" xr:uid="{00000000-0005-0000-0000-0000AA080000}"/>
    <cellStyle name="20% - Accent1 5 2 2 2 2 4" xfId="7429" xr:uid="{00000000-0005-0000-0000-0000AB080000}"/>
    <cellStyle name="20% - Accent1 5 2 2 2 2 4 2" xfId="18730" xr:uid="{00000000-0005-0000-0000-0000AC080000}"/>
    <cellStyle name="20% - Accent1 5 2 2 2 2 4 2 2" xfId="41332" xr:uid="{00000000-0005-0000-0000-0000AD080000}"/>
    <cellStyle name="20% - Accent1 5 2 2 2 2 4 3" xfId="30031" xr:uid="{00000000-0005-0000-0000-0000AE080000}"/>
    <cellStyle name="20% - Accent1 5 2 2 2 2 5" xfId="13080" xr:uid="{00000000-0005-0000-0000-0000AF080000}"/>
    <cellStyle name="20% - Accent1 5 2 2 2 2 5 2" xfId="35682" xr:uid="{00000000-0005-0000-0000-0000B0080000}"/>
    <cellStyle name="20% - Accent1 5 2 2 2 2 6" xfId="24381" xr:uid="{00000000-0005-0000-0000-0000B1080000}"/>
    <cellStyle name="20% - Accent1 5 2 2 2 3" xfId="2786" xr:uid="{00000000-0005-0000-0000-0000B2080000}"/>
    <cellStyle name="20% - Accent1 5 2 2 2 3 2" xfId="5805" xr:uid="{00000000-0005-0000-0000-0000B3080000}"/>
    <cellStyle name="20% - Accent1 5 2 2 2 3 2 2" xfId="11455" xr:uid="{00000000-0005-0000-0000-0000B4080000}"/>
    <cellStyle name="20% - Accent1 5 2 2 2 3 2 2 2" xfId="22756" xr:uid="{00000000-0005-0000-0000-0000B5080000}"/>
    <cellStyle name="20% - Accent1 5 2 2 2 3 2 2 2 2" xfId="45358" xr:uid="{00000000-0005-0000-0000-0000B6080000}"/>
    <cellStyle name="20% - Accent1 5 2 2 2 3 2 2 3" xfId="34057" xr:uid="{00000000-0005-0000-0000-0000B7080000}"/>
    <cellStyle name="20% - Accent1 5 2 2 2 3 2 3" xfId="17106" xr:uid="{00000000-0005-0000-0000-0000B8080000}"/>
    <cellStyle name="20% - Accent1 5 2 2 2 3 2 3 2" xfId="39708" xr:uid="{00000000-0005-0000-0000-0000B9080000}"/>
    <cellStyle name="20% - Accent1 5 2 2 2 3 2 4" xfId="28407" xr:uid="{00000000-0005-0000-0000-0000BA080000}"/>
    <cellStyle name="20% - Accent1 5 2 2 2 3 3" xfId="8622" xr:uid="{00000000-0005-0000-0000-0000BB080000}"/>
    <cellStyle name="20% - Accent1 5 2 2 2 3 3 2" xfId="19923" xr:uid="{00000000-0005-0000-0000-0000BC080000}"/>
    <cellStyle name="20% - Accent1 5 2 2 2 3 3 2 2" xfId="42525" xr:uid="{00000000-0005-0000-0000-0000BD080000}"/>
    <cellStyle name="20% - Accent1 5 2 2 2 3 3 3" xfId="31224" xr:uid="{00000000-0005-0000-0000-0000BE080000}"/>
    <cellStyle name="20% - Accent1 5 2 2 2 3 4" xfId="14273" xr:uid="{00000000-0005-0000-0000-0000BF080000}"/>
    <cellStyle name="20% - Accent1 5 2 2 2 3 4 2" xfId="36875" xr:uid="{00000000-0005-0000-0000-0000C0080000}"/>
    <cellStyle name="20% - Accent1 5 2 2 2 3 5" xfId="25574" xr:uid="{00000000-0005-0000-0000-0000C1080000}"/>
    <cellStyle name="20% - Accent1 5 2 2 2 4" xfId="4571" xr:uid="{00000000-0005-0000-0000-0000C2080000}"/>
    <cellStyle name="20% - Accent1 5 2 2 2 4 2" xfId="10221" xr:uid="{00000000-0005-0000-0000-0000C3080000}"/>
    <cellStyle name="20% - Accent1 5 2 2 2 4 2 2" xfId="21522" xr:uid="{00000000-0005-0000-0000-0000C4080000}"/>
    <cellStyle name="20% - Accent1 5 2 2 2 4 2 2 2" xfId="44124" xr:uid="{00000000-0005-0000-0000-0000C5080000}"/>
    <cellStyle name="20% - Accent1 5 2 2 2 4 2 3" xfId="32823" xr:uid="{00000000-0005-0000-0000-0000C6080000}"/>
    <cellStyle name="20% - Accent1 5 2 2 2 4 3" xfId="15872" xr:uid="{00000000-0005-0000-0000-0000C7080000}"/>
    <cellStyle name="20% - Accent1 5 2 2 2 4 3 2" xfId="38474" xr:uid="{00000000-0005-0000-0000-0000C8080000}"/>
    <cellStyle name="20% - Accent1 5 2 2 2 4 4" xfId="27173" xr:uid="{00000000-0005-0000-0000-0000C9080000}"/>
    <cellStyle name="20% - Accent1 5 2 2 2 5" xfId="7367" xr:uid="{00000000-0005-0000-0000-0000CA080000}"/>
    <cellStyle name="20% - Accent1 5 2 2 2 5 2" xfId="18668" xr:uid="{00000000-0005-0000-0000-0000CB080000}"/>
    <cellStyle name="20% - Accent1 5 2 2 2 5 2 2" xfId="41270" xr:uid="{00000000-0005-0000-0000-0000CC080000}"/>
    <cellStyle name="20% - Accent1 5 2 2 2 5 3" xfId="29969" xr:uid="{00000000-0005-0000-0000-0000CD080000}"/>
    <cellStyle name="20% - Accent1 5 2 2 2 6" xfId="13018" xr:uid="{00000000-0005-0000-0000-0000CE080000}"/>
    <cellStyle name="20% - Accent1 5 2 2 2 6 2" xfId="35620" xr:uid="{00000000-0005-0000-0000-0000CF080000}"/>
    <cellStyle name="20% - Accent1 5 2 2 2 7" xfId="24319" xr:uid="{00000000-0005-0000-0000-0000D0080000}"/>
    <cellStyle name="20% - Accent1 5 2 2 3" xfId="1086" xr:uid="{00000000-0005-0000-0000-0000D1080000}"/>
    <cellStyle name="20% - Accent1 5 2 2 3 2" xfId="3149" xr:uid="{00000000-0005-0000-0000-0000D2080000}"/>
    <cellStyle name="20% - Accent1 5 2 2 3 2 2" xfId="6121" xr:uid="{00000000-0005-0000-0000-0000D3080000}"/>
    <cellStyle name="20% - Accent1 5 2 2 3 2 2 2" xfId="11771" xr:uid="{00000000-0005-0000-0000-0000D4080000}"/>
    <cellStyle name="20% - Accent1 5 2 2 3 2 2 2 2" xfId="23072" xr:uid="{00000000-0005-0000-0000-0000D5080000}"/>
    <cellStyle name="20% - Accent1 5 2 2 3 2 2 2 2 2" xfId="45674" xr:uid="{00000000-0005-0000-0000-0000D6080000}"/>
    <cellStyle name="20% - Accent1 5 2 2 3 2 2 2 3" xfId="34373" xr:uid="{00000000-0005-0000-0000-0000D7080000}"/>
    <cellStyle name="20% - Accent1 5 2 2 3 2 2 3" xfId="17422" xr:uid="{00000000-0005-0000-0000-0000D8080000}"/>
    <cellStyle name="20% - Accent1 5 2 2 3 2 2 3 2" xfId="40024" xr:uid="{00000000-0005-0000-0000-0000D9080000}"/>
    <cellStyle name="20% - Accent1 5 2 2 3 2 2 4" xfId="28723" xr:uid="{00000000-0005-0000-0000-0000DA080000}"/>
    <cellStyle name="20% - Accent1 5 2 2 3 2 3" xfId="8939" xr:uid="{00000000-0005-0000-0000-0000DB080000}"/>
    <cellStyle name="20% - Accent1 5 2 2 3 2 3 2" xfId="20240" xr:uid="{00000000-0005-0000-0000-0000DC080000}"/>
    <cellStyle name="20% - Accent1 5 2 2 3 2 3 2 2" xfId="42842" xr:uid="{00000000-0005-0000-0000-0000DD080000}"/>
    <cellStyle name="20% - Accent1 5 2 2 3 2 3 3" xfId="31541" xr:uid="{00000000-0005-0000-0000-0000DE080000}"/>
    <cellStyle name="20% - Accent1 5 2 2 3 2 4" xfId="14590" xr:uid="{00000000-0005-0000-0000-0000DF080000}"/>
    <cellStyle name="20% - Accent1 5 2 2 3 2 4 2" xfId="37192" xr:uid="{00000000-0005-0000-0000-0000E0080000}"/>
    <cellStyle name="20% - Accent1 5 2 2 3 2 5" xfId="25891" xr:uid="{00000000-0005-0000-0000-0000E1080000}"/>
    <cellStyle name="20% - Accent1 5 2 2 3 3" xfId="4887" xr:uid="{00000000-0005-0000-0000-0000E2080000}"/>
    <cellStyle name="20% - Accent1 5 2 2 3 3 2" xfId="10537" xr:uid="{00000000-0005-0000-0000-0000E3080000}"/>
    <cellStyle name="20% - Accent1 5 2 2 3 3 2 2" xfId="21838" xr:uid="{00000000-0005-0000-0000-0000E4080000}"/>
    <cellStyle name="20% - Accent1 5 2 2 3 3 2 2 2" xfId="44440" xr:uid="{00000000-0005-0000-0000-0000E5080000}"/>
    <cellStyle name="20% - Accent1 5 2 2 3 3 2 3" xfId="33139" xr:uid="{00000000-0005-0000-0000-0000E6080000}"/>
    <cellStyle name="20% - Accent1 5 2 2 3 3 3" xfId="16188" xr:uid="{00000000-0005-0000-0000-0000E7080000}"/>
    <cellStyle name="20% - Accent1 5 2 2 3 3 3 2" xfId="38790" xr:uid="{00000000-0005-0000-0000-0000E8080000}"/>
    <cellStyle name="20% - Accent1 5 2 2 3 3 4" xfId="27489" xr:uid="{00000000-0005-0000-0000-0000E9080000}"/>
    <cellStyle name="20% - Accent1 5 2 2 3 4" xfId="7074" xr:uid="{00000000-0005-0000-0000-0000EA080000}"/>
    <cellStyle name="20% - Accent1 5 2 2 3 4 2" xfId="18375" xr:uid="{00000000-0005-0000-0000-0000EB080000}"/>
    <cellStyle name="20% - Accent1 5 2 2 3 4 2 2" xfId="40977" xr:uid="{00000000-0005-0000-0000-0000EC080000}"/>
    <cellStyle name="20% - Accent1 5 2 2 3 4 3" xfId="29676" xr:uid="{00000000-0005-0000-0000-0000ED080000}"/>
    <cellStyle name="20% - Accent1 5 2 2 3 5" xfId="12725" xr:uid="{00000000-0005-0000-0000-0000EE080000}"/>
    <cellStyle name="20% - Accent1 5 2 2 3 5 2" xfId="35327" xr:uid="{00000000-0005-0000-0000-0000EF080000}"/>
    <cellStyle name="20% - Accent1 5 2 2 3 6" xfId="24026" xr:uid="{00000000-0005-0000-0000-0000F0080000}"/>
    <cellStyle name="20% - Accent1 5 2 2 4" xfId="1572" xr:uid="{00000000-0005-0000-0000-0000F1080000}"/>
    <cellStyle name="20% - Accent1 5 2 2 4 2" xfId="3594" xr:uid="{00000000-0005-0000-0000-0000F2080000}"/>
    <cellStyle name="20% - Accent1 5 2 2 4 2 2" xfId="9312" xr:uid="{00000000-0005-0000-0000-0000F3080000}"/>
    <cellStyle name="20% - Accent1 5 2 2 4 2 2 2" xfId="20613" xr:uid="{00000000-0005-0000-0000-0000F4080000}"/>
    <cellStyle name="20% - Accent1 5 2 2 4 2 2 2 2" xfId="43215" xr:uid="{00000000-0005-0000-0000-0000F5080000}"/>
    <cellStyle name="20% - Accent1 5 2 2 4 2 2 3" xfId="31914" xr:uid="{00000000-0005-0000-0000-0000F6080000}"/>
    <cellStyle name="20% - Accent1 5 2 2 4 2 3" xfId="14963" xr:uid="{00000000-0005-0000-0000-0000F7080000}"/>
    <cellStyle name="20% - Accent1 5 2 2 4 2 3 2" xfId="37565" xr:uid="{00000000-0005-0000-0000-0000F8080000}"/>
    <cellStyle name="20% - Accent1 5 2 2 4 2 4" xfId="26264" xr:uid="{00000000-0005-0000-0000-0000F9080000}"/>
    <cellStyle name="20% - Accent1 5 2 2 4 3" xfId="5497" xr:uid="{00000000-0005-0000-0000-0000FA080000}"/>
    <cellStyle name="20% - Accent1 5 2 2 4 3 2" xfId="11147" xr:uid="{00000000-0005-0000-0000-0000FB080000}"/>
    <cellStyle name="20% - Accent1 5 2 2 4 3 2 2" xfId="22448" xr:uid="{00000000-0005-0000-0000-0000FC080000}"/>
    <cellStyle name="20% - Accent1 5 2 2 4 3 2 2 2" xfId="45050" xr:uid="{00000000-0005-0000-0000-0000FD080000}"/>
    <cellStyle name="20% - Accent1 5 2 2 4 3 2 3" xfId="33749" xr:uid="{00000000-0005-0000-0000-0000FE080000}"/>
    <cellStyle name="20% - Accent1 5 2 2 4 3 3" xfId="16798" xr:uid="{00000000-0005-0000-0000-0000FF080000}"/>
    <cellStyle name="20% - Accent1 5 2 2 4 3 3 2" xfId="39400" xr:uid="{00000000-0005-0000-0000-000000090000}"/>
    <cellStyle name="20% - Accent1 5 2 2 4 3 4" xfId="28099" xr:uid="{00000000-0005-0000-0000-000001090000}"/>
    <cellStyle name="20% - Accent1 5 2 2 4 4" xfId="7428" xr:uid="{00000000-0005-0000-0000-000002090000}"/>
    <cellStyle name="20% - Accent1 5 2 2 4 4 2" xfId="18729" xr:uid="{00000000-0005-0000-0000-000003090000}"/>
    <cellStyle name="20% - Accent1 5 2 2 4 4 2 2" xfId="41331" xr:uid="{00000000-0005-0000-0000-000004090000}"/>
    <cellStyle name="20% - Accent1 5 2 2 4 4 3" xfId="30030" xr:uid="{00000000-0005-0000-0000-000005090000}"/>
    <cellStyle name="20% - Accent1 5 2 2 4 5" xfId="13079" xr:uid="{00000000-0005-0000-0000-000006090000}"/>
    <cellStyle name="20% - Accent1 5 2 2 4 5 2" xfId="35681" xr:uid="{00000000-0005-0000-0000-000007090000}"/>
    <cellStyle name="20% - Accent1 5 2 2 4 6" xfId="24380" xr:uid="{00000000-0005-0000-0000-000008090000}"/>
    <cellStyle name="20% - Accent1 5 2 2 5" xfId="2478" xr:uid="{00000000-0005-0000-0000-000009090000}"/>
    <cellStyle name="20% - Accent1 5 2 2 5 2" xfId="8314" xr:uid="{00000000-0005-0000-0000-00000A090000}"/>
    <cellStyle name="20% - Accent1 5 2 2 5 2 2" xfId="19615" xr:uid="{00000000-0005-0000-0000-00000B090000}"/>
    <cellStyle name="20% - Accent1 5 2 2 5 2 2 2" xfId="42217" xr:uid="{00000000-0005-0000-0000-00000C090000}"/>
    <cellStyle name="20% - Accent1 5 2 2 5 2 3" xfId="30916" xr:uid="{00000000-0005-0000-0000-00000D090000}"/>
    <cellStyle name="20% - Accent1 5 2 2 5 3" xfId="13965" xr:uid="{00000000-0005-0000-0000-00000E090000}"/>
    <cellStyle name="20% - Accent1 5 2 2 5 3 2" xfId="36567" xr:uid="{00000000-0005-0000-0000-00000F090000}"/>
    <cellStyle name="20% - Accent1 5 2 2 5 4" xfId="25266" xr:uid="{00000000-0005-0000-0000-000010090000}"/>
    <cellStyle name="20% - Accent1 5 2 2 6" xfId="4263" xr:uid="{00000000-0005-0000-0000-000011090000}"/>
    <cellStyle name="20% - Accent1 5 2 2 6 2" xfId="9913" xr:uid="{00000000-0005-0000-0000-000012090000}"/>
    <cellStyle name="20% - Accent1 5 2 2 6 2 2" xfId="21214" xr:uid="{00000000-0005-0000-0000-000013090000}"/>
    <cellStyle name="20% - Accent1 5 2 2 6 2 2 2" xfId="43816" xr:uid="{00000000-0005-0000-0000-000014090000}"/>
    <cellStyle name="20% - Accent1 5 2 2 6 2 3" xfId="32515" xr:uid="{00000000-0005-0000-0000-000015090000}"/>
    <cellStyle name="20% - Accent1 5 2 2 6 3" xfId="15564" xr:uid="{00000000-0005-0000-0000-000016090000}"/>
    <cellStyle name="20% - Accent1 5 2 2 6 3 2" xfId="38166" xr:uid="{00000000-0005-0000-0000-000017090000}"/>
    <cellStyle name="20% - Accent1 5 2 2 6 4" xfId="26865" xr:uid="{00000000-0005-0000-0000-000018090000}"/>
    <cellStyle name="20% - Accent1 5 2 2 7" xfId="6743" xr:uid="{00000000-0005-0000-0000-000019090000}"/>
    <cellStyle name="20% - Accent1 5 2 2 7 2" xfId="18044" xr:uid="{00000000-0005-0000-0000-00001A090000}"/>
    <cellStyle name="20% - Accent1 5 2 2 7 2 2" xfId="40646" xr:uid="{00000000-0005-0000-0000-00001B090000}"/>
    <cellStyle name="20% - Accent1 5 2 2 7 3" xfId="29345" xr:uid="{00000000-0005-0000-0000-00001C090000}"/>
    <cellStyle name="20% - Accent1 5 2 2 8" xfId="12394" xr:uid="{00000000-0005-0000-0000-00001D090000}"/>
    <cellStyle name="20% - Accent1 5 2 2 8 2" xfId="34996" xr:uid="{00000000-0005-0000-0000-00001E090000}"/>
    <cellStyle name="20% - Accent1 5 2 2 9" xfId="23695" xr:uid="{00000000-0005-0000-0000-00001F090000}"/>
    <cellStyle name="20% - Accent1 5 2 3" xfId="1250" xr:uid="{00000000-0005-0000-0000-000020090000}"/>
    <cellStyle name="20% - Accent1 5 2 3 2" xfId="1574" xr:uid="{00000000-0005-0000-0000-000021090000}"/>
    <cellStyle name="20% - Accent1 5 2 3 2 2" xfId="3318" xr:uid="{00000000-0005-0000-0000-000022090000}"/>
    <cellStyle name="20% - Accent1 5 2 3 2 2 2" xfId="6290" xr:uid="{00000000-0005-0000-0000-000023090000}"/>
    <cellStyle name="20% - Accent1 5 2 3 2 2 2 2" xfId="11940" xr:uid="{00000000-0005-0000-0000-000024090000}"/>
    <cellStyle name="20% - Accent1 5 2 3 2 2 2 2 2" xfId="23241" xr:uid="{00000000-0005-0000-0000-000025090000}"/>
    <cellStyle name="20% - Accent1 5 2 3 2 2 2 2 2 2" xfId="45843" xr:uid="{00000000-0005-0000-0000-000026090000}"/>
    <cellStyle name="20% - Accent1 5 2 3 2 2 2 2 3" xfId="34542" xr:uid="{00000000-0005-0000-0000-000027090000}"/>
    <cellStyle name="20% - Accent1 5 2 3 2 2 2 3" xfId="17591" xr:uid="{00000000-0005-0000-0000-000028090000}"/>
    <cellStyle name="20% - Accent1 5 2 3 2 2 2 3 2" xfId="40193" xr:uid="{00000000-0005-0000-0000-000029090000}"/>
    <cellStyle name="20% - Accent1 5 2 3 2 2 2 4" xfId="28892" xr:uid="{00000000-0005-0000-0000-00002A090000}"/>
    <cellStyle name="20% - Accent1 5 2 3 2 2 3" xfId="9108" xr:uid="{00000000-0005-0000-0000-00002B090000}"/>
    <cellStyle name="20% - Accent1 5 2 3 2 2 3 2" xfId="20409" xr:uid="{00000000-0005-0000-0000-00002C090000}"/>
    <cellStyle name="20% - Accent1 5 2 3 2 2 3 2 2" xfId="43011" xr:uid="{00000000-0005-0000-0000-00002D090000}"/>
    <cellStyle name="20% - Accent1 5 2 3 2 2 3 3" xfId="31710" xr:uid="{00000000-0005-0000-0000-00002E090000}"/>
    <cellStyle name="20% - Accent1 5 2 3 2 2 4" xfId="14759" xr:uid="{00000000-0005-0000-0000-00002F090000}"/>
    <cellStyle name="20% - Accent1 5 2 3 2 2 4 2" xfId="37361" xr:uid="{00000000-0005-0000-0000-000030090000}"/>
    <cellStyle name="20% - Accent1 5 2 3 2 2 5" xfId="26060" xr:uid="{00000000-0005-0000-0000-000031090000}"/>
    <cellStyle name="20% - Accent1 5 2 3 2 3" xfId="5056" xr:uid="{00000000-0005-0000-0000-000032090000}"/>
    <cellStyle name="20% - Accent1 5 2 3 2 3 2" xfId="10706" xr:uid="{00000000-0005-0000-0000-000033090000}"/>
    <cellStyle name="20% - Accent1 5 2 3 2 3 2 2" xfId="22007" xr:uid="{00000000-0005-0000-0000-000034090000}"/>
    <cellStyle name="20% - Accent1 5 2 3 2 3 2 2 2" xfId="44609" xr:uid="{00000000-0005-0000-0000-000035090000}"/>
    <cellStyle name="20% - Accent1 5 2 3 2 3 2 3" xfId="33308" xr:uid="{00000000-0005-0000-0000-000036090000}"/>
    <cellStyle name="20% - Accent1 5 2 3 2 3 3" xfId="16357" xr:uid="{00000000-0005-0000-0000-000037090000}"/>
    <cellStyle name="20% - Accent1 5 2 3 2 3 3 2" xfId="38959" xr:uid="{00000000-0005-0000-0000-000038090000}"/>
    <cellStyle name="20% - Accent1 5 2 3 2 3 4" xfId="27658" xr:uid="{00000000-0005-0000-0000-000039090000}"/>
    <cellStyle name="20% - Accent1 5 2 3 2 4" xfId="7430" xr:uid="{00000000-0005-0000-0000-00003A090000}"/>
    <cellStyle name="20% - Accent1 5 2 3 2 4 2" xfId="18731" xr:uid="{00000000-0005-0000-0000-00003B090000}"/>
    <cellStyle name="20% - Accent1 5 2 3 2 4 2 2" xfId="41333" xr:uid="{00000000-0005-0000-0000-00003C090000}"/>
    <cellStyle name="20% - Accent1 5 2 3 2 4 3" xfId="30032" xr:uid="{00000000-0005-0000-0000-00003D090000}"/>
    <cellStyle name="20% - Accent1 5 2 3 2 5" xfId="13081" xr:uid="{00000000-0005-0000-0000-00003E090000}"/>
    <cellStyle name="20% - Accent1 5 2 3 2 5 2" xfId="35683" xr:uid="{00000000-0005-0000-0000-00003F090000}"/>
    <cellStyle name="20% - Accent1 5 2 3 2 6" xfId="24382" xr:uid="{00000000-0005-0000-0000-000040090000}"/>
    <cellStyle name="20% - Accent1 5 2 3 3" xfId="2647" xr:uid="{00000000-0005-0000-0000-000041090000}"/>
    <cellStyle name="20% - Accent1 5 2 3 3 2" xfId="5666" xr:uid="{00000000-0005-0000-0000-000042090000}"/>
    <cellStyle name="20% - Accent1 5 2 3 3 2 2" xfId="11316" xr:uid="{00000000-0005-0000-0000-000043090000}"/>
    <cellStyle name="20% - Accent1 5 2 3 3 2 2 2" xfId="22617" xr:uid="{00000000-0005-0000-0000-000044090000}"/>
    <cellStyle name="20% - Accent1 5 2 3 3 2 2 2 2" xfId="45219" xr:uid="{00000000-0005-0000-0000-000045090000}"/>
    <cellStyle name="20% - Accent1 5 2 3 3 2 2 3" xfId="33918" xr:uid="{00000000-0005-0000-0000-000046090000}"/>
    <cellStyle name="20% - Accent1 5 2 3 3 2 3" xfId="16967" xr:uid="{00000000-0005-0000-0000-000047090000}"/>
    <cellStyle name="20% - Accent1 5 2 3 3 2 3 2" xfId="39569" xr:uid="{00000000-0005-0000-0000-000048090000}"/>
    <cellStyle name="20% - Accent1 5 2 3 3 2 4" xfId="28268" xr:uid="{00000000-0005-0000-0000-000049090000}"/>
    <cellStyle name="20% - Accent1 5 2 3 3 3" xfId="8483" xr:uid="{00000000-0005-0000-0000-00004A090000}"/>
    <cellStyle name="20% - Accent1 5 2 3 3 3 2" xfId="19784" xr:uid="{00000000-0005-0000-0000-00004B090000}"/>
    <cellStyle name="20% - Accent1 5 2 3 3 3 2 2" xfId="42386" xr:uid="{00000000-0005-0000-0000-00004C090000}"/>
    <cellStyle name="20% - Accent1 5 2 3 3 3 3" xfId="31085" xr:uid="{00000000-0005-0000-0000-00004D090000}"/>
    <cellStyle name="20% - Accent1 5 2 3 3 4" xfId="14134" xr:uid="{00000000-0005-0000-0000-00004E090000}"/>
    <cellStyle name="20% - Accent1 5 2 3 3 4 2" xfId="36736" xr:uid="{00000000-0005-0000-0000-00004F090000}"/>
    <cellStyle name="20% - Accent1 5 2 3 3 5" xfId="25435" xr:uid="{00000000-0005-0000-0000-000050090000}"/>
    <cellStyle name="20% - Accent1 5 2 3 4" xfId="4432" xr:uid="{00000000-0005-0000-0000-000051090000}"/>
    <cellStyle name="20% - Accent1 5 2 3 4 2" xfId="10082" xr:uid="{00000000-0005-0000-0000-000052090000}"/>
    <cellStyle name="20% - Accent1 5 2 3 4 2 2" xfId="21383" xr:uid="{00000000-0005-0000-0000-000053090000}"/>
    <cellStyle name="20% - Accent1 5 2 3 4 2 2 2" xfId="43985" xr:uid="{00000000-0005-0000-0000-000054090000}"/>
    <cellStyle name="20% - Accent1 5 2 3 4 2 3" xfId="32684" xr:uid="{00000000-0005-0000-0000-000055090000}"/>
    <cellStyle name="20% - Accent1 5 2 3 4 3" xfId="15733" xr:uid="{00000000-0005-0000-0000-000056090000}"/>
    <cellStyle name="20% - Accent1 5 2 3 4 3 2" xfId="38335" xr:uid="{00000000-0005-0000-0000-000057090000}"/>
    <cellStyle name="20% - Accent1 5 2 3 4 4" xfId="27034" xr:uid="{00000000-0005-0000-0000-000058090000}"/>
    <cellStyle name="20% - Accent1 5 2 3 5" xfId="7229" xr:uid="{00000000-0005-0000-0000-000059090000}"/>
    <cellStyle name="20% - Accent1 5 2 3 5 2" xfId="18530" xr:uid="{00000000-0005-0000-0000-00005A090000}"/>
    <cellStyle name="20% - Accent1 5 2 3 5 2 2" xfId="41132" xr:uid="{00000000-0005-0000-0000-00005B090000}"/>
    <cellStyle name="20% - Accent1 5 2 3 5 3" xfId="29831" xr:uid="{00000000-0005-0000-0000-00005C090000}"/>
    <cellStyle name="20% - Accent1 5 2 3 6" xfId="12880" xr:uid="{00000000-0005-0000-0000-00005D090000}"/>
    <cellStyle name="20% - Accent1 5 2 3 6 2" xfId="35482" xr:uid="{00000000-0005-0000-0000-00005E090000}"/>
    <cellStyle name="20% - Accent1 5 2 3 7" xfId="24181" xr:uid="{00000000-0005-0000-0000-00005F090000}"/>
    <cellStyle name="20% - Accent1 5 2 4" xfId="941" xr:uid="{00000000-0005-0000-0000-000060090000}"/>
    <cellStyle name="20% - Accent1 5 2 4 2" xfId="3011" xr:uid="{00000000-0005-0000-0000-000061090000}"/>
    <cellStyle name="20% - Accent1 5 2 4 2 2" xfId="5983" xr:uid="{00000000-0005-0000-0000-000062090000}"/>
    <cellStyle name="20% - Accent1 5 2 4 2 2 2" xfId="11633" xr:uid="{00000000-0005-0000-0000-000063090000}"/>
    <cellStyle name="20% - Accent1 5 2 4 2 2 2 2" xfId="22934" xr:uid="{00000000-0005-0000-0000-000064090000}"/>
    <cellStyle name="20% - Accent1 5 2 4 2 2 2 2 2" xfId="45536" xr:uid="{00000000-0005-0000-0000-000065090000}"/>
    <cellStyle name="20% - Accent1 5 2 4 2 2 2 3" xfId="34235" xr:uid="{00000000-0005-0000-0000-000066090000}"/>
    <cellStyle name="20% - Accent1 5 2 4 2 2 3" xfId="17284" xr:uid="{00000000-0005-0000-0000-000067090000}"/>
    <cellStyle name="20% - Accent1 5 2 4 2 2 3 2" xfId="39886" xr:uid="{00000000-0005-0000-0000-000068090000}"/>
    <cellStyle name="20% - Accent1 5 2 4 2 2 4" xfId="28585" xr:uid="{00000000-0005-0000-0000-000069090000}"/>
    <cellStyle name="20% - Accent1 5 2 4 2 3" xfId="8801" xr:uid="{00000000-0005-0000-0000-00006A090000}"/>
    <cellStyle name="20% - Accent1 5 2 4 2 3 2" xfId="20102" xr:uid="{00000000-0005-0000-0000-00006B090000}"/>
    <cellStyle name="20% - Accent1 5 2 4 2 3 2 2" xfId="42704" xr:uid="{00000000-0005-0000-0000-00006C090000}"/>
    <cellStyle name="20% - Accent1 5 2 4 2 3 3" xfId="31403" xr:uid="{00000000-0005-0000-0000-00006D090000}"/>
    <cellStyle name="20% - Accent1 5 2 4 2 4" xfId="14452" xr:uid="{00000000-0005-0000-0000-00006E090000}"/>
    <cellStyle name="20% - Accent1 5 2 4 2 4 2" xfId="37054" xr:uid="{00000000-0005-0000-0000-00006F090000}"/>
    <cellStyle name="20% - Accent1 5 2 4 2 5" xfId="25753" xr:uid="{00000000-0005-0000-0000-000070090000}"/>
    <cellStyle name="20% - Accent1 5 2 4 3" xfId="4749" xr:uid="{00000000-0005-0000-0000-000071090000}"/>
    <cellStyle name="20% - Accent1 5 2 4 3 2" xfId="10399" xr:uid="{00000000-0005-0000-0000-000072090000}"/>
    <cellStyle name="20% - Accent1 5 2 4 3 2 2" xfId="21700" xr:uid="{00000000-0005-0000-0000-000073090000}"/>
    <cellStyle name="20% - Accent1 5 2 4 3 2 2 2" xfId="44302" xr:uid="{00000000-0005-0000-0000-000074090000}"/>
    <cellStyle name="20% - Accent1 5 2 4 3 2 3" xfId="33001" xr:uid="{00000000-0005-0000-0000-000075090000}"/>
    <cellStyle name="20% - Accent1 5 2 4 3 3" xfId="16050" xr:uid="{00000000-0005-0000-0000-000076090000}"/>
    <cellStyle name="20% - Accent1 5 2 4 3 3 2" xfId="38652" xr:uid="{00000000-0005-0000-0000-000077090000}"/>
    <cellStyle name="20% - Accent1 5 2 4 3 4" xfId="27351" xr:uid="{00000000-0005-0000-0000-000078090000}"/>
    <cellStyle name="20% - Accent1 5 2 4 4" xfId="6936" xr:uid="{00000000-0005-0000-0000-000079090000}"/>
    <cellStyle name="20% - Accent1 5 2 4 4 2" xfId="18237" xr:uid="{00000000-0005-0000-0000-00007A090000}"/>
    <cellStyle name="20% - Accent1 5 2 4 4 2 2" xfId="40839" xr:uid="{00000000-0005-0000-0000-00007B090000}"/>
    <cellStyle name="20% - Accent1 5 2 4 4 3" xfId="29538" xr:uid="{00000000-0005-0000-0000-00007C090000}"/>
    <cellStyle name="20% - Accent1 5 2 4 5" xfId="12587" xr:uid="{00000000-0005-0000-0000-00007D090000}"/>
    <cellStyle name="20% - Accent1 5 2 4 5 2" xfId="35189" xr:uid="{00000000-0005-0000-0000-00007E090000}"/>
    <cellStyle name="20% - Accent1 5 2 4 6" xfId="23888" xr:uid="{00000000-0005-0000-0000-00007F090000}"/>
    <cellStyle name="20% - Accent1 5 2 5" xfId="1571" xr:uid="{00000000-0005-0000-0000-000080090000}"/>
    <cellStyle name="20% - Accent1 5 2 5 2" xfId="3538" xr:uid="{00000000-0005-0000-0000-000081090000}"/>
    <cellStyle name="20% - Accent1 5 2 5 2 2" xfId="9288" xr:uid="{00000000-0005-0000-0000-000082090000}"/>
    <cellStyle name="20% - Accent1 5 2 5 2 2 2" xfId="20589" xr:uid="{00000000-0005-0000-0000-000083090000}"/>
    <cellStyle name="20% - Accent1 5 2 5 2 2 2 2" xfId="43191" xr:uid="{00000000-0005-0000-0000-000084090000}"/>
    <cellStyle name="20% - Accent1 5 2 5 2 2 3" xfId="31890" xr:uid="{00000000-0005-0000-0000-000085090000}"/>
    <cellStyle name="20% - Accent1 5 2 5 2 3" xfId="14939" xr:uid="{00000000-0005-0000-0000-000086090000}"/>
    <cellStyle name="20% - Accent1 5 2 5 2 3 2" xfId="37541" xr:uid="{00000000-0005-0000-0000-000087090000}"/>
    <cellStyle name="20% - Accent1 5 2 5 2 4" xfId="26240" xr:uid="{00000000-0005-0000-0000-000088090000}"/>
    <cellStyle name="20% - Accent1 5 2 5 3" xfId="5359" xr:uid="{00000000-0005-0000-0000-000089090000}"/>
    <cellStyle name="20% - Accent1 5 2 5 3 2" xfId="11009" xr:uid="{00000000-0005-0000-0000-00008A090000}"/>
    <cellStyle name="20% - Accent1 5 2 5 3 2 2" xfId="22310" xr:uid="{00000000-0005-0000-0000-00008B090000}"/>
    <cellStyle name="20% - Accent1 5 2 5 3 2 2 2" xfId="44912" xr:uid="{00000000-0005-0000-0000-00008C090000}"/>
    <cellStyle name="20% - Accent1 5 2 5 3 2 3" xfId="33611" xr:uid="{00000000-0005-0000-0000-00008D090000}"/>
    <cellStyle name="20% - Accent1 5 2 5 3 3" xfId="16660" xr:uid="{00000000-0005-0000-0000-00008E090000}"/>
    <cellStyle name="20% - Accent1 5 2 5 3 3 2" xfId="39262" xr:uid="{00000000-0005-0000-0000-00008F090000}"/>
    <cellStyle name="20% - Accent1 5 2 5 3 4" xfId="27961" xr:uid="{00000000-0005-0000-0000-000090090000}"/>
    <cellStyle name="20% - Accent1 5 2 5 4" xfId="7427" xr:uid="{00000000-0005-0000-0000-000091090000}"/>
    <cellStyle name="20% - Accent1 5 2 5 4 2" xfId="18728" xr:uid="{00000000-0005-0000-0000-000092090000}"/>
    <cellStyle name="20% - Accent1 5 2 5 4 2 2" xfId="41330" xr:uid="{00000000-0005-0000-0000-000093090000}"/>
    <cellStyle name="20% - Accent1 5 2 5 4 3" xfId="30029" xr:uid="{00000000-0005-0000-0000-000094090000}"/>
    <cellStyle name="20% - Accent1 5 2 5 5" xfId="13078" xr:uid="{00000000-0005-0000-0000-000095090000}"/>
    <cellStyle name="20% - Accent1 5 2 5 5 2" xfId="35680" xr:uid="{00000000-0005-0000-0000-000096090000}"/>
    <cellStyle name="20% - Accent1 5 2 5 6" xfId="24379" xr:uid="{00000000-0005-0000-0000-000097090000}"/>
    <cellStyle name="20% - Accent1 5 2 6" xfId="2338" xr:uid="{00000000-0005-0000-0000-000098090000}"/>
    <cellStyle name="20% - Accent1 5 2 6 2" xfId="8174" xr:uid="{00000000-0005-0000-0000-000099090000}"/>
    <cellStyle name="20% - Accent1 5 2 6 2 2" xfId="19475" xr:uid="{00000000-0005-0000-0000-00009A090000}"/>
    <cellStyle name="20% - Accent1 5 2 6 2 2 2" xfId="42077" xr:uid="{00000000-0005-0000-0000-00009B090000}"/>
    <cellStyle name="20% - Accent1 5 2 6 2 3" xfId="30776" xr:uid="{00000000-0005-0000-0000-00009C090000}"/>
    <cellStyle name="20% - Accent1 5 2 6 3" xfId="13825" xr:uid="{00000000-0005-0000-0000-00009D090000}"/>
    <cellStyle name="20% - Accent1 5 2 6 3 2" xfId="36427" xr:uid="{00000000-0005-0000-0000-00009E090000}"/>
    <cellStyle name="20% - Accent1 5 2 6 4" xfId="25126" xr:uid="{00000000-0005-0000-0000-00009F090000}"/>
    <cellStyle name="20% - Accent1 5 2 7" xfId="4125" xr:uid="{00000000-0005-0000-0000-0000A0090000}"/>
    <cellStyle name="20% - Accent1 5 2 7 2" xfId="9775" xr:uid="{00000000-0005-0000-0000-0000A1090000}"/>
    <cellStyle name="20% - Accent1 5 2 7 2 2" xfId="21076" xr:uid="{00000000-0005-0000-0000-0000A2090000}"/>
    <cellStyle name="20% - Accent1 5 2 7 2 2 2" xfId="43678" xr:uid="{00000000-0005-0000-0000-0000A3090000}"/>
    <cellStyle name="20% - Accent1 5 2 7 2 3" xfId="32377" xr:uid="{00000000-0005-0000-0000-0000A4090000}"/>
    <cellStyle name="20% - Accent1 5 2 7 3" xfId="15426" xr:uid="{00000000-0005-0000-0000-0000A5090000}"/>
    <cellStyle name="20% - Accent1 5 2 7 3 2" xfId="38028" xr:uid="{00000000-0005-0000-0000-0000A6090000}"/>
    <cellStyle name="20% - Accent1 5 2 7 4" xfId="26727" xr:uid="{00000000-0005-0000-0000-0000A7090000}"/>
    <cellStyle name="20% - Accent1 5 2 8" xfId="6576" xr:uid="{00000000-0005-0000-0000-0000A8090000}"/>
    <cellStyle name="20% - Accent1 5 2 8 2" xfId="17877" xr:uid="{00000000-0005-0000-0000-0000A9090000}"/>
    <cellStyle name="20% - Accent1 5 2 8 2 2" xfId="40479" xr:uid="{00000000-0005-0000-0000-0000AA090000}"/>
    <cellStyle name="20% - Accent1 5 2 8 3" xfId="29178" xr:uid="{00000000-0005-0000-0000-0000AB090000}"/>
    <cellStyle name="20% - Accent1 5 2 9" xfId="12227" xr:uid="{00000000-0005-0000-0000-0000AC090000}"/>
    <cellStyle name="20% - Accent1 5 2 9 2" xfId="34829" xr:uid="{00000000-0005-0000-0000-0000AD090000}"/>
    <cellStyle name="20% - Accent1 5 3" xfId="581" xr:uid="{00000000-0005-0000-0000-0000AE090000}"/>
    <cellStyle name="20% - Accent1 5 3 2" xfId="1294" xr:uid="{00000000-0005-0000-0000-0000AF090000}"/>
    <cellStyle name="20% - Accent1 5 3 2 2" xfId="1576" xr:uid="{00000000-0005-0000-0000-0000B0090000}"/>
    <cellStyle name="20% - Accent1 5 3 2 2 2" xfId="3363" xr:uid="{00000000-0005-0000-0000-0000B1090000}"/>
    <cellStyle name="20% - Accent1 5 3 2 2 2 2" xfId="6335" xr:uid="{00000000-0005-0000-0000-0000B2090000}"/>
    <cellStyle name="20% - Accent1 5 3 2 2 2 2 2" xfId="11985" xr:uid="{00000000-0005-0000-0000-0000B3090000}"/>
    <cellStyle name="20% - Accent1 5 3 2 2 2 2 2 2" xfId="23286" xr:uid="{00000000-0005-0000-0000-0000B4090000}"/>
    <cellStyle name="20% - Accent1 5 3 2 2 2 2 2 2 2" xfId="45888" xr:uid="{00000000-0005-0000-0000-0000B5090000}"/>
    <cellStyle name="20% - Accent1 5 3 2 2 2 2 2 3" xfId="34587" xr:uid="{00000000-0005-0000-0000-0000B6090000}"/>
    <cellStyle name="20% - Accent1 5 3 2 2 2 2 3" xfId="17636" xr:uid="{00000000-0005-0000-0000-0000B7090000}"/>
    <cellStyle name="20% - Accent1 5 3 2 2 2 2 3 2" xfId="40238" xr:uid="{00000000-0005-0000-0000-0000B8090000}"/>
    <cellStyle name="20% - Accent1 5 3 2 2 2 2 4" xfId="28937" xr:uid="{00000000-0005-0000-0000-0000B9090000}"/>
    <cellStyle name="20% - Accent1 5 3 2 2 2 3" xfId="9153" xr:uid="{00000000-0005-0000-0000-0000BA090000}"/>
    <cellStyle name="20% - Accent1 5 3 2 2 2 3 2" xfId="20454" xr:uid="{00000000-0005-0000-0000-0000BB090000}"/>
    <cellStyle name="20% - Accent1 5 3 2 2 2 3 2 2" xfId="43056" xr:uid="{00000000-0005-0000-0000-0000BC090000}"/>
    <cellStyle name="20% - Accent1 5 3 2 2 2 3 3" xfId="31755" xr:uid="{00000000-0005-0000-0000-0000BD090000}"/>
    <cellStyle name="20% - Accent1 5 3 2 2 2 4" xfId="14804" xr:uid="{00000000-0005-0000-0000-0000BE090000}"/>
    <cellStyle name="20% - Accent1 5 3 2 2 2 4 2" xfId="37406" xr:uid="{00000000-0005-0000-0000-0000BF090000}"/>
    <cellStyle name="20% - Accent1 5 3 2 2 2 5" xfId="26105" xr:uid="{00000000-0005-0000-0000-0000C0090000}"/>
    <cellStyle name="20% - Accent1 5 3 2 2 3" xfId="5101" xr:uid="{00000000-0005-0000-0000-0000C1090000}"/>
    <cellStyle name="20% - Accent1 5 3 2 2 3 2" xfId="10751" xr:uid="{00000000-0005-0000-0000-0000C2090000}"/>
    <cellStyle name="20% - Accent1 5 3 2 2 3 2 2" xfId="22052" xr:uid="{00000000-0005-0000-0000-0000C3090000}"/>
    <cellStyle name="20% - Accent1 5 3 2 2 3 2 2 2" xfId="44654" xr:uid="{00000000-0005-0000-0000-0000C4090000}"/>
    <cellStyle name="20% - Accent1 5 3 2 2 3 2 3" xfId="33353" xr:uid="{00000000-0005-0000-0000-0000C5090000}"/>
    <cellStyle name="20% - Accent1 5 3 2 2 3 3" xfId="16402" xr:uid="{00000000-0005-0000-0000-0000C6090000}"/>
    <cellStyle name="20% - Accent1 5 3 2 2 3 3 2" xfId="39004" xr:uid="{00000000-0005-0000-0000-0000C7090000}"/>
    <cellStyle name="20% - Accent1 5 3 2 2 3 4" xfId="27703" xr:uid="{00000000-0005-0000-0000-0000C8090000}"/>
    <cellStyle name="20% - Accent1 5 3 2 2 4" xfId="7432" xr:uid="{00000000-0005-0000-0000-0000C9090000}"/>
    <cellStyle name="20% - Accent1 5 3 2 2 4 2" xfId="18733" xr:uid="{00000000-0005-0000-0000-0000CA090000}"/>
    <cellStyle name="20% - Accent1 5 3 2 2 4 2 2" xfId="41335" xr:uid="{00000000-0005-0000-0000-0000CB090000}"/>
    <cellStyle name="20% - Accent1 5 3 2 2 4 3" xfId="30034" xr:uid="{00000000-0005-0000-0000-0000CC090000}"/>
    <cellStyle name="20% - Accent1 5 3 2 2 5" xfId="13083" xr:uid="{00000000-0005-0000-0000-0000CD090000}"/>
    <cellStyle name="20% - Accent1 5 3 2 2 5 2" xfId="35685" xr:uid="{00000000-0005-0000-0000-0000CE090000}"/>
    <cellStyle name="20% - Accent1 5 3 2 2 6" xfId="24384" xr:uid="{00000000-0005-0000-0000-0000CF090000}"/>
    <cellStyle name="20% - Accent1 5 3 2 3" xfId="2692" xr:uid="{00000000-0005-0000-0000-0000D0090000}"/>
    <cellStyle name="20% - Accent1 5 3 2 3 2" xfId="5711" xr:uid="{00000000-0005-0000-0000-0000D1090000}"/>
    <cellStyle name="20% - Accent1 5 3 2 3 2 2" xfId="11361" xr:uid="{00000000-0005-0000-0000-0000D2090000}"/>
    <cellStyle name="20% - Accent1 5 3 2 3 2 2 2" xfId="22662" xr:uid="{00000000-0005-0000-0000-0000D3090000}"/>
    <cellStyle name="20% - Accent1 5 3 2 3 2 2 2 2" xfId="45264" xr:uid="{00000000-0005-0000-0000-0000D4090000}"/>
    <cellStyle name="20% - Accent1 5 3 2 3 2 2 3" xfId="33963" xr:uid="{00000000-0005-0000-0000-0000D5090000}"/>
    <cellStyle name="20% - Accent1 5 3 2 3 2 3" xfId="17012" xr:uid="{00000000-0005-0000-0000-0000D6090000}"/>
    <cellStyle name="20% - Accent1 5 3 2 3 2 3 2" xfId="39614" xr:uid="{00000000-0005-0000-0000-0000D7090000}"/>
    <cellStyle name="20% - Accent1 5 3 2 3 2 4" xfId="28313" xr:uid="{00000000-0005-0000-0000-0000D8090000}"/>
    <cellStyle name="20% - Accent1 5 3 2 3 3" xfId="8528" xr:uid="{00000000-0005-0000-0000-0000D9090000}"/>
    <cellStyle name="20% - Accent1 5 3 2 3 3 2" xfId="19829" xr:uid="{00000000-0005-0000-0000-0000DA090000}"/>
    <cellStyle name="20% - Accent1 5 3 2 3 3 2 2" xfId="42431" xr:uid="{00000000-0005-0000-0000-0000DB090000}"/>
    <cellStyle name="20% - Accent1 5 3 2 3 3 3" xfId="31130" xr:uid="{00000000-0005-0000-0000-0000DC090000}"/>
    <cellStyle name="20% - Accent1 5 3 2 3 4" xfId="14179" xr:uid="{00000000-0005-0000-0000-0000DD090000}"/>
    <cellStyle name="20% - Accent1 5 3 2 3 4 2" xfId="36781" xr:uid="{00000000-0005-0000-0000-0000DE090000}"/>
    <cellStyle name="20% - Accent1 5 3 2 3 5" xfId="25480" xr:uid="{00000000-0005-0000-0000-0000DF090000}"/>
    <cellStyle name="20% - Accent1 5 3 2 4" xfId="4477" xr:uid="{00000000-0005-0000-0000-0000E0090000}"/>
    <cellStyle name="20% - Accent1 5 3 2 4 2" xfId="10127" xr:uid="{00000000-0005-0000-0000-0000E1090000}"/>
    <cellStyle name="20% - Accent1 5 3 2 4 2 2" xfId="21428" xr:uid="{00000000-0005-0000-0000-0000E2090000}"/>
    <cellStyle name="20% - Accent1 5 3 2 4 2 2 2" xfId="44030" xr:uid="{00000000-0005-0000-0000-0000E3090000}"/>
    <cellStyle name="20% - Accent1 5 3 2 4 2 3" xfId="32729" xr:uid="{00000000-0005-0000-0000-0000E4090000}"/>
    <cellStyle name="20% - Accent1 5 3 2 4 3" xfId="15778" xr:uid="{00000000-0005-0000-0000-0000E5090000}"/>
    <cellStyle name="20% - Accent1 5 3 2 4 3 2" xfId="38380" xr:uid="{00000000-0005-0000-0000-0000E6090000}"/>
    <cellStyle name="20% - Accent1 5 3 2 4 4" xfId="27079" xr:uid="{00000000-0005-0000-0000-0000E7090000}"/>
    <cellStyle name="20% - Accent1 5 3 2 5" xfId="7273" xr:uid="{00000000-0005-0000-0000-0000E8090000}"/>
    <cellStyle name="20% - Accent1 5 3 2 5 2" xfId="18574" xr:uid="{00000000-0005-0000-0000-0000E9090000}"/>
    <cellStyle name="20% - Accent1 5 3 2 5 2 2" xfId="41176" xr:uid="{00000000-0005-0000-0000-0000EA090000}"/>
    <cellStyle name="20% - Accent1 5 3 2 5 3" xfId="29875" xr:uid="{00000000-0005-0000-0000-0000EB090000}"/>
    <cellStyle name="20% - Accent1 5 3 2 6" xfId="12924" xr:uid="{00000000-0005-0000-0000-0000EC090000}"/>
    <cellStyle name="20% - Accent1 5 3 2 6 2" xfId="35526" xr:uid="{00000000-0005-0000-0000-0000ED090000}"/>
    <cellStyle name="20% - Accent1 5 3 2 7" xfId="24225" xr:uid="{00000000-0005-0000-0000-0000EE090000}"/>
    <cellStyle name="20% - Accent1 5 3 3" xfId="992" xr:uid="{00000000-0005-0000-0000-0000EF090000}"/>
    <cellStyle name="20% - Accent1 5 3 3 2" xfId="3055" xr:uid="{00000000-0005-0000-0000-0000F0090000}"/>
    <cellStyle name="20% - Accent1 5 3 3 2 2" xfId="6027" xr:uid="{00000000-0005-0000-0000-0000F1090000}"/>
    <cellStyle name="20% - Accent1 5 3 3 2 2 2" xfId="11677" xr:uid="{00000000-0005-0000-0000-0000F2090000}"/>
    <cellStyle name="20% - Accent1 5 3 3 2 2 2 2" xfId="22978" xr:uid="{00000000-0005-0000-0000-0000F3090000}"/>
    <cellStyle name="20% - Accent1 5 3 3 2 2 2 2 2" xfId="45580" xr:uid="{00000000-0005-0000-0000-0000F4090000}"/>
    <cellStyle name="20% - Accent1 5 3 3 2 2 2 3" xfId="34279" xr:uid="{00000000-0005-0000-0000-0000F5090000}"/>
    <cellStyle name="20% - Accent1 5 3 3 2 2 3" xfId="17328" xr:uid="{00000000-0005-0000-0000-0000F6090000}"/>
    <cellStyle name="20% - Accent1 5 3 3 2 2 3 2" xfId="39930" xr:uid="{00000000-0005-0000-0000-0000F7090000}"/>
    <cellStyle name="20% - Accent1 5 3 3 2 2 4" xfId="28629" xr:uid="{00000000-0005-0000-0000-0000F8090000}"/>
    <cellStyle name="20% - Accent1 5 3 3 2 3" xfId="8845" xr:uid="{00000000-0005-0000-0000-0000F9090000}"/>
    <cellStyle name="20% - Accent1 5 3 3 2 3 2" xfId="20146" xr:uid="{00000000-0005-0000-0000-0000FA090000}"/>
    <cellStyle name="20% - Accent1 5 3 3 2 3 2 2" xfId="42748" xr:uid="{00000000-0005-0000-0000-0000FB090000}"/>
    <cellStyle name="20% - Accent1 5 3 3 2 3 3" xfId="31447" xr:uid="{00000000-0005-0000-0000-0000FC090000}"/>
    <cellStyle name="20% - Accent1 5 3 3 2 4" xfId="14496" xr:uid="{00000000-0005-0000-0000-0000FD090000}"/>
    <cellStyle name="20% - Accent1 5 3 3 2 4 2" xfId="37098" xr:uid="{00000000-0005-0000-0000-0000FE090000}"/>
    <cellStyle name="20% - Accent1 5 3 3 2 5" xfId="25797" xr:uid="{00000000-0005-0000-0000-0000FF090000}"/>
    <cellStyle name="20% - Accent1 5 3 3 3" xfId="4793" xr:uid="{00000000-0005-0000-0000-0000000A0000}"/>
    <cellStyle name="20% - Accent1 5 3 3 3 2" xfId="10443" xr:uid="{00000000-0005-0000-0000-0000010A0000}"/>
    <cellStyle name="20% - Accent1 5 3 3 3 2 2" xfId="21744" xr:uid="{00000000-0005-0000-0000-0000020A0000}"/>
    <cellStyle name="20% - Accent1 5 3 3 3 2 2 2" xfId="44346" xr:uid="{00000000-0005-0000-0000-0000030A0000}"/>
    <cellStyle name="20% - Accent1 5 3 3 3 2 3" xfId="33045" xr:uid="{00000000-0005-0000-0000-0000040A0000}"/>
    <cellStyle name="20% - Accent1 5 3 3 3 3" xfId="16094" xr:uid="{00000000-0005-0000-0000-0000050A0000}"/>
    <cellStyle name="20% - Accent1 5 3 3 3 3 2" xfId="38696" xr:uid="{00000000-0005-0000-0000-0000060A0000}"/>
    <cellStyle name="20% - Accent1 5 3 3 3 4" xfId="27395" xr:uid="{00000000-0005-0000-0000-0000070A0000}"/>
    <cellStyle name="20% - Accent1 5 3 3 4" xfId="6980" xr:uid="{00000000-0005-0000-0000-0000080A0000}"/>
    <cellStyle name="20% - Accent1 5 3 3 4 2" xfId="18281" xr:uid="{00000000-0005-0000-0000-0000090A0000}"/>
    <cellStyle name="20% - Accent1 5 3 3 4 2 2" xfId="40883" xr:uid="{00000000-0005-0000-0000-00000A0A0000}"/>
    <cellStyle name="20% - Accent1 5 3 3 4 3" xfId="29582" xr:uid="{00000000-0005-0000-0000-00000B0A0000}"/>
    <cellStyle name="20% - Accent1 5 3 3 5" xfId="12631" xr:uid="{00000000-0005-0000-0000-00000C0A0000}"/>
    <cellStyle name="20% - Accent1 5 3 3 5 2" xfId="35233" xr:uid="{00000000-0005-0000-0000-00000D0A0000}"/>
    <cellStyle name="20% - Accent1 5 3 3 6" xfId="23932" xr:uid="{00000000-0005-0000-0000-00000E0A0000}"/>
    <cellStyle name="20% - Accent1 5 3 4" xfId="1575" xr:uid="{00000000-0005-0000-0000-00000F0A0000}"/>
    <cellStyle name="20% - Accent1 5 3 4 2" xfId="3490" xr:uid="{00000000-0005-0000-0000-0000100A0000}"/>
    <cellStyle name="20% - Accent1 5 3 4 2 2" xfId="9272" xr:uid="{00000000-0005-0000-0000-0000110A0000}"/>
    <cellStyle name="20% - Accent1 5 3 4 2 2 2" xfId="20573" xr:uid="{00000000-0005-0000-0000-0000120A0000}"/>
    <cellStyle name="20% - Accent1 5 3 4 2 2 2 2" xfId="43175" xr:uid="{00000000-0005-0000-0000-0000130A0000}"/>
    <cellStyle name="20% - Accent1 5 3 4 2 2 3" xfId="31874" xr:uid="{00000000-0005-0000-0000-0000140A0000}"/>
    <cellStyle name="20% - Accent1 5 3 4 2 3" xfId="14923" xr:uid="{00000000-0005-0000-0000-0000150A0000}"/>
    <cellStyle name="20% - Accent1 5 3 4 2 3 2" xfId="37525" xr:uid="{00000000-0005-0000-0000-0000160A0000}"/>
    <cellStyle name="20% - Accent1 5 3 4 2 4" xfId="26224" xr:uid="{00000000-0005-0000-0000-0000170A0000}"/>
    <cellStyle name="20% - Accent1 5 3 4 3" xfId="5403" xr:uid="{00000000-0005-0000-0000-0000180A0000}"/>
    <cellStyle name="20% - Accent1 5 3 4 3 2" xfId="11053" xr:uid="{00000000-0005-0000-0000-0000190A0000}"/>
    <cellStyle name="20% - Accent1 5 3 4 3 2 2" xfId="22354" xr:uid="{00000000-0005-0000-0000-00001A0A0000}"/>
    <cellStyle name="20% - Accent1 5 3 4 3 2 2 2" xfId="44956" xr:uid="{00000000-0005-0000-0000-00001B0A0000}"/>
    <cellStyle name="20% - Accent1 5 3 4 3 2 3" xfId="33655" xr:uid="{00000000-0005-0000-0000-00001C0A0000}"/>
    <cellStyle name="20% - Accent1 5 3 4 3 3" xfId="16704" xr:uid="{00000000-0005-0000-0000-00001D0A0000}"/>
    <cellStyle name="20% - Accent1 5 3 4 3 3 2" xfId="39306" xr:uid="{00000000-0005-0000-0000-00001E0A0000}"/>
    <cellStyle name="20% - Accent1 5 3 4 3 4" xfId="28005" xr:uid="{00000000-0005-0000-0000-00001F0A0000}"/>
    <cellStyle name="20% - Accent1 5 3 4 4" xfId="7431" xr:uid="{00000000-0005-0000-0000-0000200A0000}"/>
    <cellStyle name="20% - Accent1 5 3 4 4 2" xfId="18732" xr:uid="{00000000-0005-0000-0000-0000210A0000}"/>
    <cellStyle name="20% - Accent1 5 3 4 4 2 2" xfId="41334" xr:uid="{00000000-0005-0000-0000-0000220A0000}"/>
    <cellStyle name="20% - Accent1 5 3 4 4 3" xfId="30033" xr:uid="{00000000-0005-0000-0000-0000230A0000}"/>
    <cellStyle name="20% - Accent1 5 3 4 5" xfId="13082" xr:uid="{00000000-0005-0000-0000-0000240A0000}"/>
    <cellStyle name="20% - Accent1 5 3 4 5 2" xfId="35684" xr:uid="{00000000-0005-0000-0000-0000250A0000}"/>
    <cellStyle name="20% - Accent1 5 3 4 6" xfId="24383" xr:uid="{00000000-0005-0000-0000-0000260A0000}"/>
    <cellStyle name="20% - Accent1 5 3 5" xfId="2384" xr:uid="{00000000-0005-0000-0000-0000270A0000}"/>
    <cellStyle name="20% - Accent1 5 3 5 2" xfId="8220" xr:uid="{00000000-0005-0000-0000-0000280A0000}"/>
    <cellStyle name="20% - Accent1 5 3 5 2 2" xfId="19521" xr:uid="{00000000-0005-0000-0000-0000290A0000}"/>
    <cellStyle name="20% - Accent1 5 3 5 2 2 2" xfId="42123" xr:uid="{00000000-0005-0000-0000-00002A0A0000}"/>
    <cellStyle name="20% - Accent1 5 3 5 2 3" xfId="30822" xr:uid="{00000000-0005-0000-0000-00002B0A0000}"/>
    <cellStyle name="20% - Accent1 5 3 5 3" xfId="13871" xr:uid="{00000000-0005-0000-0000-00002C0A0000}"/>
    <cellStyle name="20% - Accent1 5 3 5 3 2" xfId="36473" xr:uid="{00000000-0005-0000-0000-00002D0A0000}"/>
    <cellStyle name="20% - Accent1 5 3 5 4" xfId="25172" xr:uid="{00000000-0005-0000-0000-00002E0A0000}"/>
    <cellStyle name="20% - Accent1 5 3 6" xfId="4169" xr:uid="{00000000-0005-0000-0000-00002F0A0000}"/>
    <cellStyle name="20% - Accent1 5 3 6 2" xfId="9819" xr:uid="{00000000-0005-0000-0000-0000300A0000}"/>
    <cellStyle name="20% - Accent1 5 3 6 2 2" xfId="21120" xr:uid="{00000000-0005-0000-0000-0000310A0000}"/>
    <cellStyle name="20% - Accent1 5 3 6 2 2 2" xfId="43722" xr:uid="{00000000-0005-0000-0000-0000320A0000}"/>
    <cellStyle name="20% - Accent1 5 3 6 2 3" xfId="32421" xr:uid="{00000000-0005-0000-0000-0000330A0000}"/>
    <cellStyle name="20% - Accent1 5 3 6 3" xfId="15470" xr:uid="{00000000-0005-0000-0000-0000340A0000}"/>
    <cellStyle name="20% - Accent1 5 3 6 3 2" xfId="38072" xr:uid="{00000000-0005-0000-0000-0000350A0000}"/>
    <cellStyle name="20% - Accent1 5 3 6 4" xfId="26771" xr:uid="{00000000-0005-0000-0000-0000360A0000}"/>
    <cellStyle name="20% - Accent1 5 3 7" xfId="6647" xr:uid="{00000000-0005-0000-0000-0000370A0000}"/>
    <cellStyle name="20% - Accent1 5 3 7 2" xfId="17948" xr:uid="{00000000-0005-0000-0000-0000380A0000}"/>
    <cellStyle name="20% - Accent1 5 3 7 2 2" xfId="40550" xr:uid="{00000000-0005-0000-0000-0000390A0000}"/>
    <cellStyle name="20% - Accent1 5 3 7 3" xfId="29249" xr:uid="{00000000-0005-0000-0000-00003A0A0000}"/>
    <cellStyle name="20% - Accent1 5 3 8" xfId="12298" xr:uid="{00000000-0005-0000-0000-00003B0A0000}"/>
    <cellStyle name="20% - Accent1 5 3 8 2" xfId="34900" xr:uid="{00000000-0005-0000-0000-00003C0A0000}"/>
    <cellStyle name="20% - Accent1 5 3 9" xfId="23599" xr:uid="{00000000-0005-0000-0000-00003D0A0000}"/>
    <cellStyle name="20% - Accent1 5 4" xfId="1154" xr:uid="{00000000-0005-0000-0000-00003E0A0000}"/>
    <cellStyle name="20% - Accent1 5 4 2" xfId="1577" xr:uid="{00000000-0005-0000-0000-00003F0A0000}"/>
    <cellStyle name="20% - Accent1 5 4 2 2" xfId="3222" xr:uid="{00000000-0005-0000-0000-0000400A0000}"/>
    <cellStyle name="20% - Accent1 5 4 2 2 2" xfId="6194" xr:uid="{00000000-0005-0000-0000-0000410A0000}"/>
    <cellStyle name="20% - Accent1 5 4 2 2 2 2" xfId="11844" xr:uid="{00000000-0005-0000-0000-0000420A0000}"/>
    <cellStyle name="20% - Accent1 5 4 2 2 2 2 2" xfId="23145" xr:uid="{00000000-0005-0000-0000-0000430A0000}"/>
    <cellStyle name="20% - Accent1 5 4 2 2 2 2 2 2" xfId="45747" xr:uid="{00000000-0005-0000-0000-0000440A0000}"/>
    <cellStyle name="20% - Accent1 5 4 2 2 2 2 3" xfId="34446" xr:uid="{00000000-0005-0000-0000-0000450A0000}"/>
    <cellStyle name="20% - Accent1 5 4 2 2 2 3" xfId="17495" xr:uid="{00000000-0005-0000-0000-0000460A0000}"/>
    <cellStyle name="20% - Accent1 5 4 2 2 2 3 2" xfId="40097" xr:uid="{00000000-0005-0000-0000-0000470A0000}"/>
    <cellStyle name="20% - Accent1 5 4 2 2 2 4" xfId="28796" xr:uid="{00000000-0005-0000-0000-0000480A0000}"/>
    <cellStyle name="20% - Accent1 5 4 2 2 3" xfId="9012" xr:uid="{00000000-0005-0000-0000-0000490A0000}"/>
    <cellStyle name="20% - Accent1 5 4 2 2 3 2" xfId="20313" xr:uid="{00000000-0005-0000-0000-00004A0A0000}"/>
    <cellStyle name="20% - Accent1 5 4 2 2 3 2 2" xfId="42915" xr:uid="{00000000-0005-0000-0000-00004B0A0000}"/>
    <cellStyle name="20% - Accent1 5 4 2 2 3 3" xfId="31614" xr:uid="{00000000-0005-0000-0000-00004C0A0000}"/>
    <cellStyle name="20% - Accent1 5 4 2 2 4" xfId="14663" xr:uid="{00000000-0005-0000-0000-00004D0A0000}"/>
    <cellStyle name="20% - Accent1 5 4 2 2 4 2" xfId="37265" xr:uid="{00000000-0005-0000-0000-00004E0A0000}"/>
    <cellStyle name="20% - Accent1 5 4 2 2 5" xfId="25964" xr:uid="{00000000-0005-0000-0000-00004F0A0000}"/>
    <cellStyle name="20% - Accent1 5 4 2 3" xfId="4960" xr:uid="{00000000-0005-0000-0000-0000500A0000}"/>
    <cellStyle name="20% - Accent1 5 4 2 3 2" xfId="10610" xr:uid="{00000000-0005-0000-0000-0000510A0000}"/>
    <cellStyle name="20% - Accent1 5 4 2 3 2 2" xfId="21911" xr:uid="{00000000-0005-0000-0000-0000520A0000}"/>
    <cellStyle name="20% - Accent1 5 4 2 3 2 2 2" xfId="44513" xr:uid="{00000000-0005-0000-0000-0000530A0000}"/>
    <cellStyle name="20% - Accent1 5 4 2 3 2 3" xfId="33212" xr:uid="{00000000-0005-0000-0000-0000540A0000}"/>
    <cellStyle name="20% - Accent1 5 4 2 3 3" xfId="16261" xr:uid="{00000000-0005-0000-0000-0000550A0000}"/>
    <cellStyle name="20% - Accent1 5 4 2 3 3 2" xfId="38863" xr:uid="{00000000-0005-0000-0000-0000560A0000}"/>
    <cellStyle name="20% - Accent1 5 4 2 3 4" xfId="27562" xr:uid="{00000000-0005-0000-0000-0000570A0000}"/>
    <cellStyle name="20% - Accent1 5 4 2 4" xfId="7433" xr:uid="{00000000-0005-0000-0000-0000580A0000}"/>
    <cellStyle name="20% - Accent1 5 4 2 4 2" xfId="18734" xr:uid="{00000000-0005-0000-0000-0000590A0000}"/>
    <cellStyle name="20% - Accent1 5 4 2 4 2 2" xfId="41336" xr:uid="{00000000-0005-0000-0000-00005A0A0000}"/>
    <cellStyle name="20% - Accent1 5 4 2 4 3" xfId="30035" xr:uid="{00000000-0005-0000-0000-00005B0A0000}"/>
    <cellStyle name="20% - Accent1 5 4 2 5" xfId="13084" xr:uid="{00000000-0005-0000-0000-00005C0A0000}"/>
    <cellStyle name="20% - Accent1 5 4 2 5 2" xfId="35686" xr:uid="{00000000-0005-0000-0000-00005D0A0000}"/>
    <cellStyle name="20% - Accent1 5 4 2 6" xfId="24385" xr:uid="{00000000-0005-0000-0000-00005E0A0000}"/>
    <cellStyle name="20% - Accent1 5 4 3" xfId="2551" xr:uid="{00000000-0005-0000-0000-00005F0A0000}"/>
    <cellStyle name="20% - Accent1 5 4 3 2" xfId="5570" xr:uid="{00000000-0005-0000-0000-0000600A0000}"/>
    <cellStyle name="20% - Accent1 5 4 3 2 2" xfId="11220" xr:uid="{00000000-0005-0000-0000-0000610A0000}"/>
    <cellStyle name="20% - Accent1 5 4 3 2 2 2" xfId="22521" xr:uid="{00000000-0005-0000-0000-0000620A0000}"/>
    <cellStyle name="20% - Accent1 5 4 3 2 2 2 2" xfId="45123" xr:uid="{00000000-0005-0000-0000-0000630A0000}"/>
    <cellStyle name="20% - Accent1 5 4 3 2 2 3" xfId="33822" xr:uid="{00000000-0005-0000-0000-0000640A0000}"/>
    <cellStyle name="20% - Accent1 5 4 3 2 3" xfId="16871" xr:uid="{00000000-0005-0000-0000-0000650A0000}"/>
    <cellStyle name="20% - Accent1 5 4 3 2 3 2" xfId="39473" xr:uid="{00000000-0005-0000-0000-0000660A0000}"/>
    <cellStyle name="20% - Accent1 5 4 3 2 4" xfId="28172" xr:uid="{00000000-0005-0000-0000-0000670A0000}"/>
    <cellStyle name="20% - Accent1 5 4 3 3" xfId="8387" xr:uid="{00000000-0005-0000-0000-0000680A0000}"/>
    <cellStyle name="20% - Accent1 5 4 3 3 2" xfId="19688" xr:uid="{00000000-0005-0000-0000-0000690A0000}"/>
    <cellStyle name="20% - Accent1 5 4 3 3 2 2" xfId="42290" xr:uid="{00000000-0005-0000-0000-00006A0A0000}"/>
    <cellStyle name="20% - Accent1 5 4 3 3 3" xfId="30989" xr:uid="{00000000-0005-0000-0000-00006B0A0000}"/>
    <cellStyle name="20% - Accent1 5 4 3 4" xfId="14038" xr:uid="{00000000-0005-0000-0000-00006C0A0000}"/>
    <cellStyle name="20% - Accent1 5 4 3 4 2" xfId="36640" xr:uid="{00000000-0005-0000-0000-00006D0A0000}"/>
    <cellStyle name="20% - Accent1 5 4 3 5" xfId="25339" xr:uid="{00000000-0005-0000-0000-00006E0A0000}"/>
    <cellStyle name="20% - Accent1 5 4 4" xfId="4336" xr:uid="{00000000-0005-0000-0000-00006F0A0000}"/>
    <cellStyle name="20% - Accent1 5 4 4 2" xfId="9986" xr:uid="{00000000-0005-0000-0000-0000700A0000}"/>
    <cellStyle name="20% - Accent1 5 4 4 2 2" xfId="21287" xr:uid="{00000000-0005-0000-0000-0000710A0000}"/>
    <cellStyle name="20% - Accent1 5 4 4 2 2 2" xfId="43889" xr:uid="{00000000-0005-0000-0000-0000720A0000}"/>
    <cellStyle name="20% - Accent1 5 4 4 2 3" xfId="32588" xr:uid="{00000000-0005-0000-0000-0000730A0000}"/>
    <cellStyle name="20% - Accent1 5 4 4 3" xfId="15637" xr:uid="{00000000-0005-0000-0000-0000740A0000}"/>
    <cellStyle name="20% - Accent1 5 4 4 3 2" xfId="38239" xr:uid="{00000000-0005-0000-0000-0000750A0000}"/>
    <cellStyle name="20% - Accent1 5 4 4 4" xfId="26938" xr:uid="{00000000-0005-0000-0000-0000760A0000}"/>
    <cellStyle name="20% - Accent1 5 4 5" xfId="7133" xr:uid="{00000000-0005-0000-0000-0000770A0000}"/>
    <cellStyle name="20% - Accent1 5 4 5 2" xfId="18434" xr:uid="{00000000-0005-0000-0000-0000780A0000}"/>
    <cellStyle name="20% - Accent1 5 4 5 2 2" xfId="41036" xr:uid="{00000000-0005-0000-0000-0000790A0000}"/>
    <cellStyle name="20% - Accent1 5 4 5 3" xfId="29735" xr:uid="{00000000-0005-0000-0000-00007A0A0000}"/>
    <cellStyle name="20% - Accent1 5 4 6" xfId="12784" xr:uid="{00000000-0005-0000-0000-00007B0A0000}"/>
    <cellStyle name="20% - Accent1 5 4 6 2" xfId="35386" xr:uid="{00000000-0005-0000-0000-00007C0A0000}"/>
    <cellStyle name="20% - Accent1 5 4 7" xfId="24085" xr:uid="{00000000-0005-0000-0000-00007D0A0000}"/>
    <cellStyle name="20% - Accent1 5 5" xfId="833" xr:uid="{00000000-0005-0000-0000-00007E0A0000}"/>
    <cellStyle name="20% - Accent1 5 5 2" xfId="2915" xr:uid="{00000000-0005-0000-0000-00007F0A0000}"/>
    <cellStyle name="20% - Accent1 5 5 2 2" xfId="5887" xr:uid="{00000000-0005-0000-0000-0000800A0000}"/>
    <cellStyle name="20% - Accent1 5 5 2 2 2" xfId="11537" xr:uid="{00000000-0005-0000-0000-0000810A0000}"/>
    <cellStyle name="20% - Accent1 5 5 2 2 2 2" xfId="22838" xr:uid="{00000000-0005-0000-0000-0000820A0000}"/>
    <cellStyle name="20% - Accent1 5 5 2 2 2 2 2" xfId="45440" xr:uid="{00000000-0005-0000-0000-0000830A0000}"/>
    <cellStyle name="20% - Accent1 5 5 2 2 2 3" xfId="34139" xr:uid="{00000000-0005-0000-0000-0000840A0000}"/>
    <cellStyle name="20% - Accent1 5 5 2 2 3" xfId="17188" xr:uid="{00000000-0005-0000-0000-0000850A0000}"/>
    <cellStyle name="20% - Accent1 5 5 2 2 3 2" xfId="39790" xr:uid="{00000000-0005-0000-0000-0000860A0000}"/>
    <cellStyle name="20% - Accent1 5 5 2 2 4" xfId="28489" xr:uid="{00000000-0005-0000-0000-0000870A0000}"/>
    <cellStyle name="20% - Accent1 5 5 2 3" xfId="8705" xr:uid="{00000000-0005-0000-0000-0000880A0000}"/>
    <cellStyle name="20% - Accent1 5 5 2 3 2" xfId="20006" xr:uid="{00000000-0005-0000-0000-0000890A0000}"/>
    <cellStyle name="20% - Accent1 5 5 2 3 2 2" xfId="42608" xr:uid="{00000000-0005-0000-0000-00008A0A0000}"/>
    <cellStyle name="20% - Accent1 5 5 2 3 3" xfId="31307" xr:uid="{00000000-0005-0000-0000-00008B0A0000}"/>
    <cellStyle name="20% - Accent1 5 5 2 4" xfId="14356" xr:uid="{00000000-0005-0000-0000-00008C0A0000}"/>
    <cellStyle name="20% - Accent1 5 5 2 4 2" xfId="36958" xr:uid="{00000000-0005-0000-0000-00008D0A0000}"/>
    <cellStyle name="20% - Accent1 5 5 2 5" xfId="25657" xr:uid="{00000000-0005-0000-0000-00008E0A0000}"/>
    <cellStyle name="20% - Accent1 5 5 3" xfId="4653" xr:uid="{00000000-0005-0000-0000-00008F0A0000}"/>
    <cellStyle name="20% - Accent1 5 5 3 2" xfId="10303" xr:uid="{00000000-0005-0000-0000-0000900A0000}"/>
    <cellStyle name="20% - Accent1 5 5 3 2 2" xfId="21604" xr:uid="{00000000-0005-0000-0000-0000910A0000}"/>
    <cellStyle name="20% - Accent1 5 5 3 2 2 2" xfId="44206" xr:uid="{00000000-0005-0000-0000-0000920A0000}"/>
    <cellStyle name="20% - Accent1 5 5 3 2 3" xfId="32905" xr:uid="{00000000-0005-0000-0000-0000930A0000}"/>
    <cellStyle name="20% - Accent1 5 5 3 3" xfId="15954" xr:uid="{00000000-0005-0000-0000-0000940A0000}"/>
    <cellStyle name="20% - Accent1 5 5 3 3 2" xfId="38556" xr:uid="{00000000-0005-0000-0000-0000950A0000}"/>
    <cellStyle name="20% - Accent1 5 5 3 4" xfId="27255" xr:uid="{00000000-0005-0000-0000-0000960A0000}"/>
    <cellStyle name="20% - Accent1 5 5 4" xfId="6838" xr:uid="{00000000-0005-0000-0000-0000970A0000}"/>
    <cellStyle name="20% - Accent1 5 5 4 2" xfId="18139" xr:uid="{00000000-0005-0000-0000-0000980A0000}"/>
    <cellStyle name="20% - Accent1 5 5 4 2 2" xfId="40741" xr:uid="{00000000-0005-0000-0000-0000990A0000}"/>
    <cellStyle name="20% - Accent1 5 5 4 3" xfId="29440" xr:uid="{00000000-0005-0000-0000-00009A0A0000}"/>
    <cellStyle name="20% - Accent1 5 5 5" xfId="12489" xr:uid="{00000000-0005-0000-0000-00009B0A0000}"/>
    <cellStyle name="20% - Accent1 5 5 5 2" xfId="35091" xr:uid="{00000000-0005-0000-0000-00009C0A0000}"/>
    <cellStyle name="20% - Accent1 5 5 6" xfId="23790" xr:uid="{00000000-0005-0000-0000-00009D0A0000}"/>
    <cellStyle name="20% - Accent1 5 6" xfId="1570" xr:uid="{00000000-0005-0000-0000-00009E0A0000}"/>
    <cellStyle name="20% - Accent1 5 6 2" xfId="3585" xr:uid="{00000000-0005-0000-0000-00009F0A0000}"/>
    <cellStyle name="20% - Accent1 5 6 2 2" xfId="9308" xr:uid="{00000000-0005-0000-0000-0000A00A0000}"/>
    <cellStyle name="20% - Accent1 5 6 2 2 2" xfId="20609" xr:uid="{00000000-0005-0000-0000-0000A10A0000}"/>
    <cellStyle name="20% - Accent1 5 6 2 2 2 2" xfId="43211" xr:uid="{00000000-0005-0000-0000-0000A20A0000}"/>
    <cellStyle name="20% - Accent1 5 6 2 2 3" xfId="31910" xr:uid="{00000000-0005-0000-0000-0000A30A0000}"/>
    <cellStyle name="20% - Accent1 5 6 2 3" xfId="14959" xr:uid="{00000000-0005-0000-0000-0000A40A0000}"/>
    <cellStyle name="20% - Accent1 5 6 2 3 2" xfId="37561" xr:uid="{00000000-0005-0000-0000-0000A50A0000}"/>
    <cellStyle name="20% - Accent1 5 6 2 4" xfId="26260" xr:uid="{00000000-0005-0000-0000-0000A60A0000}"/>
    <cellStyle name="20% - Accent1 5 6 3" xfId="5263" xr:uid="{00000000-0005-0000-0000-0000A70A0000}"/>
    <cellStyle name="20% - Accent1 5 6 3 2" xfId="10913" xr:uid="{00000000-0005-0000-0000-0000A80A0000}"/>
    <cellStyle name="20% - Accent1 5 6 3 2 2" xfId="22214" xr:uid="{00000000-0005-0000-0000-0000A90A0000}"/>
    <cellStyle name="20% - Accent1 5 6 3 2 2 2" xfId="44816" xr:uid="{00000000-0005-0000-0000-0000AA0A0000}"/>
    <cellStyle name="20% - Accent1 5 6 3 2 3" xfId="33515" xr:uid="{00000000-0005-0000-0000-0000AB0A0000}"/>
    <cellStyle name="20% - Accent1 5 6 3 3" xfId="16564" xr:uid="{00000000-0005-0000-0000-0000AC0A0000}"/>
    <cellStyle name="20% - Accent1 5 6 3 3 2" xfId="39166" xr:uid="{00000000-0005-0000-0000-0000AD0A0000}"/>
    <cellStyle name="20% - Accent1 5 6 3 4" xfId="27865" xr:uid="{00000000-0005-0000-0000-0000AE0A0000}"/>
    <cellStyle name="20% - Accent1 5 6 4" xfId="7426" xr:uid="{00000000-0005-0000-0000-0000AF0A0000}"/>
    <cellStyle name="20% - Accent1 5 6 4 2" xfId="18727" xr:uid="{00000000-0005-0000-0000-0000B00A0000}"/>
    <cellStyle name="20% - Accent1 5 6 4 2 2" xfId="41329" xr:uid="{00000000-0005-0000-0000-0000B10A0000}"/>
    <cellStyle name="20% - Accent1 5 6 4 3" xfId="30028" xr:uid="{00000000-0005-0000-0000-0000B20A0000}"/>
    <cellStyle name="20% - Accent1 5 6 5" xfId="13077" xr:uid="{00000000-0005-0000-0000-0000B30A0000}"/>
    <cellStyle name="20% - Accent1 5 6 5 2" xfId="35679" xr:uid="{00000000-0005-0000-0000-0000B40A0000}"/>
    <cellStyle name="20% - Accent1 5 6 6" xfId="24378" xr:uid="{00000000-0005-0000-0000-0000B50A0000}"/>
    <cellStyle name="20% - Accent1 5 7" xfId="2236" xr:uid="{00000000-0005-0000-0000-0000B60A0000}"/>
    <cellStyle name="20% - Accent1 5 7 2" xfId="8077" xr:uid="{00000000-0005-0000-0000-0000B70A0000}"/>
    <cellStyle name="20% - Accent1 5 7 2 2" xfId="19378" xr:uid="{00000000-0005-0000-0000-0000B80A0000}"/>
    <cellStyle name="20% - Accent1 5 7 2 2 2" xfId="41980" xr:uid="{00000000-0005-0000-0000-0000B90A0000}"/>
    <cellStyle name="20% - Accent1 5 7 2 3" xfId="30679" xr:uid="{00000000-0005-0000-0000-0000BA0A0000}"/>
    <cellStyle name="20% - Accent1 5 7 3" xfId="13728" xr:uid="{00000000-0005-0000-0000-0000BB0A0000}"/>
    <cellStyle name="20% - Accent1 5 7 3 2" xfId="36330" xr:uid="{00000000-0005-0000-0000-0000BC0A0000}"/>
    <cellStyle name="20% - Accent1 5 7 4" xfId="25029" xr:uid="{00000000-0005-0000-0000-0000BD0A0000}"/>
    <cellStyle name="20% - Accent1 5 8" xfId="4029" xr:uid="{00000000-0005-0000-0000-0000BE0A0000}"/>
    <cellStyle name="20% - Accent1 5 8 2" xfId="9679" xr:uid="{00000000-0005-0000-0000-0000BF0A0000}"/>
    <cellStyle name="20% - Accent1 5 8 2 2" xfId="20980" xr:uid="{00000000-0005-0000-0000-0000C00A0000}"/>
    <cellStyle name="20% - Accent1 5 8 2 2 2" xfId="43582" xr:uid="{00000000-0005-0000-0000-0000C10A0000}"/>
    <cellStyle name="20% - Accent1 5 8 2 3" xfId="32281" xr:uid="{00000000-0005-0000-0000-0000C20A0000}"/>
    <cellStyle name="20% - Accent1 5 8 3" xfId="15330" xr:uid="{00000000-0005-0000-0000-0000C30A0000}"/>
    <cellStyle name="20% - Accent1 5 8 3 2" xfId="37932" xr:uid="{00000000-0005-0000-0000-0000C40A0000}"/>
    <cellStyle name="20% - Accent1 5 8 4" xfId="26631" xr:uid="{00000000-0005-0000-0000-0000C50A0000}"/>
    <cellStyle name="20% - Accent1 5 9" xfId="6480" xr:uid="{00000000-0005-0000-0000-0000C60A0000}"/>
    <cellStyle name="20% - Accent1 5 9 2" xfId="17781" xr:uid="{00000000-0005-0000-0000-0000C70A0000}"/>
    <cellStyle name="20% - Accent1 5 9 2 2" xfId="40383" xr:uid="{00000000-0005-0000-0000-0000C80A0000}"/>
    <cellStyle name="20% - Accent1 5 9 3" xfId="29082" xr:uid="{00000000-0005-0000-0000-0000C90A0000}"/>
    <cellStyle name="20% - Accent1 6" xfId="288" xr:uid="{00000000-0005-0000-0000-0000CA0A0000}"/>
    <cellStyle name="20% - Accent1 7" xfId="391" xr:uid="{00000000-0005-0000-0000-0000CB0A0000}"/>
    <cellStyle name="20% - Accent1 7 10" xfId="23486" xr:uid="{00000000-0005-0000-0000-0000CC0A0000}"/>
    <cellStyle name="20% - Accent1 7 2" xfId="636" xr:uid="{00000000-0005-0000-0000-0000CD0A0000}"/>
    <cellStyle name="20% - Accent1 7 2 2" xfId="1346" xr:uid="{00000000-0005-0000-0000-0000CE0A0000}"/>
    <cellStyle name="20% - Accent1 7 2 2 2" xfId="1580" xr:uid="{00000000-0005-0000-0000-0000CF0A0000}"/>
    <cellStyle name="20% - Accent1 7 2 2 2 2" xfId="3415" xr:uid="{00000000-0005-0000-0000-0000D00A0000}"/>
    <cellStyle name="20% - Accent1 7 2 2 2 2 2" xfId="6387" xr:uid="{00000000-0005-0000-0000-0000D10A0000}"/>
    <cellStyle name="20% - Accent1 7 2 2 2 2 2 2" xfId="12037" xr:uid="{00000000-0005-0000-0000-0000D20A0000}"/>
    <cellStyle name="20% - Accent1 7 2 2 2 2 2 2 2" xfId="23338" xr:uid="{00000000-0005-0000-0000-0000D30A0000}"/>
    <cellStyle name="20% - Accent1 7 2 2 2 2 2 2 2 2" xfId="45940" xr:uid="{00000000-0005-0000-0000-0000D40A0000}"/>
    <cellStyle name="20% - Accent1 7 2 2 2 2 2 2 3" xfId="34639" xr:uid="{00000000-0005-0000-0000-0000D50A0000}"/>
    <cellStyle name="20% - Accent1 7 2 2 2 2 2 3" xfId="17688" xr:uid="{00000000-0005-0000-0000-0000D60A0000}"/>
    <cellStyle name="20% - Accent1 7 2 2 2 2 2 3 2" xfId="40290" xr:uid="{00000000-0005-0000-0000-0000D70A0000}"/>
    <cellStyle name="20% - Accent1 7 2 2 2 2 2 4" xfId="28989" xr:uid="{00000000-0005-0000-0000-0000D80A0000}"/>
    <cellStyle name="20% - Accent1 7 2 2 2 2 3" xfId="9205" xr:uid="{00000000-0005-0000-0000-0000D90A0000}"/>
    <cellStyle name="20% - Accent1 7 2 2 2 2 3 2" xfId="20506" xr:uid="{00000000-0005-0000-0000-0000DA0A0000}"/>
    <cellStyle name="20% - Accent1 7 2 2 2 2 3 2 2" xfId="43108" xr:uid="{00000000-0005-0000-0000-0000DB0A0000}"/>
    <cellStyle name="20% - Accent1 7 2 2 2 2 3 3" xfId="31807" xr:uid="{00000000-0005-0000-0000-0000DC0A0000}"/>
    <cellStyle name="20% - Accent1 7 2 2 2 2 4" xfId="14856" xr:uid="{00000000-0005-0000-0000-0000DD0A0000}"/>
    <cellStyle name="20% - Accent1 7 2 2 2 2 4 2" xfId="37458" xr:uid="{00000000-0005-0000-0000-0000DE0A0000}"/>
    <cellStyle name="20% - Accent1 7 2 2 2 2 5" xfId="26157" xr:uid="{00000000-0005-0000-0000-0000DF0A0000}"/>
    <cellStyle name="20% - Accent1 7 2 2 2 3" xfId="5153" xr:uid="{00000000-0005-0000-0000-0000E00A0000}"/>
    <cellStyle name="20% - Accent1 7 2 2 2 3 2" xfId="10803" xr:uid="{00000000-0005-0000-0000-0000E10A0000}"/>
    <cellStyle name="20% - Accent1 7 2 2 2 3 2 2" xfId="22104" xr:uid="{00000000-0005-0000-0000-0000E20A0000}"/>
    <cellStyle name="20% - Accent1 7 2 2 2 3 2 2 2" xfId="44706" xr:uid="{00000000-0005-0000-0000-0000E30A0000}"/>
    <cellStyle name="20% - Accent1 7 2 2 2 3 2 3" xfId="33405" xr:uid="{00000000-0005-0000-0000-0000E40A0000}"/>
    <cellStyle name="20% - Accent1 7 2 2 2 3 3" xfId="16454" xr:uid="{00000000-0005-0000-0000-0000E50A0000}"/>
    <cellStyle name="20% - Accent1 7 2 2 2 3 3 2" xfId="39056" xr:uid="{00000000-0005-0000-0000-0000E60A0000}"/>
    <cellStyle name="20% - Accent1 7 2 2 2 3 4" xfId="27755" xr:uid="{00000000-0005-0000-0000-0000E70A0000}"/>
    <cellStyle name="20% - Accent1 7 2 2 2 4" xfId="7436" xr:uid="{00000000-0005-0000-0000-0000E80A0000}"/>
    <cellStyle name="20% - Accent1 7 2 2 2 4 2" xfId="18737" xr:uid="{00000000-0005-0000-0000-0000E90A0000}"/>
    <cellStyle name="20% - Accent1 7 2 2 2 4 2 2" xfId="41339" xr:uid="{00000000-0005-0000-0000-0000EA0A0000}"/>
    <cellStyle name="20% - Accent1 7 2 2 2 4 3" xfId="30038" xr:uid="{00000000-0005-0000-0000-0000EB0A0000}"/>
    <cellStyle name="20% - Accent1 7 2 2 2 5" xfId="13087" xr:uid="{00000000-0005-0000-0000-0000EC0A0000}"/>
    <cellStyle name="20% - Accent1 7 2 2 2 5 2" xfId="35689" xr:uid="{00000000-0005-0000-0000-0000ED0A0000}"/>
    <cellStyle name="20% - Accent1 7 2 2 2 6" xfId="24388" xr:uid="{00000000-0005-0000-0000-0000EE0A0000}"/>
    <cellStyle name="20% - Accent1 7 2 2 3" xfId="2744" xr:uid="{00000000-0005-0000-0000-0000EF0A0000}"/>
    <cellStyle name="20% - Accent1 7 2 2 3 2" xfId="5763" xr:uid="{00000000-0005-0000-0000-0000F00A0000}"/>
    <cellStyle name="20% - Accent1 7 2 2 3 2 2" xfId="11413" xr:uid="{00000000-0005-0000-0000-0000F10A0000}"/>
    <cellStyle name="20% - Accent1 7 2 2 3 2 2 2" xfId="22714" xr:uid="{00000000-0005-0000-0000-0000F20A0000}"/>
    <cellStyle name="20% - Accent1 7 2 2 3 2 2 2 2" xfId="45316" xr:uid="{00000000-0005-0000-0000-0000F30A0000}"/>
    <cellStyle name="20% - Accent1 7 2 2 3 2 2 3" xfId="34015" xr:uid="{00000000-0005-0000-0000-0000F40A0000}"/>
    <cellStyle name="20% - Accent1 7 2 2 3 2 3" xfId="17064" xr:uid="{00000000-0005-0000-0000-0000F50A0000}"/>
    <cellStyle name="20% - Accent1 7 2 2 3 2 3 2" xfId="39666" xr:uid="{00000000-0005-0000-0000-0000F60A0000}"/>
    <cellStyle name="20% - Accent1 7 2 2 3 2 4" xfId="28365" xr:uid="{00000000-0005-0000-0000-0000F70A0000}"/>
    <cellStyle name="20% - Accent1 7 2 2 3 3" xfId="8580" xr:uid="{00000000-0005-0000-0000-0000F80A0000}"/>
    <cellStyle name="20% - Accent1 7 2 2 3 3 2" xfId="19881" xr:uid="{00000000-0005-0000-0000-0000F90A0000}"/>
    <cellStyle name="20% - Accent1 7 2 2 3 3 2 2" xfId="42483" xr:uid="{00000000-0005-0000-0000-0000FA0A0000}"/>
    <cellStyle name="20% - Accent1 7 2 2 3 3 3" xfId="31182" xr:uid="{00000000-0005-0000-0000-0000FB0A0000}"/>
    <cellStyle name="20% - Accent1 7 2 2 3 4" xfId="14231" xr:uid="{00000000-0005-0000-0000-0000FC0A0000}"/>
    <cellStyle name="20% - Accent1 7 2 2 3 4 2" xfId="36833" xr:uid="{00000000-0005-0000-0000-0000FD0A0000}"/>
    <cellStyle name="20% - Accent1 7 2 2 3 5" xfId="25532" xr:uid="{00000000-0005-0000-0000-0000FE0A0000}"/>
    <cellStyle name="20% - Accent1 7 2 2 4" xfId="4529" xr:uid="{00000000-0005-0000-0000-0000FF0A0000}"/>
    <cellStyle name="20% - Accent1 7 2 2 4 2" xfId="10179" xr:uid="{00000000-0005-0000-0000-0000000B0000}"/>
    <cellStyle name="20% - Accent1 7 2 2 4 2 2" xfId="21480" xr:uid="{00000000-0005-0000-0000-0000010B0000}"/>
    <cellStyle name="20% - Accent1 7 2 2 4 2 2 2" xfId="44082" xr:uid="{00000000-0005-0000-0000-0000020B0000}"/>
    <cellStyle name="20% - Accent1 7 2 2 4 2 3" xfId="32781" xr:uid="{00000000-0005-0000-0000-0000030B0000}"/>
    <cellStyle name="20% - Accent1 7 2 2 4 3" xfId="15830" xr:uid="{00000000-0005-0000-0000-0000040B0000}"/>
    <cellStyle name="20% - Accent1 7 2 2 4 3 2" xfId="38432" xr:uid="{00000000-0005-0000-0000-0000050B0000}"/>
    <cellStyle name="20% - Accent1 7 2 2 4 4" xfId="27131" xr:uid="{00000000-0005-0000-0000-0000060B0000}"/>
    <cellStyle name="20% - Accent1 7 2 2 5" xfId="7325" xr:uid="{00000000-0005-0000-0000-0000070B0000}"/>
    <cellStyle name="20% - Accent1 7 2 2 5 2" xfId="18626" xr:uid="{00000000-0005-0000-0000-0000080B0000}"/>
    <cellStyle name="20% - Accent1 7 2 2 5 2 2" xfId="41228" xr:uid="{00000000-0005-0000-0000-0000090B0000}"/>
    <cellStyle name="20% - Accent1 7 2 2 5 3" xfId="29927" xr:uid="{00000000-0005-0000-0000-00000A0B0000}"/>
    <cellStyle name="20% - Accent1 7 2 2 6" xfId="12976" xr:uid="{00000000-0005-0000-0000-00000B0B0000}"/>
    <cellStyle name="20% - Accent1 7 2 2 6 2" xfId="35578" xr:uid="{00000000-0005-0000-0000-00000C0B0000}"/>
    <cellStyle name="20% - Accent1 7 2 2 7" xfId="24277" xr:uid="{00000000-0005-0000-0000-00000D0B0000}"/>
    <cellStyle name="20% - Accent1 7 2 3" xfId="1044" xr:uid="{00000000-0005-0000-0000-00000E0B0000}"/>
    <cellStyle name="20% - Accent1 7 2 3 2" xfId="3107" xr:uid="{00000000-0005-0000-0000-00000F0B0000}"/>
    <cellStyle name="20% - Accent1 7 2 3 2 2" xfId="6079" xr:uid="{00000000-0005-0000-0000-0000100B0000}"/>
    <cellStyle name="20% - Accent1 7 2 3 2 2 2" xfId="11729" xr:uid="{00000000-0005-0000-0000-0000110B0000}"/>
    <cellStyle name="20% - Accent1 7 2 3 2 2 2 2" xfId="23030" xr:uid="{00000000-0005-0000-0000-0000120B0000}"/>
    <cellStyle name="20% - Accent1 7 2 3 2 2 2 2 2" xfId="45632" xr:uid="{00000000-0005-0000-0000-0000130B0000}"/>
    <cellStyle name="20% - Accent1 7 2 3 2 2 2 3" xfId="34331" xr:uid="{00000000-0005-0000-0000-0000140B0000}"/>
    <cellStyle name="20% - Accent1 7 2 3 2 2 3" xfId="17380" xr:uid="{00000000-0005-0000-0000-0000150B0000}"/>
    <cellStyle name="20% - Accent1 7 2 3 2 2 3 2" xfId="39982" xr:uid="{00000000-0005-0000-0000-0000160B0000}"/>
    <cellStyle name="20% - Accent1 7 2 3 2 2 4" xfId="28681" xr:uid="{00000000-0005-0000-0000-0000170B0000}"/>
    <cellStyle name="20% - Accent1 7 2 3 2 3" xfId="8897" xr:uid="{00000000-0005-0000-0000-0000180B0000}"/>
    <cellStyle name="20% - Accent1 7 2 3 2 3 2" xfId="20198" xr:uid="{00000000-0005-0000-0000-0000190B0000}"/>
    <cellStyle name="20% - Accent1 7 2 3 2 3 2 2" xfId="42800" xr:uid="{00000000-0005-0000-0000-00001A0B0000}"/>
    <cellStyle name="20% - Accent1 7 2 3 2 3 3" xfId="31499" xr:uid="{00000000-0005-0000-0000-00001B0B0000}"/>
    <cellStyle name="20% - Accent1 7 2 3 2 4" xfId="14548" xr:uid="{00000000-0005-0000-0000-00001C0B0000}"/>
    <cellStyle name="20% - Accent1 7 2 3 2 4 2" xfId="37150" xr:uid="{00000000-0005-0000-0000-00001D0B0000}"/>
    <cellStyle name="20% - Accent1 7 2 3 2 5" xfId="25849" xr:uid="{00000000-0005-0000-0000-00001E0B0000}"/>
    <cellStyle name="20% - Accent1 7 2 3 3" xfId="4845" xr:uid="{00000000-0005-0000-0000-00001F0B0000}"/>
    <cellStyle name="20% - Accent1 7 2 3 3 2" xfId="10495" xr:uid="{00000000-0005-0000-0000-0000200B0000}"/>
    <cellStyle name="20% - Accent1 7 2 3 3 2 2" xfId="21796" xr:uid="{00000000-0005-0000-0000-0000210B0000}"/>
    <cellStyle name="20% - Accent1 7 2 3 3 2 2 2" xfId="44398" xr:uid="{00000000-0005-0000-0000-0000220B0000}"/>
    <cellStyle name="20% - Accent1 7 2 3 3 2 3" xfId="33097" xr:uid="{00000000-0005-0000-0000-0000230B0000}"/>
    <cellStyle name="20% - Accent1 7 2 3 3 3" xfId="16146" xr:uid="{00000000-0005-0000-0000-0000240B0000}"/>
    <cellStyle name="20% - Accent1 7 2 3 3 3 2" xfId="38748" xr:uid="{00000000-0005-0000-0000-0000250B0000}"/>
    <cellStyle name="20% - Accent1 7 2 3 3 4" xfId="27447" xr:uid="{00000000-0005-0000-0000-0000260B0000}"/>
    <cellStyle name="20% - Accent1 7 2 3 4" xfId="7032" xr:uid="{00000000-0005-0000-0000-0000270B0000}"/>
    <cellStyle name="20% - Accent1 7 2 3 4 2" xfId="18333" xr:uid="{00000000-0005-0000-0000-0000280B0000}"/>
    <cellStyle name="20% - Accent1 7 2 3 4 2 2" xfId="40935" xr:uid="{00000000-0005-0000-0000-0000290B0000}"/>
    <cellStyle name="20% - Accent1 7 2 3 4 3" xfId="29634" xr:uid="{00000000-0005-0000-0000-00002A0B0000}"/>
    <cellStyle name="20% - Accent1 7 2 3 5" xfId="12683" xr:uid="{00000000-0005-0000-0000-00002B0B0000}"/>
    <cellStyle name="20% - Accent1 7 2 3 5 2" xfId="35285" xr:uid="{00000000-0005-0000-0000-00002C0B0000}"/>
    <cellStyle name="20% - Accent1 7 2 3 6" xfId="23984" xr:uid="{00000000-0005-0000-0000-00002D0B0000}"/>
    <cellStyle name="20% - Accent1 7 2 4" xfId="1579" xr:uid="{00000000-0005-0000-0000-00002E0B0000}"/>
    <cellStyle name="20% - Accent1 7 2 4 2" xfId="3518" xr:uid="{00000000-0005-0000-0000-00002F0B0000}"/>
    <cellStyle name="20% - Accent1 7 2 4 2 2" xfId="9281" xr:uid="{00000000-0005-0000-0000-0000300B0000}"/>
    <cellStyle name="20% - Accent1 7 2 4 2 2 2" xfId="20582" xr:uid="{00000000-0005-0000-0000-0000310B0000}"/>
    <cellStyle name="20% - Accent1 7 2 4 2 2 2 2" xfId="43184" xr:uid="{00000000-0005-0000-0000-0000320B0000}"/>
    <cellStyle name="20% - Accent1 7 2 4 2 2 3" xfId="31883" xr:uid="{00000000-0005-0000-0000-0000330B0000}"/>
    <cellStyle name="20% - Accent1 7 2 4 2 3" xfId="14932" xr:uid="{00000000-0005-0000-0000-0000340B0000}"/>
    <cellStyle name="20% - Accent1 7 2 4 2 3 2" xfId="37534" xr:uid="{00000000-0005-0000-0000-0000350B0000}"/>
    <cellStyle name="20% - Accent1 7 2 4 2 4" xfId="26233" xr:uid="{00000000-0005-0000-0000-0000360B0000}"/>
    <cellStyle name="20% - Accent1 7 2 4 3" xfId="5455" xr:uid="{00000000-0005-0000-0000-0000370B0000}"/>
    <cellStyle name="20% - Accent1 7 2 4 3 2" xfId="11105" xr:uid="{00000000-0005-0000-0000-0000380B0000}"/>
    <cellStyle name="20% - Accent1 7 2 4 3 2 2" xfId="22406" xr:uid="{00000000-0005-0000-0000-0000390B0000}"/>
    <cellStyle name="20% - Accent1 7 2 4 3 2 2 2" xfId="45008" xr:uid="{00000000-0005-0000-0000-00003A0B0000}"/>
    <cellStyle name="20% - Accent1 7 2 4 3 2 3" xfId="33707" xr:uid="{00000000-0005-0000-0000-00003B0B0000}"/>
    <cellStyle name="20% - Accent1 7 2 4 3 3" xfId="16756" xr:uid="{00000000-0005-0000-0000-00003C0B0000}"/>
    <cellStyle name="20% - Accent1 7 2 4 3 3 2" xfId="39358" xr:uid="{00000000-0005-0000-0000-00003D0B0000}"/>
    <cellStyle name="20% - Accent1 7 2 4 3 4" xfId="28057" xr:uid="{00000000-0005-0000-0000-00003E0B0000}"/>
    <cellStyle name="20% - Accent1 7 2 4 4" xfId="7435" xr:uid="{00000000-0005-0000-0000-00003F0B0000}"/>
    <cellStyle name="20% - Accent1 7 2 4 4 2" xfId="18736" xr:uid="{00000000-0005-0000-0000-0000400B0000}"/>
    <cellStyle name="20% - Accent1 7 2 4 4 2 2" xfId="41338" xr:uid="{00000000-0005-0000-0000-0000410B0000}"/>
    <cellStyle name="20% - Accent1 7 2 4 4 3" xfId="30037" xr:uid="{00000000-0005-0000-0000-0000420B0000}"/>
    <cellStyle name="20% - Accent1 7 2 4 5" xfId="13086" xr:uid="{00000000-0005-0000-0000-0000430B0000}"/>
    <cellStyle name="20% - Accent1 7 2 4 5 2" xfId="35688" xr:uid="{00000000-0005-0000-0000-0000440B0000}"/>
    <cellStyle name="20% - Accent1 7 2 4 6" xfId="24387" xr:uid="{00000000-0005-0000-0000-0000450B0000}"/>
    <cellStyle name="20% - Accent1 7 2 5" xfId="2436" xr:uid="{00000000-0005-0000-0000-0000460B0000}"/>
    <cellStyle name="20% - Accent1 7 2 5 2" xfId="8272" xr:uid="{00000000-0005-0000-0000-0000470B0000}"/>
    <cellStyle name="20% - Accent1 7 2 5 2 2" xfId="19573" xr:uid="{00000000-0005-0000-0000-0000480B0000}"/>
    <cellStyle name="20% - Accent1 7 2 5 2 2 2" xfId="42175" xr:uid="{00000000-0005-0000-0000-0000490B0000}"/>
    <cellStyle name="20% - Accent1 7 2 5 2 3" xfId="30874" xr:uid="{00000000-0005-0000-0000-00004A0B0000}"/>
    <cellStyle name="20% - Accent1 7 2 5 3" xfId="13923" xr:uid="{00000000-0005-0000-0000-00004B0B0000}"/>
    <cellStyle name="20% - Accent1 7 2 5 3 2" xfId="36525" xr:uid="{00000000-0005-0000-0000-00004C0B0000}"/>
    <cellStyle name="20% - Accent1 7 2 5 4" xfId="25224" xr:uid="{00000000-0005-0000-0000-00004D0B0000}"/>
    <cellStyle name="20% - Accent1 7 2 6" xfId="4221" xr:uid="{00000000-0005-0000-0000-00004E0B0000}"/>
    <cellStyle name="20% - Accent1 7 2 6 2" xfId="9871" xr:uid="{00000000-0005-0000-0000-00004F0B0000}"/>
    <cellStyle name="20% - Accent1 7 2 6 2 2" xfId="21172" xr:uid="{00000000-0005-0000-0000-0000500B0000}"/>
    <cellStyle name="20% - Accent1 7 2 6 2 2 2" xfId="43774" xr:uid="{00000000-0005-0000-0000-0000510B0000}"/>
    <cellStyle name="20% - Accent1 7 2 6 2 3" xfId="32473" xr:uid="{00000000-0005-0000-0000-0000520B0000}"/>
    <cellStyle name="20% - Accent1 7 2 6 3" xfId="15522" xr:uid="{00000000-0005-0000-0000-0000530B0000}"/>
    <cellStyle name="20% - Accent1 7 2 6 3 2" xfId="38124" xr:uid="{00000000-0005-0000-0000-0000540B0000}"/>
    <cellStyle name="20% - Accent1 7 2 6 4" xfId="26823" xr:uid="{00000000-0005-0000-0000-0000550B0000}"/>
    <cellStyle name="20% - Accent1 7 2 7" xfId="6701" xr:uid="{00000000-0005-0000-0000-0000560B0000}"/>
    <cellStyle name="20% - Accent1 7 2 7 2" xfId="18002" xr:uid="{00000000-0005-0000-0000-0000570B0000}"/>
    <cellStyle name="20% - Accent1 7 2 7 2 2" xfId="40604" xr:uid="{00000000-0005-0000-0000-0000580B0000}"/>
    <cellStyle name="20% - Accent1 7 2 7 3" xfId="29303" xr:uid="{00000000-0005-0000-0000-0000590B0000}"/>
    <cellStyle name="20% - Accent1 7 2 8" xfId="12352" xr:uid="{00000000-0005-0000-0000-00005A0B0000}"/>
    <cellStyle name="20% - Accent1 7 2 8 2" xfId="34954" xr:uid="{00000000-0005-0000-0000-00005B0B0000}"/>
    <cellStyle name="20% - Accent1 7 2 9" xfId="23653" xr:uid="{00000000-0005-0000-0000-00005C0B0000}"/>
    <cellStyle name="20% - Accent1 7 3" xfId="1208" xr:uid="{00000000-0005-0000-0000-00005D0B0000}"/>
    <cellStyle name="20% - Accent1 7 3 2" xfId="1581" xr:uid="{00000000-0005-0000-0000-00005E0B0000}"/>
    <cellStyle name="20% - Accent1 7 3 2 2" xfId="3276" xr:uid="{00000000-0005-0000-0000-00005F0B0000}"/>
    <cellStyle name="20% - Accent1 7 3 2 2 2" xfId="6248" xr:uid="{00000000-0005-0000-0000-0000600B0000}"/>
    <cellStyle name="20% - Accent1 7 3 2 2 2 2" xfId="11898" xr:uid="{00000000-0005-0000-0000-0000610B0000}"/>
    <cellStyle name="20% - Accent1 7 3 2 2 2 2 2" xfId="23199" xr:uid="{00000000-0005-0000-0000-0000620B0000}"/>
    <cellStyle name="20% - Accent1 7 3 2 2 2 2 2 2" xfId="45801" xr:uid="{00000000-0005-0000-0000-0000630B0000}"/>
    <cellStyle name="20% - Accent1 7 3 2 2 2 2 3" xfId="34500" xr:uid="{00000000-0005-0000-0000-0000640B0000}"/>
    <cellStyle name="20% - Accent1 7 3 2 2 2 3" xfId="17549" xr:uid="{00000000-0005-0000-0000-0000650B0000}"/>
    <cellStyle name="20% - Accent1 7 3 2 2 2 3 2" xfId="40151" xr:uid="{00000000-0005-0000-0000-0000660B0000}"/>
    <cellStyle name="20% - Accent1 7 3 2 2 2 4" xfId="28850" xr:uid="{00000000-0005-0000-0000-0000670B0000}"/>
    <cellStyle name="20% - Accent1 7 3 2 2 3" xfId="9066" xr:uid="{00000000-0005-0000-0000-0000680B0000}"/>
    <cellStyle name="20% - Accent1 7 3 2 2 3 2" xfId="20367" xr:uid="{00000000-0005-0000-0000-0000690B0000}"/>
    <cellStyle name="20% - Accent1 7 3 2 2 3 2 2" xfId="42969" xr:uid="{00000000-0005-0000-0000-00006A0B0000}"/>
    <cellStyle name="20% - Accent1 7 3 2 2 3 3" xfId="31668" xr:uid="{00000000-0005-0000-0000-00006B0B0000}"/>
    <cellStyle name="20% - Accent1 7 3 2 2 4" xfId="14717" xr:uid="{00000000-0005-0000-0000-00006C0B0000}"/>
    <cellStyle name="20% - Accent1 7 3 2 2 4 2" xfId="37319" xr:uid="{00000000-0005-0000-0000-00006D0B0000}"/>
    <cellStyle name="20% - Accent1 7 3 2 2 5" xfId="26018" xr:uid="{00000000-0005-0000-0000-00006E0B0000}"/>
    <cellStyle name="20% - Accent1 7 3 2 3" xfId="5014" xr:uid="{00000000-0005-0000-0000-00006F0B0000}"/>
    <cellStyle name="20% - Accent1 7 3 2 3 2" xfId="10664" xr:uid="{00000000-0005-0000-0000-0000700B0000}"/>
    <cellStyle name="20% - Accent1 7 3 2 3 2 2" xfId="21965" xr:uid="{00000000-0005-0000-0000-0000710B0000}"/>
    <cellStyle name="20% - Accent1 7 3 2 3 2 2 2" xfId="44567" xr:uid="{00000000-0005-0000-0000-0000720B0000}"/>
    <cellStyle name="20% - Accent1 7 3 2 3 2 3" xfId="33266" xr:uid="{00000000-0005-0000-0000-0000730B0000}"/>
    <cellStyle name="20% - Accent1 7 3 2 3 3" xfId="16315" xr:uid="{00000000-0005-0000-0000-0000740B0000}"/>
    <cellStyle name="20% - Accent1 7 3 2 3 3 2" xfId="38917" xr:uid="{00000000-0005-0000-0000-0000750B0000}"/>
    <cellStyle name="20% - Accent1 7 3 2 3 4" xfId="27616" xr:uid="{00000000-0005-0000-0000-0000760B0000}"/>
    <cellStyle name="20% - Accent1 7 3 2 4" xfId="7437" xr:uid="{00000000-0005-0000-0000-0000770B0000}"/>
    <cellStyle name="20% - Accent1 7 3 2 4 2" xfId="18738" xr:uid="{00000000-0005-0000-0000-0000780B0000}"/>
    <cellStyle name="20% - Accent1 7 3 2 4 2 2" xfId="41340" xr:uid="{00000000-0005-0000-0000-0000790B0000}"/>
    <cellStyle name="20% - Accent1 7 3 2 4 3" xfId="30039" xr:uid="{00000000-0005-0000-0000-00007A0B0000}"/>
    <cellStyle name="20% - Accent1 7 3 2 5" xfId="13088" xr:uid="{00000000-0005-0000-0000-00007B0B0000}"/>
    <cellStyle name="20% - Accent1 7 3 2 5 2" xfId="35690" xr:uid="{00000000-0005-0000-0000-00007C0B0000}"/>
    <cellStyle name="20% - Accent1 7 3 2 6" xfId="24389" xr:uid="{00000000-0005-0000-0000-00007D0B0000}"/>
    <cellStyle name="20% - Accent1 7 3 3" xfId="2605" xr:uid="{00000000-0005-0000-0000-00007E0B0000}"/>
    <cellStyle name="20% - Accent1 7 3 3 2" xfId="5624" xr:uid="{00000000-0005-0000-0000-00007F0B0000}"/>
    <cellStyle name="20% - Accent1 7 3 3 2 2" xfId="11274" xr:uid="{00000000-0005-0000-0000-0000800B0000}"/>
    <cellStyle name="20% - Accent1 7 3 3 2 2 2" xfId="22575" xr:uid="{00000000-0005-0000-0000-0000810B0000}"/>
    <cellStyle name="20% - Accent1 7 3 3 2 2 2 2" xfId="45177" xr:uid="{00000000-0005-0000-0000-0000820B0000}"/>
    <cellStyle name="20% - Accent1 7 3 3 2 2 3" xfId="33876" xr:uid="{00000000-0005-0000-0000-0000830B0000}"/>
    <cellStyle name="20% - Accent1 7 3 3 2 3" xfId="16925" xr:uid="{00000000-0005-0000-0000-0000840B0000}"/>
    <cellStyle name="20% - Accent1 7 3 3 2 3 2" xfId="39527" xr:uid="{00000000-0005-0000-0000-0000850B0000}"/>
    <cellStyle name="20% - Accent1 7 3 3 2 4" xfId="28226" xr:uid="{00000000-0005-0000-0000-0000860B0000}"/>
    <cellStyle name="20% - Accent1 7 3 3 3" xfId="8441" xr:uid="{00000000-0005-0000-0000-0000870B0000}"/>
    <cellStyle name="20% - Accent1 7 3 3 3 2" xfId="19742" xr:uid="{00000000-0005-0000-0000-0000880B0000}"/>
    <cellStyle name="20% - Accent1 7 3 3 3 2 2" xfId="42344" xr:uid="{00000000-0005-0000-0000-0000890B0000}"/>
    <cellStyle name="20% - Accent1 7 3 3 3 3" xfId="31043" xr:uid="{00000000-0005-0000-0000-00008A0B0000}"/>
    <cellStyle name="20% - Accent1 7 3 3 4" xfId="14092" xr:uid="{00000000-0005-0000-0000-00008B0B0000}"/>
    <cellStyle name="20% - Accent1 7 3 3 4 2" xfId="36694" xr:uid="{00000000-0005-0000-0000-00008C0B0000}"/>
    <cellStyle name="20% - Accent1 7 3 3 5" xfId="25393" xr:uid="{00000000-0005-0000-0000-00008D0B0000}"/>
    <cellStyle name="20% - Accent1 7 3 4" xfId="4390" xr:uid="{00000000-0005-0000-0000-00008E0B0000}"/>
    <cellStyle name="20% - Accent1 7 3 4 2" xfId="10040" xr:uid="{00000000-0005-0000-0000-00008F0B0000}"/>
    <cellStyle name="20% - Accent1 7 3 4 2 2" xfId="21341" xr:uid="{00000000-0005-0000-0000-0000900B0000}"/>
    <cellStyle name="20% - Accent1 7 3 4 2 2 2" xfId="43943" xr:uid="{00000000-0005-0000-0000-0000910B0000}"/>
    <cellStyle name="20% - Accent1 7 3 4 2 3" xfId="32642" xr:uid="{00000000-0005-0000-0000-0000920B0000}"/>
    <cellStyle name="20% - Accent1 7 3 4 3" xfId="15691" xr:uid="{00000000-0005-0000-0000-0000930B0000}"/>
    <cellStyle name="20% - Accent1 7 3 4 3 2" xfId="38293" xr:uid="{00000000-0005-0000-0000-0000940B0000}"/>
    <cellStyle name="20% - Accent1 7 3 4 4" xfId="26992" xr:uid="{00000000-0005-0000-0000-0000950B0000}"/>
    <cellStyle name="20% - Accent1 7 3 5" xfId="7187" xr:uid="{00000000-0005-0000-0000-0000960B0000}"/>
    <cellStyle name="20% - Accent1 7 3 5 2" xfId="18488" xr:uid="{00000000-0005-0000-0000-0000970B0000}"/>
    <cellStyle name="20% - Accent1 7 3 5 2 2" xfId="41090" xr:uid="{00000000-0005-0000-0000-0000980B0000}"/>
    <cellStyle name="20% - Accent1 7 3 5 3" xfId="29789" xr:uid="{00000000-0005-0000-0000-0000990B0000}"/>
    <cellStyle name="20% - Accent1 7 3 6" xfId="12838" xr:uid="{00000000-0005-0000-0000-00009A0B0000}"/>
    <cellStyle name="20% - Accent1 7 3 6 2" xfId="35440" xr:uid="{00000000-0005-0000-0000-00009B0B0000}"/>
    <cellStyle name="20% - Accent1 7 3 7" xfId="24139" xr:uid="{00000000-0005-0000-0000-00009C0B0000}"/>
    <cellStyle name="20% - Accent1 7 4" xfId="899" xr:uid="{00000000-0005-0000-0000-00009D0B0000}"/>
    <cellStyle name="20% - Accent1 7 4 2" xfId="2969" xr:uid="{00000000-0005-0000-0000-00009E0B0000}"/>
    <cellStyle name="20% - Accent1 7 4 2 2" xfId="5941" xr:uid="{00000000-0005-0000-0000-00009F0B0000}"/>
    <cellStyle name="20% - Accent1 7 4 2 2 2" xfId="11591" xr:uid="{00000000-0005-0000-0000-0000A00B0000}"/>
    <cellStyle name="20% - Accent1 7 4 2 2 2 2" xfId="22892" xr:uid="{00000000-0005-0000-0000-0000A10B0000}"/>
    <cellStyle name="20% - Accent1 7 4 2 2 2 2 2" xfId="45494" xr:uid="{00000000-0005-0000-0000-0000A20B0000}"/>
    <cellStyle name="20% - Accent1 7 4 2 2 2 3" xfId="34193" xr:uid="{00000000-0005-0000-0000-0000A30B0000}"/>
    <cellStyle name="20% - Accent1 7 4 2 2 3" xfId="17242" xr:uid="{00000000-0005-0000-0000-0000A40B0000}"/>
    <cellStyle name="20% - Accent1 7 4 2 2 3 2" xfId="39844" xr:uid="{00000000-0005-0000-0000-0000A50B0000}"/>
    <cellStyle name="20% - Accent1 7 4 2 2 4" xfId="28543" xr:uid="{00000000-0005-0000-0000-0000A60B0000}"/>
    <cellStyle name="20% - Accent1 7 4 2 3" xfId="8759" xr:uid="{00000000-0005-0000-0000-0000A70B0000}"/>
    <cellStyle name="20% - Accent1 7 4 2 3 2" xfId="20060" xr:uid="{00000000-0005-0000-0000-0000A80B0000}"/>
    <cellStyle name="20% - Accent1 7 4 2 3 2 2" xfId="42662" xr:uid="{00000000-0005-0000-0000-0000A90B0000}"/>
    <cellStyle name="20% - Accent1 7 4 2 3 3" xfId="31361" xr:uid="{00000000-0005-0000-0000-0000AA0B0000}"/>
    <cellStyle name="20% - Accent1 7 4 2 4" xfId="14410" xr:uid="{00000000-0005-0000-0000-0000AB0B0000}"/>
    <cellStyle name="20% - Accent1 7 4 2 4 2" xfId="37012" xr:uid="{00000000-0005-0000-0000-0000AC0B0000}"/>
    <cellStyle name="20% - Accent1 7 4 2 5" xfId="25711" xr:uid="{00000000-0005-0000-0000-0000AD0B0000}"/>
    <cellStyle name="20% - Accent1 7 4 3" xfId="4707" xr:uid="{00000000-0005-0000-0000-0000AE0B0000}"/>
    <cellStyle name="20% - Accent1 7 4 3 2" xfId="10357" xr:uid="{00000000-0005-0000-0000-0000AF0B0000}"/>
    <cellStyle name="20% - Accent1 7 4 3 2 2" xfId="21658" xr:uid="{00000000-0005-0000-0000-0000B00B0000}"/>
    <cellStyle name="20% - Accent1 7 4 3 2 2 2" xfId="44260" xr:uid="{00000000-0005-0000-0000-0000B10B0000}"/>
    <cellStyle name="20% - Accent1 7 4 3 2 3" xfId="32959" xr:uid="{00000000-0005-0000-0000-0000B20B0000}"/>
    <cellStyle name="20% - Accent1 7 4 3 3" xfId="16008" xr:uid="{00000000-0005-0000-0000-0000B30B0000}"/>
    <cellStyle name="20% - Accent1 7 4 3 3 2" xfId="38610" xr:uid="{00000000-0005-0000-0000-0000B40B0000}"/>
    <cellStyle name="20% - Accent1 7 4 3 4" xfId="27309" xr:uid="{00000000-0005-0000-0000-0000B50B0000}"/>
    <cellStyle name="20% - Accent1 7 4 4" xfId="6894" xr:uid="{00000000-0005-0000-0000-0000B60B0000}"/>
    <cellStyle name="20% - Accent1 7 4 4 2" xfId="18195" xr:uid="{00000000-0005-0000-0000-0000B70B0000}"/>
    <cellStyle name="20% - Accent1 7 4 4 2 2" xfId="40797" xr:uid="{00000000-0005-0000-0000-0000B80B0000}"/>
    <cellStyle name="20% - Accent1 7 4 4 3" xfId="29496" xr:uid="{00000000-0005-0000-0000-0000B90B0000}"/>
    <cellStyle name="20% - Accent1 7 4 5" xfId="12545" xr:uid="{00000000-0005-0000-0000-0000BA0B0000}"/>
    <cellStyle name="20% - Accent1 7 4 5 2" xfId="35147" xr:uid="{00000000-0005-0000-0000-0000BB0B0000}"/>
    <cellStyle name="20% - Accent1 7 4 6" xfId="23846" xr:uid="{00000000-0005-0000-0000-0000BC0B0000}"/>
    <cellStyle name="20% - Accent1 7 5" xfId="1578" xr:uid="{00000000-0005-0000-0000-0000BD0B0000}"/>
    <cellStyle name="20% - Accent1 7 5 2" xfId="3577" xr:uid="{00000000-0005-0000-0000-0000BE0B0000}"/>
    <cellStyle name="20% - Accent1 7 5 2 2" xfId="9304" xr:uid="{00000000-0005-0000-0000-0000BF0B0000}"/>
    <cellStyle name="20% - Accent1 7 5 2 2 2" xfId="20605" xr:uid="{00000000-0005-0000-0000-0000C00B0000}"/>
    <cellStyle name="20% - Accent1 7 5 2 2 2 2" xfId="43207" xr:uid="{00000000-0005-0000-0000-0000C10B0000}"/>
    <cellStyle name="20% - Accent1 7 5 2 2 3" xfId="31906" xr:uid="{00000000-0005-0000-0000-0000C20B0000}"/>
    <cellStyle name="20% - Accent1 7 5 2 3" xfId="14955" xr:uid="{00000000-0005-0000-0000-0000C30B0000}"/>
    <cellStyle name="20% - Accent1 7 5 2 3 2" xfId="37557" xr:uid="{00000000-0005-0000-0000-0000C40B0000}"/>
    <cellStyle name="20% - Accent1 7 5 2 4" xfId="26256" xr:uid="{00000000-0005-0000-0000-0000C50B0000}"/>
    <cellStyle name="20% - Accent1 7 5 3" xfId="5317" xr:uid="{00000000-0005-0000-0000-0000C60B0000}"/>
    <cellStyle name="20% - Accent1 7 5 3 2" xfId="10967" xr:uid="{00000000-0005-0000-0000-0000C70B0000}"/>
    <cellStyle name="20% - Accent1 7 5 3 2 2" xfId="22268" xr:uid="{00000000-0005-0000-0000-0000C80B0000}"/>
    <cellStyle name="20% - Accent1 7 5 3 2 2 2" xfId="44870" xr:uid="{00000000-0005-0000-0000-0000C90B0000}"/>
    <cellStyle name="20% - Accent1 7 5 3 2 3" xfId="33569" xr:uid="{00000000-0005-0000-0000-0000CA0B0000}"/>
    <cellStyle name="20% - Accent1 7 5 3 3" xfId="16618" xr:uid="{00000000-0005-0000-0000-0000CB0B0000}"/>
    <cellStyle name="20% - Accent1 7 5 3 3 2" xfId="39220" xr:uid="{00000000-0005-0000-0000-0000CC0B0000}"/>
    <cellStyle name="20% - Accent1 7 5 3 4" xfId="27919" xr:uid="{00000000-0005-0000-0000-0000CD0B0000}"/>
    <cellStyle name="20% - Accent1 7 5 4" xfId="7434" xr:uid="{00000000-0005-0000-0000-0000CE0B0000}"/>
    <cellStyle name="20% - Accent1 7 5 4 2" xfId="18735" xr:uid="{00000000-0005-0000-0000-0000CF0B0000}"/>
    <cellStyle name="20% - Accent1 7 5 4 2 2" xfId="41337" xr:uid="{00000000-0005-0000-0000-0000D00B0000}"/>
    <cellStyle name="20% - Accent1 7 5 4 3" xfId="30036" xr:uid="{00000000-0005-0000-0000-0000D10B0000}"/>
    <cellStyle name="20% - Accent1 7 5 5" xfId="13085" xr:uid="{00000000-0005-0000-0000-0000D20B0000}"/>
    <cellStyle name="20% - Accent1 7 5 5 2" xfId="35687" xr:uid="{00000000-0005-0000-0000-0000D30B0000}"/>
    <cellStyle name="20% - Accent1 7 5 6" xfId="24386" xr:uid="{00000000-0005-0000-0000-0000D40B0000}"/>
    <cellStyle name="20% - Accent1 7 6" xfId="2296" xr:uid="{00000000-0005-0000-0000-0000D50B0000}"/>
    <cellStyle name="20% - Accent1 7 6 2" xfId="8132" xr:uid="{00000000-0005-0000-0000-0000D60B0000}"/>
    <cellStyle name="20% - Accent1 7 6 2 2" xfId="19433" xr:uid="{00000000-0005-0000-0000-0000D70B0000}"/>
    <cellStyle name="20% - Accent1 7 6 2 2 2" xfId="42035" xr:uid="{00000000-0005-0000-0000-0000D80B0000}"/>
    <cellStyle name="20% - Accent1 7 6 2 3" xfId="30734" xr:uid="{00000000-0005-0000-0000-0000D90B0000}"/>
    <cellStyle name="20% - Accent1 7 6 3" xfId="13783" xr:uid="{00000000-0005-0000-0000-0000DA0B0000}"/>
    <cellStyle name="20% - Accent1 7 6 3 2" xfId="36385" xr:uid="{00000000-0005-0000-0000-0000DB0B0000}"/>
    <cellStyle name="20% - Accent1 7 6 4" xfId="25084" xr:uid="{00000000-0005-0000-0000-0000DC0B0000}"/>
    <cellStyle name="20% - Accent1 7 7" xfId="4083" xr:uid="{00000000-0005-0000-0000-0000DD0B0000}"/>
    <cellStyle name="20% - Accent1 7 7 2" xfId="9733" xr:uid="{00000000-0005-0000-0000-0000DE0B0000}"/>
    <cellStyle name="20% - Accent1 7 7 2 2" xfId="21034" xr:uid="{00000000-0005-0000-0000-0000DF0B0000}"/>
    <cellStyle name="20% - Accent1 7 7 2 2 2" xfId="43636" xr:uid="{00000000-0005-0000-0000-0000E00B0000}"/>
    <cellStyle name="20% - Accent1 7 7 2 3" xfId="32335" xr:uid="{00000000-0005-0000-0000-0000E10B0000}"/>
    <cellStyle name="20% - Accent1 7 7 3" xfId="15384" xr:uid="{00000000-0005-0000-0000-0000E20B0000}"/>
    <cellStyle name="20% - Accent1 7 7 3 2" xfId="37986" xr:uid="{00000000-0005-0000-0000-0000E30B0000}"/>
    <cellStyle name="20% - Accent1 7 7 4" xfId="26685" xr:uid="{00000000-0005-0000-0000-0000E40B0000}"/>
    <cellStyle name="20% - Accent1 7 8" xfId="6534" xr:uid="{00000000-0005-0000-0000-0000E50B0000}"/>
    <cellStyle name="20% - Accent1 7 8 2" xfId="17835" xr:uid="{00000000-0005-0000-0000-0000E60B0000}"/>
    <cellStyle name="20% - Accent1 7 8 2 2" xfId="40437" xr:uid="{00000000-0005-0000-0000-0000E70B0000}"/>
    <cellStyle name="20% - Accent1 7 8 3" xfId="29136" xr:uid="{00000000-0005-0000-0000-0000E80B0000}"/>
    <cellStyle name="20% - Accent1 7 9" xfId="12185" xr:uid="{00000000-0005-0000-0000-0000E90B0000}"/>
    <cellStyle name="20% - Accent1 7 9 2" xfId="34787" xr:uid="{00000000-0005-0000-0000-0000EA0B0000}"/>
    <cellStyle name="20% - Accent1 8" xfId="494" xr:uid="{00000000-0005-0000-0000-0000EB0B0000}"/>
    <cellStyle name="20% - Accent1 8 2" xfId="1265" xr:uid="{00000000-0005-0000-0000-0000EC0B0000}"/>
    <cellStyle name="20% - Accent1 8 2 2" xfId="1583" xr:uid="{00000000-0005-0000-0000-0000ED0B0000}"/>
    <cellStyle name="20% - Accent1 8 2 2 2" xfId="3334" xr:uid="{00000000-0005-0000-0000-0000EE0B0000}"/>
    <cellStyle name="20% - Accent1 8 2 2 2 2" xfId="6306" xr:uid="{00000000-0005-0000-0000-0000EF0B0000}"/>
    <cellStyle name="20% - Accent1 8 2 2 2 2 2" xfId="11956" xr:uid="{00000000-0005-0000-0000-0000F00B0000}"/>
    <cellStyle name="20% - Accent1 8 2 2 2 2 2 2" xfId="23257" xr:uid="{00000000-0005-0000-0000-0000F10B0000}"/>
    <cellStyle name="20% - Accent1 8 2 2 2 2 2 2 2" xfId="45859" xr:uid="{00000000-0005-0000-0000-0000F20B0000}"/>
    <cellStyle name="20% - Accent1 8 2 2 2 2 2 3" xfId="34558" xr:uid="{00000000-0005-0000-0000-0000F30B0000}"/>
    <cellStyle name="20% - Accent1 8 2 2 2 2 3" xfId="17607" xr:uid="{00000000-0005-0000-0000-0000F40B0000}"/>
    <cellStyle name="20% - Accent1 8 2 2 2 2 3 2" xfId="40209" xr:uid="{00000000-0005-0000-0000-0000F50B0000}"/>
    <cellStyle name="20% - Accent1 8 2 2 2 2 4" xfId="28908" xr:uid="{00000000-0005-0000-0000-0000F60B0000}"/>
    <cellStyle name="20% - Accent1 8 2 2 2 3" xfId="9124" xr:uid="{00000000-0005-0000-0000-0000F70B0000}"/>
    <cellStyle name="20% - Accent1 8 2 2 2 3 2" xfId="20425" xr:uid="{00000000-0005-0000-0000-0000F80B0000}"/>
    <cellStyle name="20% - Accent1 8 2 2 2 3 2 2" xfId="43027" xr:uid="{00000000-0005-0000-0000-0000F90B0000}"/>
    <cellStyle name="20% - Accent1 8 2 2 2 3 3" xfId="31726" xr:uid="{00000000-0005-0000-0000-0000FA0B0000}"/>
    <cellStyle name="20% - Accent1 8 2 2 2 4" xfId="14775" xr:uid="{00000000-0005-0000-0000-0000FB0B0000}"/>
    <cellStyle name="20% - Accent1 8 2 2 2 4 2" xfId="37377" xr:uid="{00000000-0005-0000-0000-0000FC0B0000}"/>
    <cellStyle name="20% - Accent1 8 2 2 2 5" xfId="26076" xr:uid="{00000000-0005-0000-0000-0000FD0B0000}"/>
    <cellStyle name="20% - Accent1 8 2 2 3" xfId="5072" xr:uid="{00000000-0005-0000-0000-0000FE0B0000}"/>
    <cellStyle name="20% - Accent1 8 2 2 3 2" xfId="10722" xr:uid="{00000000-0005-0000-0000-0000FF0B0000}"/>
    <cellStyle name="20% - Accent1 8 2 2 3 2 2" xfId="22023" xr:uid="{00000000-0005-0000-0000-0000000C0000}"/>
    <cellStyle name="20% - Accent1 8 2 2 3 2 2 2" xfId="44625" xr:uid="{00000000-0005-0000-0000-0000010C0000}"/>
    <cellStyle name="20% - Accent1 8 2 2 3 2 3" xfId="33324" xr:uid="{00000000-0005-0000-0000-0000020C0000}"/>
    <cellStyle name="20% - Accent1 8 2 2 3 3" xfId="16373" xr:uid="{00000000-0005-0000-0000-0000030C0000}"/>
    <cellStyle name="20% - Accent1 8 2 2 3 3 2" xfId="38975" xr:uid="{00000000-0005-0000-0000-0000040C0000}"/>
    <cellStyle name="20% - Accent1 8 2 2 3 4" xfId="27674" xr:uid="{00000000-0005-0000-0000-0000050C0000}"/>
    <cellStyle name="20% - Accent1 8 2 2 4" xfId="7439" xr:uid="{00000000-0005-0000-0000-0000060C0000}"/>
    <cellStyle name="20% - Accent1 8 2 2 4 2" xfId="18740" xr:uid="{00000000-0005-0000-0000-0000070C0000}"/>
    <cellStyle name="20% - Accent1 8 2 2 4 2 2" xfId="41342" xr:uid="{00000000-0005-0000-0000-0000080C0000}"/>
    <cellStyle name="20% - Accent1 8 2 2 4 3" xfId="30041" xr:uid="{00000000-0005-0000-0000-0000090C0000}"/>
    <cellStyle name="20% - Accent1 8 2 2 5" xfId="13090" xr:uid="{00000000-0005-0000-0000-00000A0C0000}"/>
    <cellStyle name="20% - Accent1 8 2 2 5 2" xfId="35692" xr:uid="{00000000-0005-0000-0000-00000B0C0000}"/>
    <cellStyle name="20% - Accent1 8 2 2 6" xfId="24391" xr:uid="{00000000-0005-0000-0000-00000C0C0000}"/>
    <cellStyle name="20% - Accent1 8 2 3" xfId="2663" xr:uid="{00000000-0005-0000-0000-00000D0C0000}"/>
    <cellStyle name="20% - Accent1 8 2 3 2" xfId="5682" xr:uid="{00000000-0005-0000-0000-00000E0C0000}"/>
    <cellStyle name="20% - Accent1 8 2 3 2 2" xfId="11332" xr:uid="{00000000-0005-0000-0000-00000F0C0000}"/>
    <cellStyle name="20% - Accent1 8 2 3 2 2 2" xfId="22633" xr:uid="{00000000-0005-0000-0000-0000100C0000}"/>
    <cellStyle name="20% - Accent1 8 2 3 2 2 2 2" xfId="45235" xr:uid="{00000000-0005-0000-0000-0000110C0000}"/>
    <cellStyle name="20% - Accent1 8 2 3 2 2 3" xfId="33934" xr:uid="{00000000-0005-0000-0000-0000120C0000}"/>
    <cellStyle name="20% - Accent1 8 2 3 2 3" xfId="16983" xr:uid="{00000000-0005-0000-0000-0000130C0000}"/>
    <cellStyle name="20% - Accent1 8 2 3 2 3 2" xfId="39585" xr:uid="{00000000-0005-0000-0000-0000140C0000}"/>
    <cellStyle name="20% - Accent1 8 2 3 2 4" xfId="28284" xr:uid="{00000000-0005-0000-0000-0000150C0000}"/>
    <cellStyle name="20% - Accent1 8 2 3 3" xfId="8499" xr:uid="{00000000-0005-0000-0000-0000160C0000}"/>
    <cellStyle name="20% - Accent1 8 2 3 3 2" xfId="19800" xr:uid="{00000000-0005-0000-0000-0000170C0000}"/>
    <cellStyle name="20% - Accent1 8 2 3 3 2 2" xfId="42402" xr:uid="{00000000-0005-0000-0000-0000180C0000}"/>
    <cellStyle name="20% - Accent1 8 2 3 3 3" xfId="31101" xr:uid="{00000000-0005-0000-0000-0000190C0000}"/>
    <cellStyle name="20% - Accent1 8 2 3 4" xfId="14150" xr:uid="{00000000-0005-0000-0000-00001A0C0000}"/>
    <cellStyle name="20% - Accent1 8 2 3 4 2" xfId="36752" xr:uid="{00000000-0005-0000-0000-00001B0C0000}"/>
    <cellStyle name="20% - Accent1 8 2 3 5" xfId="25451" xr:uid="{00000000-0005-0000-0000-00001C0C0000}"/>
    <cellStyle name="20% - Accent1 8 2 4" xfId="4448" xr:uid="{00000000-0005-0000-0000-00001D0C0000}"/>
    <cellStyle name="20% - Accent1 8 2 4 2" xfId="10098" xr:uid="{00000000-0005-0000-0000-00001E0C0000}"/>
    <cellStyle name="20% - Accent1 8 2 4 2 2" xfId="21399" xr:uid="{00000000-0005-0000-0000-00001F0C0000}"/>
    <cellStyle name="20% - Accent1 8 2 4 2 2 2" xfId="44001" xr:uid="{00000000-0005-0000-0000-0000200C0000}"/>
    <cellStyle name="20% - Accent1 8 2 4 2 3" xfId="32700" xr:uid="{00000000-0005-0000-0000-0000210C0000}"/>
    <cellStyle name="20% - Accent1 8 2 4 3" xfId="15749" xr:uid="{00000000-0005-0000-0000-0000220C0000}"/>
    <cellStyle name="20% - Accent1 8 2 4 3 2" xfId="38351" xr:uid="{00000000-0005-0000-0000-0000230C0000}"/>
    <cellStyle name="20% - Accent1 8 2 4 4" xfId="27050" xr:uid="{00000000-0005-0000-0000-0000240C0000}"/>
    <cellStyle name="20% - Accent1 8 2 5" xfId="7244" xr:uid="{00000000-0005-0000-0000-0000250C0000}"/>
    <cellStyle name="20% - Accent1 8 2 5 2" xfId="18545" xr:uid="{00000000-0005-0000-0000-0000260C0000}"/>
    <cellStyle name="20% - Accent1 8 2 5 2 2" xfId="41147" xr:uid="{00000000-0005-0000-0000-0000270C0000}"/>
    <cellStyle name="20% - Accent1 8 2 5 3" xfId="29846" xr:uid="{00000000-0005-0000-0000-0000280C0000}"/>
    <cellStyle name="20% - Accent1 8 2 6" xfId="12895" xr:uid="{00000000-0005-0000-0000-0000290C0000}"/>
    <cellStyle name="20% - Accent1 8 2 6 2" xfId="35497" xr:uid="{00000000-0005-0000-0000-00002A0C0000}"/>
    <cellStyle name="20% - Accent1 8 2 7" xfId="24196" xr:uid="{00000000-0005-0000-0000-00002B0C0000}"/>
    <cellStyle name="20% - Accent1 8 3" xfId="962" xr:uid="{00000000-0005-0000-0000-00002C0C0000}"/>
    <cellStyle name="20% - Accent1 8 3 2" xfId="3026" xr:uid="{00000000-0005-0000-0000-00002D0C0000}"/>
    <cellStyle name="20% - Accent1 8 3 2 2" xfId="5998" xr:uid="{00000000-0005-0000-0000-00002E0C0000}"/>
    <cellStyle name="20% - Accent1 8 3 2 2 2" xfId="11648" xr:uid="{00000000-0005-0000-0000-00002F0C0000}"/>
    <cellStyle name="20% - Accent1 8 3 2 2 2 2" xfId="22949" xr:uid="{00000000-0005-0000-0000-0000300C0000}"/>
    <cellStyle name="20% - Accent1 8 3 2 2 2 2 2" xfId="45551" xr:uid="{00000000-0005-0000-0000-0000310C0000}"/>
    <cellStyle name="20% - Accent1 8 3 2 2 2 3" xfId="34250" xr:uid="{00000000-0005-0000-0000-0000320C0000}"/>
    <cellStyle name="20% - Accent1 8 3 2 2 3" xfId="17299" xr:uid="{00000000-0005-0000-0000-0000330C0000}"/>
    <cellStyle name="20% - Accent1 8 3 2 2 3 2" xfId="39901" xr:uid="{00000000-0005-0000-0000-0000340C0000}"/>
    <cellStyle name="20% - Accent1 8 3 2 2 4" xfId="28600" xr:uid="{00000000-0005-0000-0000-0000350C0000}"/>
    <cellStyle name="20% - Accent1 8 3 2 3" xfId="8816" xr:uid="{00000000-0005-0000-0000-0000360C0000}"/>
    <cellStyle name="20% - Accent1 8 3 2 3 2" xfId="20117" xr:uid="{00000000-0005-0000-0000-0000370C0000}"/>
    <cellStyle name="20% - Accent1 8 3 2 3 2 2" xfId="42719" xr:uid="{00000000-0005-0000-0000-0000380C0000}"/>
    <cellStyle name="20% - Accent1 8 3 2 3 3" xfId="31418" xr:uid="{00000000-0005-0000-0000-0000390C0000}"/>
    <cellStyle name="20% - Accent1 8 3 2 4" xfId="14467" xr:uid="{00000000-0005-0000-0000-00003A0C0000}"/>
    <cellStyle name="20% - Accent1 8 3 2 4 2" xfId="37069" xr:uid="{00000000-0005-0000-0000-00003B0C0000}"/>
    <cellStyle name="20% - Accent1 8 3 2 5" xfId="25768" xr:uid="{00000000-0005-0000-0000-00003C0C0000}"/>
    <cellStyle name="20% - Accent1 8 3 3" xfId="4764" xr:uid="{00000000-0005-0000-0000-00003D0C0000}"/>
    <cellStyle name="20% - Accent1 8 3 3 2" xfId="10414" xr:uid="{00000000-0005-0000-0000-00003E0C0000}"/>
    <cellStyle name="20% - Accent1 8 3 3 2 2" xfId="21715" xr:uid="{00000000-0005-0000-0000-00003F0C0000}"/>
    <cellStyle name="20% - Accent1 8 3 3 2 2 2" xfId="44317" xr:uid="{00000000-0005-0000-0000-0000400C0000}"/>
    <cellStyle name="20% - Accent1 8 3 3 2 3" xfId="33016" xr:uid="{00000000-0005-0000-0000-0000410C0000}"/>
    <cellStyle name="20% - Accent1 8 3 3 3" xfId="16065" xr:uid="{00000000-0005-0000-0000-0000420C0000}"/>
    <cellStyle name="20% - Accent1 8 3 3 3 2" xfId="38667" xr:uid="{00000000-0005-0000-0000-0000430C0000}"/>
    <cellStyle name="20% - Accent1 8 3 3 4" xfId="27366" xr:uid="{00000000-0005-0000-0000-0000440C0000}"/>
    <cellStyle name="20% - Accent1 8 3 4" xfId="6951" xr:uid="{00000000-0005-0000-0000-0000450C0000}"/>
    <cellStyle name="20% - Accent1 8 3 4 2" xfId="18252" xr:uid="{00000000-0005-0000-0000-0000460C0000}"/>
    <cellStyle name="20% - Accent1 8 3 4 2 2" xfId="40854" xr:uid="{00000000-0005-0000-0000-0000470C0000}"/>
    <cellStyle name="20% - Accent1 8 3 4 3" xfId="29553" xr:uid="{00000000-0005-0000-0000-0000480C0000}"/>
    <cellStyle name="20% - Accent1 8 3 5" xfId="12602" xr:uid="{00000000-0005-0000-0000-0000490C0000}"/>
    <cellStyle name="20% - Accent1 8 3 5 2" xfId="35204" xr:uid="{00000000-0005-0000-0000-00004A0C0000}"/>
    <cellStyle name="20% - Accent1 8 3 6" xfId="23903" xr:uid="{00000000-0005-0000-0000-00004B0C0000}"/>
    <cellStyle name="20% - Accent1 8 4" xfId="1582" xr:uid="{00000000-0005-0000-0000-00004C0C0000}"/>
    <cellStyle name="20% - Accent1 8 4 2" xfId="3511" xr:uid="{00000000-0005-0000-0000-00004D0C0000}"/>
    <cellStyle name="20% - Accent1 8 4 2 2" xfId="9277" xr:uid="{00000000-0005-0000-0000-00004E0C0000}"/>
    <cellStyle name="20% - Accent1 8 4 2 2 2" xfId="20578" xr:uid="{00000000-0005-0000-0000-00004F0C0000}"/>
    <cellStyle name="20% - Accent1 8 4 2 2 2 2" xfId="43180" xr:uid="{00000000-0005-0000-0000-0000500C0000}"/>
    <cellStyle name="20% - Accent1 8 4 2 2 3" xfId="31879" xr:uid="{00000000-0005-0000-0000-0000510C0000}"/>
    <cellStyle name="20% - Accent1 8 4 2 3" xfId="14928" xr:uid="{00000000-0005-0000-0000-0000520C0000}"/>
    <cellStyle name="20% - Accent1 8 4 2 3 2" xfId="37530" xr:uid="{00000000-0005-0000-0000-0000530C0000}"/>
    <cellStyle name="20% - Accent1 8 4 2 4" xfId="26229" xr:uid="{00000000-0005-0000-0000-0000540C0000}"/>
    <cellStyle name="20% - Accent1 8 4 3" xfId="5374" xr:uid="{00000000-0005-0000-0000-0000550C0000}"/>
    <cellStyle name="20% - Accent1 8 4 3 2" xfId="11024" xr:uid="{00000000-0005-0000-0000-0000560C0000}"/>
    <cellStyle name="20% - Accent1 8 4 3 2 2" xfId="22325" xr:uid="{00000000-0005-0000-0000-0000570C0000}"/>
    <cellStyle name="20% - Accent1 8 4 3 2 2 2" xfId="44927" xr:uid="{00000000-0005-0000-0000-0000580C0000}"/>
    <cellStyle name="20% - Accent1 8 4 3 2 3" xfId="33626" xr:uid="{00000000-0005-0000-0000-0000590C0000}"/>
    <cellStyle name="20% - Accent1 8 4 3 3" xfId="16675" xr:uid="{00000000-0005-0000-0000-00005A0C0000}"/>
    <cellStyle name="20% - Accent1 8 4 3 3 2" xfId="39277" xr:uid="{00000000-0005-0000-0000-00005B0C0000}"/>
    <cellStyle name="20% - Accent1 8 4 3 4" xfId="27976" xr:uid="{00000000-0005-0000-0000-00005C0C0000}"/>
    <cellStyle name="20% - Accent1 8 4 4" xfId="7438" xr:uid="{00000000-0005-0000-0000-00005D0C0000}"/>
    <cellStyle name="20% - Accent1 8 4 4 2" xfId="18739" xr:uid="{00000000-0005-0000-0000-00005E0C0000}"/>
    <cellStyle name="20% - Accent1 8 4 4 2 2" xfId="41341" xr:uid="{00000000-0005-0000-0000-00005F0C0000}"/>
    <cellStyle name="20% - Accent1 8 4 4 3" xfId="30040" xr:uid="{00000000-0005-0000-0000-0000600C0000}"/>
    <cellStyle name="20% - Accent1 8 4 5" xfId="13089" xr:uid="{00000000-0005-0000-0000-0000610C0000}"/>
    <cellStyle name="20% - Accent1 8 4 5 2" xfId="35691" xr:uid="{00000000-0005-0000-0000-0000620C0000}"/>
    <cellStyle name="20% - Accent1 8 4 6" xfId="24390" xr:uid="{00000000-0005-0000-0000-0000630C0000}"/>
    <cellStyle name="20% - Accent1 8 5" xfId="2355" xr:uid="{00000000-0005-0000-0000-0000640C0000}"/>
    <cellStyle name="20% - Accent1 8 5 2" xfId="8191" xr:uid="{00000000-0005-0000-0000-0000650C0000}"/>
    <cellStyle name="20% - Accent1 8 5 2 2" xfId="19492" xr:uid="{00000000-0005-0000-0000-0000660C0000}"/>
    <cellStyle name="20% - Accent1 8 5 2 2 2" xfId="42094" xr:uid="{00000000-0005-0000-0000-0000670C0000}"/>
    <cellStyle name="20% - Accent1 8 5 2 3" xfId="30793" xr:uid="{00000000-0005-0000-0000-0000680C0000}"/>
    <cellStyle name="20% - Accent1 8 5 3" xfId="13842" xr:uid="{00000000-0005-0000-0000-0000690C0000}"/>
    <cellStyle name="20% - Accent1 8 5 3 2" xfId="36444" xr:uid="{00000000-0005-0000-0000-00006A0C0000}"/>
    <cellStyle name="20% - Accent1 8 5 4" xfId="25143" xr:uid="{00000000-0005-0000-0000-00006B0C0000}"/>
    <cellStyle name="20% - Accent1 8 6" xfId="4140" xr:uid="{00000000-0005-0000-0000-00006C0C0000}"/>
    <cellStyle name="20% - Accent1 8 6 2" xfId="9790" xr:uid="{00000000-0005-0000-0000-00006D0C0000}"/>
    <cellStyle name="20% - Accent1 8 6 2 2" xfId="21091" xr:uid="{00000000-0005-0000-0000-00006E0C0000}"/>
    <cellStyle name="20% - Accent1 8 6 2 2 2" xfId="43693" xr:uid="{00000000-0005-0000-0000-00006F0C0000}"/>
    <cellStyle name="20% - Accent1 8 6 2 3" xfId="32392" xr:uid="{00000000-0005-0000-0000-0000700C0000}"/>
    <cellStyle name="20% - Accent1 8 6 3" xfId="15441" xr:uid="{00000000-0005-0000-0000-0000710C0000}"/>
    <cellStyle name="20% - Accent1 8 6 3 2" xfId="38043" xr:uid="{00000000-0005-0000-0000-0000720C0000}"/>
    <cellStyle name="20% - Accent1 8 6 4" xfId="26742" xr:uid="{00000000-0005-0000-0000-0000730C0000}"/>
    <cellStyle name="20% - Accent1 8 7" xfId="6591" xr:uid="{00000000-0005-0000-0000-0000740C0000}"/>
    <cellStyle name="20% - Accent1 8 7 2" xfId="17892" xr:uid="{00000000-0005-0000-0000-0000750C0000}"/>
    <cellStyle name="20% - Accent1 8 7 2 2" xfId="40494" xr:uid="{00000000-0005-0000-0000-0000760C0000}"/>
    <cellStyle name="20% - Accent1 8 7 3" xfId="29193" xr:uid="{00000000-0005-0000-0000-0000770C0000}"/>
    <cellStyle name="20% - Accent1 8 8" xfId="12242" xr:uid="{00000000-0005-0000-0000-0000780C0000}"/>
    <cellStyle name="20% - Accent1 8 8 2" xfId="34844" xr:uid="{00000000-0005-0000-0000-0000790C0000}"/>
    <cellStyle name="20% - Accent1 8 9" xfId="23543" xr:uid="{00000000-0005-0000-0000-00007A0C0000}"/>
    <cellStyle name="20% - Accent1 9" xfId="696" xr:uid="{00000000-0005-0000-0000-00007B0C0000}"/>
    <cellStyle name="20% - Accent1 9 2" xfId="751" xr:uid="{00000000-0005-0000-0000-00007C0C0000}"/>
    <cellStyle name="20% - Accent1 9 2 2" xfId="3166" xr:uid="{00000000-0005-0000-0000-00007D0C0000}"/>
    <cellStyle name="20% - Accent1 9 2 2 2" xfId="6138" xr:uid="{00000000-0005-0000-0000-00007E0C0000}"/>
    <cellStyle name="20% - Accent1 9 2 2 2 2" xfId="11788" xr:uid="{00000000-0005-0000-0000-00007F0C0000}"/>
    <cellStyle name="20% - Accent1 9 2 2 2 2 2" xfId="23089" xr:uid="{00000000-0005-0000-0000-0000800C0000}"/>
    <cellStyle name="20% - Accent1 9 2 2 2 2 2 2" xfId="45691" xr:uid="{00000000-0005-0000-0000-0000810C0000}"/>
    <cellStyle name="20% - Accent1 9 2 2 2 2 3" xfId="34390" xr:uid="{00000000-0005-0000-0000-0000820C0000}"/>
    <cellStyle name="20% - Accent1 9 2 2 2 3" xfId="17439" xr:uid="{00000000-0005-0000-0000-0000830C0000}"/>
    <cellStyle name="20% - Accent1 9 2 2 2 3 2" xfId="40041" xr:uid="{00000000-0005-0000-0000-0000840C0000}"/>
    <cellStyle name="20% - Accent1 9 2 2 2 4" xfId="28740" xr:uid="{00000000-0005-0000-0000-0000850C0000}"/>
    <cellStyle name="20% - Accent1 9 2 2 3" xfId="8956" xr:uid="{00000000-0005-0000-0000-0000860C0000}"/>
    <cellStyle name="20% - Accent1 9 2 2 3 2" xfId="20257" xr:uid="{00000000-0005-0000-0000-0000870C0000}"/>
    <cellStyle name="20% - Accent1 9 2 2 3 2 2" xfId="42859" xr:uid="{00000000-0005-0000-0000-0000880C0000}"/>
    <cellStyle name="20% - Accent1 9 2 2 3 3" xfId="31558" xr:uid="{00000000-0005-0000-0000-0000890C0000}"/>
    <cellStyle name="20% - Accent1 9 2 2 4" xfId="14607" xr:uid="{00000000-0005-0000-0000-00008A0C0000}"/>
    <cellStyle name="20% - Accent1 9 2 2 4 2" xfId="37209" xr:uid="{00000000-0005-0000-0000-00008B0C0000}"/>
    <cellStyle name="20% - Accent1 9 2 2 5" xfId="25908" xr:uid="{00000000-0005-0000-0000-00008C0C0000}"/>
    <cellStyle name="20% - Accent1 9 2 3" xfId="4904" xr:uid="{00000000-0005-0000-0000-00008D0C0000}"/>
    <cellStyle name="20% - Accent1 9 2 3 2" xfId="10554" xr:uid="{00000000-0005-0000-0000-00008E0C0000}"/>
    <cellStyle name="20% - Accent1 9 2 3 2 2" xfId="21855" xr:uid="{00000000-0005-0000-0000-00008F0C0000}"/>
    <cellStyle name="20% - Accent1 9 2 3 2 2 2" xfId="44457" xr:uid="{00000000-0005-0000-0000-0000900C0000}"/>
    <cellStyle name="20% - Accent1 9 2 3 2 3" xfId="33156" xr:uid="{00000000-0005-0000-0000-0000910C0000}"/>
    <cellStyle name="20% - Accent1 9 2 3 3" xfId="16205" xr:uid="{00000000-0005-0000-0000-0000920C0000}"/>
    <cellStyle name="20% - Accent1 9 2 3 3 2" xfId="38807" xr:uid="{00000000-0005-0000-0000-0000930C0000}"/>
    <cellStyle name="20% - Accent1 9 2 3 4" xfId="27506" xr:uid="{00000000-0005-0000-0000-0000940C0000}"/>
    <cellStyle name="20% - Accent1 9 2 4" xfId="6780" xr:uid="{00000000-0005-0000-0000-0000950C0000}"/>
    <cellStyle name="20% - Accent1 9 2 4 2" xfId="18081" xr:uid="{00000000-0005-0000-0000-0000960C0000}"/>
    <cellStyle name="20% - Accent1 9 2 4 2 2" xfId="40683" xr:uid="{00000000-0005-0000-0000-0000970C0000}"/>
    <cellStyle name="20% - Accent1 9 2 4 3" xfId="29382" xr:uid="{00000000-0005-0000-0000-0000980C0000}"/>
    <cellStyle name="20% - Accent1 9 2 5" xfId="12431" xr:uid="{00000000-0005-0000-0000-0000990C0000}"/>
    <cellStyle name="20% - Accent1 9 2 5 2" xfId="35033" xr:uid="{00000000-0005-0000-0000-00009A0C0000}"/>
    <cellStyle name="20% - Accent1 9 2 6" xfId="23732" xr:uid="{00000000-0005-0000-0000-00009B0C0000}"/>
    <cellStyle name="20% - Accent1 9 3" xfId="1584" xr:uid="{00000000-0005-0000-0000-00009C0C0000}"/>
    <cellStyle name="20% - Accent1 9 3 2" xfId="3487" xr:uid="{00000000-0005-0000-0000-00009D0C0000}"/>
    <cellStyle name="20% - Accent1 9 3 2 2" xfId="9270" xr:uid="{00000000-0005-0000-0000-00009E0C0000}"/>
    <cellStyle name="20% - Accent1 9 3 2 2 2" xfId="20571" xr:uid="{00000000-0005-0000-0000-00009F0C0000}"/>
    <cellStyle name="20% - Accent1 9 3 2 2 2 2" xfId="43173" xr:uid="{00000000-0005-0000-0000-0000A00C0000}"/>
    <cellStyle name="20% - Accent1 9 3 2 2 3" xfId="31872" xr:uid="{00000000-0005-0000-0000-0000A10C0000}"/>
    <cellStyle name="20% - Accent1 9 3 2 3" xfId="14921" xr:uid="{00000000-0005-0000-0000-0000A20C0000}"/>
    <cellStyle name="20% - Accent1 9 3 2 3 2" xfId="37523" xr:uid="{00000000-0005-0000-0000-0000A30C0000}"/>
    <cellStyle name="20% - Accent1 9 3 2 4" xfId="26222" xr:uid="{00000000-0005-0000-0000-0000A40C0000}"/>
    <cellStyle name="20% - Accent1 9 3 3" xfId="5514" xr:uid="{00000000-0005-0000-0000-0000A50C0000}"/>
    <cellStyle name="20% - Accent1 9 3 3 2" xfId="11164" xr:uid="{00000000-0005-0000-0000-0000A60C0000}"/>
    <cellStyle name="20% - Accent1 9 3 3 2 2" xfId="22465" xr:uid="{00000000-0005-0000-0000-0000A70C0000}"/>
    <cellStyle name="20% - Accent1 9 3 3 2 2 2" xfId="45067" xr:uid="{00000000-0005-0000-0000-0000A80C0000}"/>
    <cellStyle name="20% - Accent1 9 3 3 2 3" xfId="33766" xr:uid="{00000000-0005-0000-0000-0000A90C0000}"/>
    <cellStyle name="20% - Accent1 9 3 3 3" xfId="16815" xr:uid="{00000000-0005-0000-0000-0000AA0C0000}"/>
    <cellStyle name="20% - Accent1 9 3 3 3 2" xfId="39417" xr:uid="{00000000-0005-0000-0000-0000AB0C0000}"/>
    <cellStyle name="20% - Accent1 9 3 3 4" xfId="28116" xr:uid="{00000000-0005-0000-0000-0000AC0C0000}"/>
    <cellStyle name="20% - Accent1 9 3 4" xfId="7440" xr:uid="{00000000-0005-0000-0000-0000AD0C0000}"/>
    <cellStyle name="20% - Accent1 9 3 4 2" xfId="18741" xr:uid="{00000000-0005-0000-0000-0000AE0C0000}"/>
    <cellStyle name="20% - Accent1 9 3 4 2 2" xfId="41343" xr:uid="{00000000-0005-0000-0000-0000AF0C0000}"/>
    <cellStyle name="20% - Accent1 9 3 4 3" xfId="30042" xr:uid="{00000000-0005-0000-0000-0000B00C0000}"/>
    <cellStyle name="20% - Accent1 9 3 5" xfId="13091" xr:uid="{00000000-0005-0000-0000-0000B10C0000}"/>
    <cellStyle name="20% - Accent1 9 3 5 2" xfId="35693" xr:uid="{00000000-0005-0000-0000-0000B20C0000}"/>
    <cellStyle name="20% - Accent1 9 3 6" xfId="24392" xr:uid="{00000000-0005-0000-0000-0000B30C0000}"/>
    <cellStyle name="20% - Accent1 9 4" xfId="2495" xr:uid="{00000000-0005-0000-0000-0000B40C0000}"/>
    <cellStyle name="20% - Accent1 9 4 2" xfId="8331" xr:uid="{00000000-0005-0000-0000-0000B50C0000}"/>
    <cellStyle name="20% - Accent1 9 4 2 2" xfId="19632" xr:uid="{00000000-0005-0000-0000-0000B60C0000}"/>
    <cellStyle name="20% - Accent1 9 4 2 2 2" xfId="42234" xr:uid="{00000000-0005-0000-0000-0000B70C0000}"/>
    <cellStyle name="20% - Accent1 9 4 2 3" xfId="30933" xr:uid="{00000000-0005-0000-0000-0000B80C0000}"/>
    <cellStyle name="20% - Accent1 9 4 3" xfId="13982" xr:uid="{00000000-0005-0000-0000-0000B90C0000}"/>
    <cellStyle name="20% - Accent1 9 4 3 2" xfId="36584" xr:uid="{00000000-0005-0000-0000-0000BA0C0000}"/>
    <cellStyle name="20% - Accent1 9 4 4" xfId="25283" xr:uid="{00000000-0005-0000-0000-0000BB0C0000}"/>
    <cellStyle name="20% - Accent1 9 5" xfId="4280" xr:uid="{00000000-0005-0000-0000-0000BC0C0000}"/>
    <cellStyle name="20% - Accent1 9 5 2" xfId="9930" xr:uid="{00000000-0005-0000-0000-0000BD0C0000}"/>
    <cellStyle name="20% - Accent1 9 5 2 2" xfId="21231" xr:uid="{00000000-0005-0000-0000-0000BE0C0000}"/>
    <cellStyle name="20% - Accent1 9 5 2 2 2" xfId="43833" xr:uid="{00000000-0005-0000-0000-0000BF0C0000}"/>
    <cellStyle name="20% - Accent1 9 5 2 3" xfId="32532" xr:uid="{00000000-0005-0000-0000-0000C00C0000}"/>
    <cellStyle name="20% - Accent1 9 5 3" xfId="15581" xr:uid="{00000000-0005-0000-0000-0000C10C0000}"/>
    <cellStyle name="20% - Accent1 9 5 3 2" xfId="38183" xr:uid="{00000000-0005-0000-0000-0000C20C0000}"/>
    <cellStyle name="20% - Accent1 9 5 4" xfId="26882" xr:uid="{00000000-0005-0000-0000-0000C30C0000}"/>
    <cellStyle name="20% - Accent1 9 6" xfId="6759" xr:uid="{00000000-0005-0000-0000-0000C40C0000}"/>
    <cellStyle name="20% - Accent1 9 6 2" xfId="18060" xr:uid="{00000000-0005-0000-0000-0000C50C0000}"/>
    <cellStyle name="20% - Accent1 9 6 2 2" xfId="40662" xr:uid="{00000000-0005-0000-0000-0000C60C0000}"/>
    <cellStyle name="20% - Accent1 9 6 3" xfId="29361" xr:uid="{00000000-0005-0000-0000-0000C70C0000}"/>
    <cellStyle name="20% - Accent1 9 7" xfId="12410" xr:uid="{00000000-0005-0000-0000-0000C80C0000}"/>
    <cellStyle name="20% - Accent1 9 7 2" xfId="35012" xr:uid="{00000000-0005-0000-0000-0000C90C0000}"/>
    <cellStyle name="20% - Accent1 9 8" xfId="23711" xr:uid="{00000000-0005-0000-0000-0000CA0C0000}"/>
    <cellStyle name="20% - Accent2" xfId="23" builtinId="34" customBuiltin="1"/>
    <cellStyle name="20% - Accent2 10" xfId="798" xr:uid="{00000000-0005-0000-0000-0000CC0C0000}"/>
    <cellStyle name="20% - Accent2 10 2" xfId="1585" xr:uid="{00000000-0005-0000-0000-0000CD0C0000}"/>
    <cellStyle name="20% - Accent2 10 2 2" xfId="3205" xr:uid="{00000000-0005-0000-0000-0000CE0C0000}"/>
    <cellStyle name="20% - Accent2 10 2 2 2" xfId="6177" xr:uid="{00000000-0005-0000-0000-0000CF0C0000}"/>
    <cellStyle name="20% - Accent2 10 2 2 2 2" xfId="11827" xr:uid="{00000000-0005-0000-0000-0000D00C0000}"/>
    <cellStyle name="20% - Accent2 10 2 2 2 2 2" xfId="23128" xr:uid="{00000000-0005-0000-0000-0000D10C0000}"/>
    <cellStyle name="20% - Accent2 10 2 2 2 2 2 2" xfId="45730" xr:uid="{00000000-0005-0000-0000-0000D20C0000}"/>
    <cellStyle name="20% - Accent2 10 2 2 2 2 3" xfId="34429" xr:uid="{00000000-0005-0000-0000-0000D30C0000}"/>
    <cellStyle name="20% - Accent2 10 2 2 2 3" xfId="17478" xr:uid="{00000000-0005-0000-0000-0000D40C0000}"/>
    <cellStyle name="20% - Accent2 10 2 2 2 3 2" xfId="40080" xr:uid="{00000000-0005-0000-0000-0000D50C0000}"/>
    <cellStyle name="20% - Accent2 10 2 2 2 4" xfId="28779" xr:uid="{00000000-0005-0000-0000-0000D60C0000}"/>
    <cellStyle name="20% - Accent2 10 2 2 3" xfId="8995" xr:uid="{00000000-0005-0000-0000-0000D70C0000}"/>
    <cellStyle name="20% - Accent2 10 2 2 3 2" xfId="20296" xr:uid="{00000000-0005-0000-0000-0000D80C0000}"/>
    <cellStyle name="20% - Accent2 10 2 2 3 2 2" xfId="42898" xr:uid="{00000000-0005-0000-0000-0000D90C0000}"/>
    <cellStyle name="20% - Accent2 10 2 2 3 3" xfId="31597" xr:uid="{00000000-0005-0000-0000-0000DA0C0000}"/>
    <cellStyle name="20% - Accent2 10 2 2 4" xfId="14646" xr:uid="{00000000-0005-0000-0000-0000DB0C0000}"/>
    <cellStyle name="20% - Accent2 10 2 2 4 2" xfId="37248" xr:uid="{00000000-0005-0000-0000-0000DC0C0000}"/>
    <cellStyle name="20% - Accent2 10 2 2 5" xfId="25947" xr:uid="{00000000-0005-0000-0000-0000DD0C0000}"/>
    <cellStyle name="20% - Accent2 10 2 3" xfId="4943" xr:uid="{00000000-0005-0000-0000-0000DE0C0000}"/>
    <cellStyle name="20% - Accent2 10 2 3 2" xfId="10593" xr:uid="{00000000-0005-0000-0000-0000DF0C0000}"/>
    <cellStyle name="20% - Accent2 10 2 3 2 2" xfId="21894" xr:uid="{00000000-0005-0000-0000-0000E00C0000}"/>
    <cellStyle name="20% - Accent2 10 2 3 2 2 2" xfId="44496" xr:uid="{00000000-0005-0000-0000-0000E10C0000}"/>
    <cellStyle name="20% - Accent2 10 2 3 2 3" xfId="33195" xr:uid="{00000000-0005-0000-0000-0000E20C0000}"/>
    <cellStyle name="20% - Accent2 10 2 3 3" xfId="16244" xr:uid="{00000000-0005-0000-0000-0000E30C0000}"/>
    <cellStyle name="20% - Accent2 10 2 3 3 2" xfId="38846" xr:uid="{00000000-0005-0000-0000-0000E40C0000}"/>
    <cellStyle name="20% - Accent2 10 2 3 4" xfId="27545" xr:uid="{00000000-0005-0000-0000-0000E50C0000}"/>
    <cellStyle name="20% - Accent2 10 2 4" xfId="7441" xr:uid="{00000000-0005-0000-0000-0000E60C0000}"/>
    <cellStyle name="20% - Accent2 10 2 4 2" xfId="18742" xr:uid="{00000000-0005-0000-0000-0000E70C0000}"/>
    <cellStyle name="20% - Accent2 10 2 4 2 2" xfId="41344" xr:uid="{00000000-0005-0000-0000-0000E80C0000}"/>
    <cellStyle name="20% - Accent2 10 2 4 3" xfId="30043" xr:uid="{00000000-0005-0000-0000-0000E90C0000}"/>
    <cellStyle name="20% - Accent2 10 2 5" xfId="13092" xr:uid="{00000000-0005-0000-0000-0000EA0C0000}"/>
    <cellStyle name="20% - Accent2 10 2 5 2" xfId="35694" xr:uid="{00000000-0005-0000-0000-0000EB0C0000}"/>
    <cellStyle name="20% - Accent2 10 2 6" xfId="24393" xr:uid="{00000000-0005-0000-0000-0000EC0C0000}"/>
    <cellStyle name="20% - Accent2 10 3" xfId="2534" xr:uid="{00000000-0005-0000-0000-0000ED0C0000}"/>
    <cellStyle name="20% - Accent2 10 3 2" xfId="5553" xr:uid="{00000000-0005-0000-0000-0000EE0C0000}"/>
    <cellStyle name="20% - Accent2 10 3 2 2" xfId="11203" xr:uid="{00000000-0005-0000-0000-0000EF0C0000}"/>
    <cellStyle name="20% - Accent2 10 3 2 2 2" xfId="22504" xr:uid="{00000000-0005-0000-0000-0000F00C0000}"/>
    <cellStyle name="20% - Accent2 10 3 2 2 2 2" xfId="45106" xr:uid="{00000000-0005-0000-0000-0000F10C0000}"/>
    <cellStyle name="20% - Accent2 10 3 2 2 3" xfId="33805" xr:uid="{00000000-0005-0000-0000-0000F20C0000}"/>
    <cellStyle name="20% - Accent2 10 3 2 3" xfId="16854" xr:uid="{00000000-0005-0000-0000-0000F30C0000}"/>
    <cellStyle name="20% - Accent2 10 3 2 3 2" xfId="39456" xr:uid="{00000000-0005-0000-0000-0000F40C0000}"/>
    <cellStyle name="20% - Accent2 10 3 2 4" xfId="28155" xr:uid="{00000000-0005-0000-0000-0000F50C0000}"/>
    <cellStyle name="20% - Accent2 10 3 3" xfId="8370" xr:uid="{00000000-0005-0000-0000-0000F60C0000}"/>
    <cellStyle name="20% - Accent2 10 3 3 2" xfId="19671" xr:uid="{00000000-0005-0000-0000-0000F70C0000}"/>
    <cellStyle name="20% - Accent2 10 3 3 2 2" xfId="42273" xr:uid="{00000000-0005-0000-0000-0000F80C0000}"/>
    <cellStyle name="20% - Accent2 10 3 3 3" xfId="30972" xr:uid="{00000000-0005-0000-0000-0000F90C0000}"/>
    <cellStyle name="20% - Accent2 10 3 4" xfId="14021" xr:uid="{00000000-0005-0000-0000-0000FA0C0000}"/>
    <cellStyle name="20% - Accent2 10 3 4 2" xfId="36623" xr:uid="{00000000-0005-0000-0000-0000FB0C0000}"/>
    <cellStyle name="20% - Accent2 10 3 5" xfId="25322" xr:uid="{00000000-0005-0000-0000-0000FC0C0000}"/>
    <cellStyle name="20% - Accent2 10 4" xfId="4319" xr:uid="{00000000-0005-0000-0000-0000FD0C0000}"/>
    <cellStyle name="20% - Accent2 10 4 2" xfId="9969" xr:uid="{00000000-0005-0000-0000-0000FE0C0000}"/>
    <cellStyle name="20% - Accent2 10 4 2 2" xfId="21270" xr:uid="{00000000-0005-0000-0000-0000FF0C0000}"/>
    <cellStyle name="20% - Accent2 10 4 2 2 2" xfId="43872" xr:uid="{00000000-0005-0000-0000-0000000D0000}"/>
    <cellStyle name="20% - Accent2 10 4 2 3" xfId="32571" xr:uid="{00000000-0005-0000-0000-0000010D0000}"/>
    <cellStyle name="20% - Accent2 10 4 3" xfId="15620" xr:uid="{00000000-0005-0000-0000-0000020D0000}"/>
    <cellStyle name="20% - Accent2 10 4 3 2" xfId="38222" xr:uid="{00000000-0005-0000-0000-0000030D0000}"/>
    <cellStyle name="20% - Accent2 10 4 4" xfId="26921" xr:uid="{00000000-0005-0000-0000-0000040D0000}"/>
    <cellStyle name="20% - Accent2 10 5" xfId="6809" xr:uid="{00000000-0005-0000-0000-0000050D0000}"/>
    <cellStyle name="20% - Accent2 10 5 2" xfId="18110" xr:uid="{00000000-0005-0000-0000-0000060D0000}"/>
    <cellStyle name="20% - Accent2 10 5 2 2" xfId="40712" xr:uid="{00000000-0005-0000-0000-0000070D0000}"/>
    <cellStyle name="20% - Accent2 10 5 3" xfId="29411" xr:uid="{00000000-0005-0000-0000-0000080D0000}"/>
    <cellStyle name="20% - Accent2 10 6" xfId="12460" xr:uid="{00000000-0005-0000-0000-0000090D0000}"/>
    <cellStyle name="20% - Accent2 10 6 2" xfId="35062" xr:uid="{00000000-0005-0000-0000-00000A0D0000}"/>
    <cellStyle name="20% - Accent2 10 7" xfId="23761" xr:uid="{00000000-0005-0000-0000-00000B0D0000}"/>
    <cellStyle name="20% - Accent2 11" xfId="1431" xr:uid="{00000000-0005-0000-0000-00000C0D0000}"/>
    <cellStyle name="20% - Accent2 11 2" xfId="1586" xr:uid="{00000000-0005-0000-0000-00000D0D0000}"/>
    <cellStyle name="20% - Accent2 11 2 2" xfId="3569" xr:uid="{00000000-0005-0000-0000-00000E0D0000}"/>
    <cellStyle name="20% - Accent2 11 2 2 2" xfId="9301" xr:uid="{00000000-0005-0000-0000-00000F0D0000}"/>
    <cellStyle name="20% - Accent2 11 2 2 2 2" xfId="20602" xr:uid="{00000000-0005-0000-0000-0000100D0000}"/>
    <cellStyle name="20% - Accent2 11 2 2 2 2 2" xfId="43204" xr:uid="{00000000-0005-0000-0000-0000110D0000}"/>
    <cellStyle name="20% - Accent2 11 2 2 2 3" xfId="31903" xr:uid="{00000000-0005-0000-0000-0000120D0000}"/>
    <cellStyle name="20% - Accent2 11 2 2 3" xfId="14952" xr:uid="{00000000-0005-0000-0000-0000130D0000}"/>
    <cellStyle name="20% - Accent2 11 2 2 3 2" xfId="37554" xr:uid="{00000000-0005-0000-0000-0000140D0000}"/>
    <cellStyle name="20% - Accent2 11 2 2 4" xfId="26253" xr:uid="{00000000-0005-0000-0000-0000150D0000}"/>
    <cellStyle name="20% - Accent2 11 2 3" xfId="7442" xr:uid="{00000000-0005-0000-0000-0000160D0000}"/>
    <cellStyle name="20% - Accent2 11 2 3 2" xfId="18743" xr:uid="{00000000-0005-0000-0000-0000170D0000}"/>
    <cellStyle name="20% - Accent2 11 2 3 2 2" xfId="41345" xr:uid="{00000000-0005-0000-0000-0000180D0000}"/>
    <cellStyle name="20% - Accent2 11 2 3 3" xfId="30044" xr:uid="{00000000-0005-0000-0000-0000190D0000}"/>
    <cellStyle name="20% - Accent2 11 2 4" xfId="13093" xr:uid="{00000000-0005-0000-0000-00001A0D0000}"/>
    <cellStyle name="20% - Accent2 11 2 4 2" xfId="35695" xr:uid="{00000000-0005-0000-0000-00001B0D0000}"/>
    <cellStyle name="20% - Accent2 11 2 5" xfId="24394" xr:uid="{00000000-0005-0000-0000-00001C0D0000}"/>
    <cellStyle name="20% - Accent2 11 3" xfId="2178" xr:uid="{00000000-0005-0000-0000-00001D0D0000}"/>
    <cellStyle name="20% - Accent2 11 3 2" xfId="8022" xr:uid="{00000000-0005-0000-0000-00001E0D0000}"/>
    <cellStyle name="20% - Accent2 11 3 2 2" xfId="19323" xr:uid="{00000000-0005-0000-0000-00001F0D0000}"/>
    <cellStyle name="20% - Accent2 11 3 2 2 2" xfId="41925" xr:uid="{00000000-0005-0000-0000-0000200D0000}"/>
    <cellStyle name="20% - Accent2 11 3 2 3" xfId="30624" xr:uid="{00000000-0005-0000-0000-0000210D0000}"/>
    <cellStyle name="20% - Accent2 11 3 3" xfId="13673" xr:uid="{00000000-0005-0000-0000-0000220D0000}"/>
    <cellStyle name="20% - Accent2 11 3 3 2" xfId="36275" xr:uid="{00000000-0005-0000-0000-0000230D0000}"/>
    <cellStyle name="20% - Accent2 11 3 4" xfId="24974" xr:uid="{00000000-0005-0000-0000-0000240D0000}"/>
    <cellStyle name="20% - Accent2 11 4" xfId="3975" xr:uid="{00000000-0005-0000-0000-0000250D0000}"/>
    <cellStyle name="20% - Accent2 11 4 2" xfId="9625" xr:uid="{00000000-0005-0000-0000-0000260D0000}"/>
    <cellStyle name="20% - Accent2 11 4 2 2" xfId="20926" xr:uid="{00000000-0005-0000-0000-0000270D0000}"/>
    <cellStyle name="20% - Accent2 11 4 2 2 2" xfId="43528" xr:uid="{00000000-0005-0000-0000-0000280D0000}"/>
    <cellStyle name="20% - Accent2 11 4 2 3" xfId="32227" xr:uid="{00000000-0005-0000-0000-0000290D0000}"/>
    <cellStyle name="20% - Accent2 11 4 3" xfId="15276" xr:uid="{00000000-0005-0000-0000-00002A0D0000}"/>
    <cellStyle name="20% - Accent2 11 4 3 2" xfId="37878" xr:uid="{00000000-0005-0000-0000-00002B0D0000}"/>
    <cellStyle name="20% - Accent2 11 4 4" xfId="26577" xr:uid="{00000000-0005-0000-0000-00002C0D0000}"/>
    <cellStyle name="20% - Accent2 11 5" xfId="7383" xr:uid="{00000000-0005-0000-0000-00002D0D0000}"/>
    <cellStyle name="20% - Accent2 11 5 2" xfId="18684" xr:uid="{00000000-0005-0000-0000-00002E0D0000}"/>
    <cellStyle name="20% - Accent2 11 5 2 2" xfId="41286" xr:uid="{00000000-0005-0000-0000-00002F0D0000}"/>
    <cellStyle name="20% - Accent2 11 5 3" xfId="29985" xr:uid="{00000000-0005-0000-0000-0000300D0000}"/>
    <cellStyle name="20% - Accent2 11 6" xfId="13034" xr:uid="{00000000-0005-0000-0000-0000310D0000}"/>
    <cellStyle name="20% - Accent2 11 6 2" xfId="35636" xr:uid="{00000000-0005-0000-0000-0000320D0000}"/>
    <cellStyle name="20% - Accent2 11 7" xfId="24335" xr:uid="{00000000-0005-0000-0000-0000330D0000}"/>
    <cellStyle name="20% - Accent2 12" xfId="1529" xr:uid="{00000000-0005-0000-0000-0000340D0000}"/>
    <cellStyle name="20% - Accent2 12 2" xfId="3900" xr:uid="{00000000-0005-0000-0000-0000350D0000}"/>
    <cellStyle name="20% - Accent2 12 2 2" xfId="9600" xr:uid="{00000000-0005-0000-0000-0000360D0000}"/>
    <cellStyle name="20% - Accent2 12 2 2 2" xfId="20901" xr:uid="{00000000-0005-0000-0000-0000370D0000}"/>
    <cellStyle name="20% - Accent2 12 2 2 2 2" xfId="43503" xr:uid="{00000000-0005-0000-0000-0000380D0000}"/>
    <cellStyle name="20% - Accent2 12 2 2 3" xfId="32202" xr:uid="{00000000-0005-0000-0000-0000390D0000}"/>
    <cellStyle name="20% - Accent2 12 2 3" xfId="15251" xr:uid="{00000000-0005-0000-0000-00003A0D0000}"/>
    <cellStyle name="20% - Accent2 12 2 3 2" xfId="37853" xr:uid="{00000000-0005-0000-0000-00003B0D0000}"/>
    <cellStyle name="20% - Accent2 12 2 4" xfId="26552" xr:uid="{00000000-0005-0000-0000-00003C0D0000}"/>
    <cellStyle name="20% - Accent2 13" xfId="2208" xr:uid="{00000000-0005-0000-0000-00003D0D0000}"/>
    <cellStyle name="20% - Accent2 14" xfId="107" xr:uid="{00000000-0005-0000-0000-00003E0D0000}"/>
    <cellStyle name="20% - Accent2 2" xfId="50" xr:uid="{00000000-0005-0000-0000-00003F0D0000}"/>
    <cellStyle name="20% - Accent2 2 2" xfId="384" xr:uid="{00000000-0005-0000-0000-0000400D0000}"/>
    <cellStyle name="20% - Accent2 2 2 10" xfId="23485" xr:uid="{00000000-0005-0000-0000-0000410D0000}"/>
    <cellStyle name="20% - Accent2 2 2 2" xfId="635" xr:uid="{00000000-0005-0000-0000-0000420D0000}"/>
    <cellStyle name="20% - Accent2 2 2 2 2" xfId="1345" xr:uid="{00000000-0005-0000-0000-0000430D0000}"/>
    <cellStyle name="20% - Accent2 2 2 2 2 2" xfId="1589" xr:uid="{00000000-0005-0000-0000-0000440D0000}"/>
    <cellStyle name="20% - Accent2 2 2 2 2 2 2" xfId="3414" xr:uid="{00000000-0005-0000-0000-0000450D0000}"/>
    <cellStyle name="20% - Accent2 2 2 2 2 2 2 2" xfId="6386" xr:uid="{00000000-0005-0000-0000-0000460D0000}"/>
    <cellStyle name="20% - Accent2 2 2 2 2 2 2 2 2" xfId="12036" xr:uid="{00000000-0005-0000-0000-0000470D0000}"/>
    <cellStyle name="20% - Accent2 2 2 2 2 2 2 2 2 2" xfId="23337" xr:uid="{00000000-0005-0000-0000-0000480D0000}"/>
    <cellStyle name="20% - Accent2 2 2 2 2 2 2 2 2 2 2" xfId="45939" xr:uid="{00000000-0005-0000-0000-0000490D0000}"/>
    <cellStyle name="20% - Accent2 2 2 2 2 2 2 2 2 3" xfId="34638" xr:uid="{00000000-0005-0000-0000-00004A0D0000}"/>
    <cellStyle name="20% - Accent2 2 2 2 2 2 2 2 3" xfId="17687" xr:uid="{00000000-0005-0000-0000-00004B0D0000}"/>
    <cellStyle name="20% - Accent2 2 2 2 2 2 2 2 3 2" xfId="40289" xr:uid="{00000000-0005-0000-0000-00004C0D0000}"/>
    <cellStyle name="20% - Accent2 2 2 2 2 2 2 2 4" xfId="28988" xr:uid="{00000000-0005-0000-0000-00004D0D0000}"/>
    <cellStyle name="20% - Accent2 2 2 2 2 2 2 3" xfId="9204" xr:uid="{00000000-0005-0000-0000-00004E0D0000}"/>
    <cellStyle name="20% - Accent2 2 2 2 2 2 2 3 2" xfId="20505" xr:uid="{00000000-0005-0000-0000-00004F0D0000}"/>
    <cellStyle name="20% - Accent2 2 2 2 2 2 2 3 2 2" xfId="43107" xr:uid="{00000000-0005-0000-0000-0000500D0000}"/>
    <cellStyle name="20% - Accent2 2 2 2 2 2 2 3 3" xfId="31806" xr:uid="{00000000-0005-0000-0000-0000510D0000}"/>
    <cellStyle name="20% - Accent2 2 2 2 2 2 2 4" xfId="14855" xr:uid="{00000000-0005-0000-0000-0000520D0000}"/>
    <cellStyle name="20% - Accent2 2 2 2 2 2 2 4 2" xfId="37457" xr:uid="{00000000-0005-0000-0000-0000530D0000}"/>
    <cellStyle name="20% - Accent2 2 2 2 2 2 2 5" xfId="26156" xr:uid="{00000000-0005-0000-0000-0000540D0000}"/>
    <cellStyle name="20% - Accent2 2 2 2 2 2 3" xfId="5152" xr:uid="{00000000-0005-0000-0000-0000550D0000}"/>
    <cellStyle name="20% - Accent2 2 2 2 2 2 3 2" xfId="10802" xr:uid="{00000000-0005-0000-0000-0000560D0000}"/>
    <cellStyle name="20% - Accent2 2 2 2 2 2 3 2 2" xfId="22103" xr:uid="{00000000-0005-0000-0000-0000570D0000}"/>
    <cellStyle name="20% - Accent2 2 2 2 2 2 3 2 2 2" xfId="44705" xr:uid="{00000000-0005-0000-0000-0000580D0000}"/>
    <cellStyle name="20% - Accent2 2 2 2 2 2 3 2 3" xfId="33404" xr:uid="{00000000-0005-0000-0000-0000590D0000}"/>
    <cellStyle name="20% - Accent2 2 2 2 2 2 3 3" xfId="16453" xr:uid="{00000000-0005-0000-0000-00005A0D0000}"/>
    <cellStyle name="20% - Accent2 2 2 2 2 2 3 3 2" xfId="39055" xr:uid="{00000000-0005-0000-0000-00005B0D0000}"/>
    <cellStyle name="20% - Accent2 2 2 2 2 2 3 4" xfId="27754" xr:uid="{00000000-0005-0000-0000-00005C0D0000}"/>
    <cellStyle name="20% - Accent2 2 2 2 2 2 4" xfId="7445" xr:uid="{00000000-0005-0000-0000-00005D0D0000}"/>
    <cellStyle name="20% - Accent2 2 2 2 2 2 4 2" xfId="18746" xr:uid="{00000000-0005-0000-0000-00005E0D0000}"/>
    <cellStyle name="20% - Accent2 2 2 2 2 2 4 2 2" xfId="41348" xr:uid="{00000000-0005-0000-0000-00005F0D0000}"/>
    <cellStyle name="20% - Accent2 2 2 2 2 2 4 3" xfId="30047" xr:uid="{00000000-0005-0000-0000-0000600D0000}"/>
    <cellStyle name="20% - Accent2 2 2 2 2 2 5" xfId="13096" xr:uid="{00000000-0005-0000-0000-0000610D0000}"/>
    <cellStyle name="20% - Accent2 2 2 2 2 2 5 2" xfId="35698" xr:uid="{00000000-0005-0000-0000-0000620D0000}"/>
    <cellStyle name="20% - Accent2 2 2 2 2 2 6" xfId="24397" xr:uid="{00000000-0005-0000-0000-0000630D0000}"/>
    <cellStyle name="20% - Accent2 2 2 2 2 3" xfId="2743" xr:uid="{00000000-0005-0000-0000-0000640D0000}"/>
    <cellStyle name="20% - Accent2 2 2 2 2 3 2" xfId="5762" xr:uid="{00000000-0005-0000-0000-0000650D0000}"/>
    <cellStyle name="20% - Accent2 2 2 2 2 3 2 2" xfId="11412" xr:uid="{00000000-0005-0000-0000-0000660D0000}"/>
    <cellStyle name="20% - Accent2 2 2 2 2 3 2 2 2" xfId="22713" xr:uid="{00000000-0005-0000-0000-0000670D0000}"/>
    <cellStyle name="20% - Accent2 2 2 2 2 3 2 2 2 2" xfId="45315" xr:uid="{00000000-0005-0000-0000-0000680D0000}"/>
    <cellStyle name="20% - Accent2 2 2 2 2 3 2 2 3" xfId="34014" xr:uid="{00000000-0005-0000-0000-0000690D0000}"/>
    <cellStyle name="20% - Accent2 2 2 2 2 3 2 3" xfId="17063" xr:uid="{00000000-0005-0000-0000-00006A0D0000}"/>
    <cellStyle name="20% - Accent2 2 2 2 2 3 2 3 2" xfId="39665" xr:uid="{00000000-0005-0000-0000-00006B0D0000}"/>
    <cellStyle name="20% - Accent2 2 2 2 2 3 2 4" xfId="28364" xr:uid="{00000000-0005-0000-0000-00006C0D0000}"/>
    <cellStyle name="20% - Accent2 2 2 2 2 3 3" xfId="8579" xr:uid="{00000000-0005-0000-0000-00006D0D0000}"/>
    <cellStyle name="20% - Accent2 2 2 2 2 3 3 2" xfId="19880" xr:uid="{00000000-0005-0000-0000-00006E0D0000}"/>
    <cellStyle name="20% - Accent2 2 2 2 2 3 3 2 2" xfId="42482" xr:uid="{00000000-0005-0000-0000-00006F0D0000}"/>
    <cellStyle name="20% - Accent2 2 2 2 2 3 3 3" xfId="31181" xr:uid="{00000000-0005-0000-0000-0000700D0000}"/>
    <cellStyle name="20% - Accent2 2 2 2 2 3 4" xfId="14230" xr:uid="{00000000-0005-0000-0000-0000710D0000}"/>
    <cellStyle name="20% - Accent2 2 2 2 2 3 4 2" xfId="36832" xr:uid="{00000000-0005-0000-0000-0000720D0000}"/>
    <cellStyle name="20% - Accent2 2 2 2 2 3 5" xfId="25531" xr:uid="{00000000-0005-0000-0000-0000730D0000}"/>
    <cellStyle name="20% - Accent2 2 2 2 2 4" xfId="4528" xr:uid="{00000000-0005-0000-0000-0000740D0000}"/>
    <cellStyle name="20% - Accent2 2 2 2 2 4 2" xfId="10178" xr:uid="{00000000-0005-0000-0000-0000750D0000}"/>
    <cellStyle name="20% - Accent2 2 2 2 2 4 2 2" xfId="21479" xr:uid="{00000000-0005-0000-0000-0000760D0000}"/>
    <cellStyle name="20% - Accent2 2 2 2 2 4 2 2 2" xfId="44081" xr:uid="{00000000-0005-0000-0000-0000770D0000}"/>
    <cellStyle name="20% - Accent2 2 2 2 2 4 2 3" xfId="32780" xr:uid="{00000000-0005-0000-0000-0000780D0000}"/>
    <cellStyle name="20% - Accent2 2 2 2 2 4 3" xfId="15829" xr:uid="{00000000-0005-0000-0000-0000790D0000}"/>
    <cellStyle name="20% - Accent2 2 2 2 2 4 3 2" xfId="38431" xr:uid="{00000000-0005-0000-0000-00007A0D0000}"/>
    <cellStyle name="20% - Accent2 2 2 2 2 4 4" xfId="27130" xr:uid="{00000000-0005-0000-0000-00007B0D0000}"/>
    <cellStyle name="20% - Accent2 2 2 2 2 5" xfId="7324" xr:uid="{00000000-0005-0000-0000-00007C0D0000}"/>
    <cellStyle name="20% - Accent2 2 2 2 2 5 2" xfId="18625" xr:uid="{00000000-0005-0000-0000-00007D0D0000}"/>
    <cellStyle name="20% - Accent2 2 2 2 2 5 2 2" xfId="41227" xr:uid="{00000000-0005-0000-0000-00007E0D0000}"/>
    <cellStyle name="20% - Accent2 2 2 2 2 5 3" xfId="29926" xr:uid="{00000000-0005-0000-0000-00007F0D0000}"/>
    <cellStyle name="20% - Accent2 2 2 2 2 6" xfId="12975" xr:uid="{00000000-0005-0000-0000-0000800D0000}"/>
    <cellStyle name="20% - Accent2 2 2 2 2 6 2" xfId="35577" xr:uid="{00000000-0005-0000-0000-0000810D0000}"/>
    <cellStyle name="20% - Accent2 2 2 2 2 7" xfId="24276" xr:uid="{00000000-0005-0000-0000-0000820D0000}"/>
    <cellStyle name="20% - Accent2 2 2 2 3" xfId="1043" xr:uid="{00000000-0005-0000-0000-0000830D0000}"/>
    <cellStyle name="20% - Accent2 2 2 2 3 2" xfId="3106" xr:uid="{00000000-0005-0000-0000-0000840D0000}"/>
    <cellStyle name="20% - Accent2 2 2 2 3 2 2" xfId="6078" xr:uid="{00000000-0005-0000-0000-0000850D0000}"/>
    <cellStyle name="20% - Accent2 2 2 2 3 2 2 2" xfId="11728" xr:uid="{00000000-0005-0000-0000-0000860D0000}"/>
    <cellStyle name="20% - Accent2 2 2 2 3 2 2 2 2" xfId="23029" xr:uid="{00000000-0005-0000-0000-0000870D0000}"/>
    <cellStyle name="20% - Accent2 2 2 2 3 2 2 2 2 2" xfId="45631" xr:uid="{00000000-0005-0000-0000-0000880D0000}"/>
    <cellStyle name="20% - Accent2 2 2 2 3 2 2 2 3" xfId="34330" xr:uid="{00000000-0005-0000-0000-0000890D0000}"/>
    <cellStyle name="20% - Accent2 2 2 2 3 2 2 3" xfId="17379" xr:uid="{00000000-0005-0000-0000-00008A0D0000}"/>
    <cellStyle name="20% - Accent2 2 2 2 3 2 2 3 2" xfId="39981" xr:uid="{00000000-0005-0000-0000-00008B0D0000}"/>
    <cellStyle name="20% - Accent2 2 2 2 3 2 2 4" xfId="28680" xr:uid="{00000000-0005-0000-0000-00008C0D0000}"/>
    <cellStyle name="20% - Accent2 2 2 2 3 2 3" xfId="8896" xr:uid="{00000000-0005-0000-0000-00008D0D0000}"/>
    <cellStyle name="20% - Accent2 2 2 2 3 2 3 2" xfId="20197" xr:uid="{00000000-0005-0000-0000-00008E0D0000}"/>
    <cellStyle name="20% - Accent2 2 2 2 3 2 3 2 2" xfId="42799" xr:uid="{00000000-0005-0000-0000-00008F0D0000}"/>
    <cellStyle name="20% - Accent2 2 2 2 3 2 3 3" xfId="31498" xr:uid="{00000000-0005-0000-0000-0000900D0000}"/>
    <cellStyle name="20% - Accent2 2 2 2 3 2 4" xfId="14547" xr:uid="{00000000-0005-0000-0000-0000910D0000}"/>
    <cellStyle name="20% - Accent2 2 2 2 3 2 4 2" xfId="37149" xr:uid="{00000000-0005-0000-0000-0000920D0000}"/>
    <cellStyle name="20% - Accent2 2 2 2 3 2 5" xfId="25848" xr:uid="{00000000-0005-0000-0000-0000930D0000}"/>
    <cellStyle name="20% - Accent2 2 2 2 3 3" xfId="4844" xr:uid="{00000000-0005-0000-0000-0000940D0000}"/>
    <cellStyle name="20% - Accent2 2 2 2 3 3 2" xfId="10494" xr:uid="{00000000-0005-0000-0000-0000950D0000}"/>
    <cellStyle name="20% - Accent2 2 2 2 3 3 2 2" xfId="21795" xr:uid="{00000000-0005-0000-0000-0000960D0000}"/>
    <cellStyle name="20% - Accent2 2 2 2 3 3 2 2 2" xfId="44397" xr:uid="{00000000-0005-0000-0000-0000970D0000}"/>
    <cellStyle name="20% - Accent2 2 2 2 3 3 2 3" xfId="33096" xr:uid="{00000000-0005-0000-0000-0000980D0000}"/>
    <cellStyle name="20% - Accent2 2 2 2 3 3 3" xfId="16145" xr:uid="{00000000-0005-0000-0000-0000990D0000}"/>
    <cellStyle name="20% - Accent2 2 2 2 3 3 3 2" xfId="38747" xr:uid="{00000000-0005-0000-0000-00009A0D0000}"/>
    <cellStyle name="20% - Accent2 2 2 2 3 3 4" xfId="27446" xr:uid="{00000000-0005-0000-0000-00009B0D0000}"/>
    <cellStyle name="20% - Accent2 2 2 2 3 4" xfId="7031" xr:uid="{00000000-0005-0000-0000-00009C0D0000}"/>
    <cellStyle name="20% - Accent2 2 2 2 3 4 2" xfId="18332" xr:uid="{00000000-0005-0000-0000-00009D0D0000}"/>
    <cellStyle name="20% - Accent2 2 2 2 3 4 2 2" xfId="40934" xr:uid="{00000000-0005-0000-0000-00009E0D0000}"/>
    <cellStyle name="20% - Accent2 2 2 2 3 4 3" xfId="29633" xr:uid="{00000000-0005-0000-0000-00009F0D0000}"/>
    <cellStyle name="20% - Accent2 2 2 2 3 5" xfId="12682" xr:uid="{00000000-0005-0000-0000-0000A00D0000}"/>
    <cellStyle name="20% - Accent2 2 2 2 3 5 2" xfId="35284" xr:uid="{00000000-0005-0000-0000-0000A10D0000}"/>
    <cellStyle name="20% - Accent2 2 2 2 3 6" xfId="23983" xr:uid="{00000000-0005-0000-0000-0000A20D0000}"/>
    <cellStyle name="20% - Accent2 2 2 2 4" xfId="1588" xr:uid="{00000000-0005-0000-0000-0000A30D0000}"/>
    <cellStyle name="20% - Accent2 2 2 2 4 2" xfId="3521" xr:uid="{00000000-0005-0000-0000-0000A40D0000}"/>
    <cellStyle name="20% - Accent2 2 2 2 4 2 2" xfId="9282" xr:uid="{00000000-0005-0000-0000-0000A50D0000}"/>
    <cellStyle name="20% - Accent2 2 2 2 4 2 2 2" xfId="20583" xr:uid="{00000000-0005-0000-0000-0000A60D0000}"/>
    <cellStyle name="20% - Accent2 2 2 2 4 2 2 2 2" xfId="43185" xr:uid="{00000000-0005-0000-0000-0000A70D0000}"/>
    <cellStyle name="20% - Accent2 2 2 2 4 2 2 3" xfId="31884" xr:uid="{00000000-0005-0000-0000-0000A80D0000}"/>
    <cellStyle name="20% - Accent2 2 2 2 4 2 3" xfId="14933" xr:uid="{00000000-0005-0000-0000-0000A90D0000}"/>
    <cellStyle name="20% - Accent2 2 2 2 4 2 3 2" xfId="37535" xr:uid="{00000000-0005-0000-0000-0000AA0D0000}"/>
    <cellStyle name="20% - Accent2 2 2 2 4 2 4" xfId="26234" xr:uid="{00000000-0005-0000-0000-0000AB0D0000}"/>
    <cellStyle name="20% - Accent2 2 2 2 4 3" xfId="5454" xr:uid="{00000000-0005-0000-0000-0000AC0D0000}"/>
    <cellStyle name="20% - Accent2 2 2 2 4 3 2" xfId="11104" xr:uid="{00000000-0005-0000-0000-0000AD0D0000}"/>
    <cellStyle name="20% - Accent2 2 2 2 4 3 2 2" xfId="22405" xr:uid="{00000000-0005-0000-0000-0000AE0D0000}"/>
    <cellStyle name="20% - Accent2 2 2 2 4 3 2 2 2" xfId="45007" xr:uid="{00000000-0005-0000-0000-0000AF0D0000}"/>
    <cellStyle name="20% - Accent2 2 2 2 4 3 2 3" xfId="33706" xr:uid="{00000000-0005-0000-0000-0000B00D0000}"/>
    <cellStyle name="20% - Accent2 2 2 2 4 3 3" xfId="16755" xr:uid="{00000000-0005-0000-0000-0000B10D0000}"/>
    <cellStyle name="20% - Accent2 2 2 2 4 3 3 2" xfId="39357" xr:uid="{00000000-0005-0000-0000-0000B20D0000}"/>
    <cellStyle name="20% - Accent2 2 2 2 4 3 4" xfId="28056" xr:uid="{00000000-0005-0000-0000-0000B30D0000}"/>
    <cellStyle name="20% - Accent2 2 2 2 4 4" xfId="7444" xr:uid="{00000000-0005-0000-0000-0000B40D0000}"/>
    <cellStyle name="20% - Accent2 2 2 2 4 4 2" xfId="18745" xr:uid="{00000000-0005-0000-0000-0000B50D0000}"/>
    <cellStyle name="20% - Accent2 2 2 2 4 4 2 2" xfId="41347" xr:uid="{00000000-0005-0000-0000-0000B60D0000}"/>
    <cellStyle name="20% - Accent2 2 2 2 4 4 3" xfId="30046" xr:uid="{00000000-0005-0000-0000-0000B70D0000}"/>
    <cellStyle name="20% - Accent2 2 2 2 4 5" xfId="13095" xr:uid="{00000000-0005-0000-0000-0000B80D0000}"/>
    <cellStyle name="20% - Accent2 2 2 2 4 5 2" xfId="35697" xr:uid="{00000000-0005-0000-0000-0000B90D0000}"/>
    <cellStyle name="20% - Accent2 2 2 2 4 6" xfId="24396" xr:uid="{00000000-0005-0000-0000-0000BA0D0000}"/>
    <cellStyle name="20% - Accent2 2 2 2 5" xfId="2435" xr:uid="{00000000-0005-0000-0000-0000BB0D0000}"/>
    <cellStyle name="20% - Accent2 2 2 2 5 2" xfId="8271" xr:uid="{00000000-0005-0000-0000-0000BC0D0000}"/>
    <cellStyle name="20% - Accent2 2 2 2 5 2 2" xfId="19572" xr:uid="{00000000-0005-0000-0000-0000BD0D0000}"/>
    <cellStyle name="20% - Accent2 2 2 2 5 2 2 2" xfId="42174" xr:uid="{00000000-0005-0000-0000-0000BE0D0000}"/>
    <cellStyle name="20% - Accent2 2 2 2 5 2 3" xfId="30873" xr:uid="{00000000-0005-0000-0000-0000BF0D0000}"/>
    <cellStyle name="20% - Accent2 2 2 2 5 3" xfId="13922" xr:uid="{00000000-0005-0000-0000-0000C00D0000}"/>
    <cellStyle name="20% - Accent2 2 2 2 5 3 2" xfId="36524" xr:uid="{00000000-0005-0000-0000-0000C10D0000}"/>
    <cellStyle name="20% - Accent2 2 2 2 5 4" xfId="25223" xr:uid="{00000000-0005-0000-0000-0000C20D0000}"/>
    <cellStyle name="20% - Accent2 2 2 2 6" xfId="4220" xr:uid="{00000000-0005-0000-0000-0000C30D0000}"/>
    <cellStyle name="20% - Accent2 2 2 2 6 2" xfId="9870" xr:uid="{00000000-0005-0000-0000-0000C40D0000}"/>
    <cellStyle name="20% - Accent2 2 2 2 6 2 2" xfId="21171" xr:uid="{00000000-0005-0000-0000-0000C50D0000}"/>
    <cellStyle name="20% - Accent2 2 2 2 6 2 2 2" xfId="43773" xr:uid="{00000000-0005-0000-0000-0000C60D0000}"/>
    <cellStyle name="20% - Accent2 2 2 2 6 2 3" xfId="32472" xr:uid="{00000000-0005-0000-0000-0000C70D0000}"/>
    <cellStyle name="20% - Accent2 2 2 2 6 3" xfId="15521" xr:uid="{00000000-0005-0000-0000-0000C80D0000}"/>
    <cellStyle name="20% - Accent2 2 2 2 6 3 2" xfId="38123" xr:uid="{00000000-0005-0000-0000-0000C90D0000}"/>
    <cellStyle name="20% - Accent2 2 2 2 6 4" xfId="26822" xr:uid="{00000000-0005-0000-0000-0000CA0D0000}"/>
    <cellStyle name="20% - Accent2 2 2 2 7" xfId="6700" xr:uid="{00000000-0005-0000-0000-0000CB0D0000}"/>
    <cellStyle name="20% - Accent2 2 2 2 7 2" xfId="18001" xr:uid="{00000000-0005-0000-0000-0000CC0D0000}"/>
    <cellStyle name="20% - Accent2 2 2 2 7 2 2" xfId="40603" xr:uid="{00000000-0005-0000-0000-0000CD0D0000}"/>
    <cellStyle name="20% - Accent2 2 2 2 7 3" xfId="29302" xr:uid="{00000000-0005-0000-0000-0000CE0D0000}"/>
    <cellStyle name="20% - Accent2 2 2 2 8" xfId="12351" xr:uid="{00000000-0005-0000-0000-0000CF0D0000}"/>
    <cellStyle name="20% - Accent2 2 2 2 8 2" xfId="34953" xr:uid="{00000000-0005-0000-0000-0000D00D0000}"/>
    <cellStyle name="20% - Accent2 2 2 2 9" xfId="23652" xr:uid="{00000000-0005-0000-0000-0000D10D0000}"/>
    <cellStyle name="20% - Accent2 2 2 3" xfId="1207" xr:uid="{00000000-0005-0000-0000-0000D20D0000}"/>
    <cellStyle name="20% - Accent2 2 2 3 2" xfId="1590" xr:uid="{00000000-0005-0000-0000-0000D30D0000}"/>
    <cellStyle name="20% - Accent2 2 2 3 2 2" xfId="3275" xr:uid="{00000000-0005-0000-0000-0000D40D0000}"/>
    <cellStyle name="20% - Accent2 2 2 3 2 2 2" xfId="6247" xr:uid="{00000000-0005-0000-0000-0000D50D0000}"/>
    <cellStyle name="20% - Accent2 2 2 3 2 2 2 2" xfId="11897" xr:uid="{00000000-0005-0000-0000-0000D60D0000}"/>
    <cellStyle name="20% - Accent2 2 2 3 2 2 2 2 2" xfId="23198" xr:uid="{00000000-0005-0000-0000-0000D70D0000}"/>
    <cellStyle name="20% - Accent2 2 2 3 2 2 2 2 2 2" xfId="45800" xr:uid="{00000000-0005-0000-0000-0000D80D0000}"/>
    <cellStyle name="20% - Accent2 2 2 3 2 2 2 2 3" xfId="34499" xr:uid="{00000000-0005-0000-0000-0000D90D0000}"/>
    <cellStyle name="20% - Accent2 2 2 3 2 2 2 3" xfId="17548" xr:uid="{00000000-0005-0000-0000-0000DA0D0000}"/>
    <cellStyle name="20% - Accent2 2 2 3 2 2 2 3 2" xfId="40150" xr:uid="{00000000-0005-0000-0000-0000DB0D0000}"/>
    <cellStyle name="20% - Accent2 2 2 3 2 2 2 4" xfId="28849" xr:uid="{00000000-0005-0000-0000-0000DC0D0000}"/>
    <cellStyle name="20% - Accent2 2 2 3 2 2 3" xfId="9065" xr:uid="{00000000-0005-0000-0000-0000DD0D0000}"/>
    <cellStyle name="20% - Accent2 2 2 3 2 2 3 2" xfId="20366" xr:uid="{00000000-0005-0000-0000-0000DE0D0000}"/>
    <cellStyle name="20% - Accent2 2 2 3 2 2 3 2 2" xfId="42968" xr:uid="{00000000-0005-0000-0000-0000DF0D0000}"/>
    <cellStyle name="20% - Accent2 2 2 3 2 2 3 3" xfId="31667" xr:uid="{00000000-0005-0000-0000-0000E00D0000}"/>
    <cellStyle name="20% - Accent2 2 2 3 2 2 4" xfId="14716" xr:uid="{00000000-0005-0000-0000-0000E10D0000}"/>
    <cellStyle name="20% - Accent2 2 2 3 2 2 4 2" xfId="37318" xr:uid="{00000000-0005-0000-0000-0000E20D0000}"/>
    <cellStyle name="20% - Accent2 2 2 3 2 2 5" xfId="26017" xr:uid="{00000000-0005-0000-0000-0000E30D0000}"/>
    <cellStyle name="20% - Accent2 2 2 3 2 3" xfId="5013" xr:uid="{00000000-0005-0000-0000-0000E40D0000}"/>
    <cellStyle name="20% - Accent2 2 2 3 2 3 2" xfId="10663" xr:uid="{00000000-0005-0000-0000-0000E50D0000}"/>
    <cellStyle name="20% - Accent2 2 2 3 2 3 2 2" xfId="21964" xr:uid="{00000000-0005-0000-0000-0000E60D0000}"/>
    <cellStyle name="20% - Accent2 2 2 3 2 3 2 2 2" xfId="44566" xr:uid="{00000000-0005-0000-0000-0000E70D0000}"/>
    <cellStyle name="20% - Accent2 2 2 3 2 3 2 3" xfId="33265" xr:uid="{00000000-0005-0000-0000-0000E80D0000}"/>
    <cellStyle name="20% - Accent2 2 2 3 2 3 3" xfId="16314" xr:uid="{00000000-0005-0000-0000-0000E90D0000}"/>
    <cellStyle name="20% - Accent2 2 2 3 2 3 3 2" xfId="38916" xr:uid="{00000000-0005-0000-0000-0000EA0D0000}"/>
    <cellStyle name="20% - Accent2 2 2 3 2 3 4" xfId="27615" xr:uid="{00000000-0005-0000-0000-0000EB0D0000}"/>
    <cellStyle name="20% - Accent2 2 2 3 2 4" xfId="7446" xr:uid="{00000000-0005-0000-0000-0000EC0D0000}"/>
    <cellStyle name="20% - Accent2 2 2 3 2 4 2" xfId="18747" xr:uid="{00000000-0005-0000-0000-0000ED0D0000}"/>
    <cellStyle name="20% - Accent2 2 2 3 2 4 2 2" xfId="41349" xr:uid="{00000000-0005-0000-0000-0000EE0D0000}"/>
    <cellStyle name="20% - Accent2 2 2 3 2 4 3" xfId="30048" xr:uid="{00000000-0005-0000-0000-0000EF0D0000}"/>
    <cellStyle name="20% - Accent2 2 2 3 2 5" xfId="13097" xr:uid="{00000000-0005-0000-0000-0000F00D0000}"/>
    <cellStyle name="20% - Accent2 2 2 3 2 5 2" xfId="35699" xr:uid="{00000000-0005-0000-0000-0000F10D0000}"/>
    <cellStyle name="20% - Accent2 2 2 3 2 6" xfId="24398" xr:uid="{00000000-0005-0000-0000-0000F20D0000}"/>
    <cellStyle name="20% - Accent2 2 2 3 3" xfId="2604" xr:uid="{00000000-0005-0000-0000-0000F30D0000}"/>
    <cellStyle name="20% - Accent2 2 2 3 3 2" xfId="5623" xr:uid="{00000000-0005-0000-0000-0000F40D0000}"/>
    <cellStyle name="20% - Accent2 2 2 3 3 2 2" xfId="11273" xr:uid="{00000000-0005-0000-0000-0000F50D0000}"/>
    <cellStyle name="20% - Accent2 2 2 3 3 2 2 2" xfId="22574" xr:uid="{00000000-0005-0000-0000-0000F60D0000}"/>
    <cellStyle name="20% - Accent2 2 2 3 3 2 2 2 2" xfId="45176" xr:uid="{00000000-0005-0000-0000-0000F70D0000}"/>
    <cellStyle name="20% - Accent2 2 2 3 3 2 2 3" xfId="33875" xr:uid="{00000000-0005-0000-0000-0000F80D0000}"/>
    <cellStyle name="20% - Accent2 2 2 3 3 2 3" xfId="16924" xr:uid="{00000000-0005-0000-0000-0000F90D0000}"/>
    <cellStyle name="20% - Accent2 2 2 3 3 2 3 2" xfId="39526" xr:uid="{00000000-0005-0000-0000-0000FA0D0000}"/>
    <cellStyle name="20% - Accent2 2 2 3 3 2 4" xfId="28225" xr:uid="{00000000-0005-0000-0000-0000FB0D0000}"/>
    <cellStyle name="20% - Accent2 2 2 3 3 3" xfId="8440" xr:uid="{00000000-0005-0000-0000-0000FC0D0000}"/>
    <cellStyle name="20% - Accent2 2 2 3 3 3 2" xfId="19741" xr:uid="{00000000-0005-0000-0000-0000FD0D0000}"/>
    <cellStyle name="20% - Accent2 2 2 3 3 3 2 2" xfId="42343" xr:uid="{00000000-0005-0000-0000-0000FE0D0000}"/>
    <cellStyle name="20% - Accent2 2 2 3 3 3 3" xfId="31042" xr:uid="{00000000-0005-0000-0000-0000FF0D0000}"/>
    <cellStyle name="20% - Accent2 2 2 3 3 4" xfId="14091" xr:uid="{00000000-0005-0000-0000-0000000E0000}"/>
    <cellStyle name="20% - Accent2 2 2 3 3 4 2" xfId="36693" xr:uid="{00000000-0005-0000-0000-0000010E0000}"/>
    <cellStyle name="20% - Accent2 2 2 3 3 5" xfId="25392" xr:uid="{00000000-0005-0000-0000-0000020E0000}"/>
    <cellStyle name="20% - Accent2 2 2 3 4" xfId="4389" xr:uid="{00000000-0005-0000-0000-0000030E0000}"/>
    <cellStyle name="20% - Accent2 2 2 3 4 2" xfId="10039" xr:uid="{00000000-0005-0000-0000-0000040E0000}"/>
    <cellStyle name="20% - Accent2 2 2 3 4 2 2" xfId="21340" xr:uid="{00000000-0005-0000-0000-0000050E0000}"/>
    <cellStyle name="20% - Accent2 2 2 3 4 2 2 2" xfId="43942" xr:uid="{00000000-0005-0000-0000-0000060E0000}"/>
    <cellStyle name="20% - Accent2 2 2 3 4 2 3" xfId="32641" xr:uid="{00000000-0005-0000-0000-0000070E0000}"/>
    <cellStyle name="20% - Accent2 2 2 3 4 3" xfId="15690" xr:uid="{00000000-0005-0000-0000-0000080E0000}"/>
    <cellStyle name="20% - Accent2 2 2 3 4 3 2" xfId="38292" xr:uid="{00000000-0005-0000-0000-0000090E0000}"/>
    <cellStyle name="20% - Accent2 2 2 3 4 4" xfId="26991" xr:uid="{00000000-0005-0000-0000-00000A0E0000}"/>
    <cellStyle name="20% - Accent2 2 2 3 5" xfId="7186" xr:uid="{00000000-0005-0000-0000-00000B0E0000}"/>
    <cellStyle name="20% - Accent2 2 2 3 5 2" xfId="18487" xr:uid="{00000000-0005-0000-0000-00000C0E0000}"/>
    <cellStyle name="20% - Accent2 2 2 3 5 2 2" xfId="41089" xr:uid="{00000000-0005-0000-0000-00000D0E0000}"/>
    <cellStyle name="20% - Accent2 2 2 3 5 3" xfId="29788" xr:uid="{00000000-0005-0000-0000-00000E0E0000}"/>
    <cellStyle name="20% - Accent2 2 2 3 6" xfId="12837" xr:uid="{00000000-0005-0000-0000-00000F0E0000}"/>
    <cellStyle name="20% - Accent2 2 2 3 6 2" xfId="35439" xr:uid="{00000000-0005-0000-0000-0000100E0000}"/>
    <cellStyle name="20% - Accent2 2 2 3 7" xfId="24138" xr:uid="{00000000-0005-0000-0000-0000110E0000}"/>
    <cellStyle name="20% - Accent2 2 2 4" xfId="897" xr:uid="{00000000-0005-0000-0000-0000120E0000}"/>
    <cellStyle name="20% - Accent2 2 2 4 2" xfId="2968" xr:uid="{00000000-0005-0000-0000-0000130E0000}"/>
    <cellStyle name="20% - Accent2 2 2 4 2 2" xfId="5940" xr:uid="{00000000-0005-0000-0000-0000140E0000}"/>
    <cellStyle name="20% - Accent2 2 2 4 2 2 2" xfId="11590" xr:uid="{00000000-0005-0000-0000-0000150E0000}"/>
    <cellStyle name="20% - Accent2 2 2 4 2 2 2 2" xfId="22891" xr:uid="{00000000-0005-0000-0000-0000160E0000}"/>
    <cellStyle name="20% - Accent2 2 2 4 2 2 2 2 2" xfId="45493" xr:uid="{00000000-0005-0000-0000-0000170E0000}"/>
    <cellStyle name="20% - Accent2 2 2 4 2 2 2 3" xfId="34192" xr:uid="{00000000-0005-0000-0000-0000180E0000}"/>
    <cellStyle name="20% - Accent2 2 2 4 2 2 3" xfId="17241" xr:uid="{00000000-0005-0000-0000-0000190E0000}"/>
    <cellStyle name="20% - Accent2 2 2 4 2 2 3 2" xfId="39843" xr:uid="{00000000-0005-0000-0000-00001A0E0000}"/>
    <cellStyle name="20% - Accent2 2 2 4 2 2 4" xfId="28542" xr:uid="{00000000-0005-0000-0000-00001B0E0000}"/>
    <cellStyle name="20% - Accent2 2 2 4 2 3" xfId="8758" xr:uid="{00000000-0005-0000-0000-00001C0E0000}"/>
    <cellStyle name="20% - Accent2 2 2 4 2 3 2" xfId="20059" xr:uid="{00000000-0005-0000-0000-00001D0E0000}"/>
    <cellStyle name="20% - Accent2 2 2 4 2 3 2 2" xfId="42661" xr:uid="{00000000-0005-0000-0000-00001E0E0000}"/>
    <cellStyle name="20% - Accent2 2 2 4 2 3 3" xfId="31360" xr:uid="{00000000-0005-0000-0000-00001F0E0000}"/>
    <cellStyle name="20% - Accent2 2 2 4 2 4" xfId="14409" xr:uid="{00000000-0005-0000-0000-0000200E0000}"/>
    <cellStyle name="20% - Accent2 2 2 4 2 4 2" xfId="37011" xr:uid="{00000000-0005-0000-0000-0000210E0000}"/>
    <cellStyle name="20% - Accent2 2 2 4 2 5" xfId="25710" xr:uid="{00000000-0005-0000-0000-0000220E0000}"/>
    <cellStyle name="20% - Accent2 2 2 4 3" xfId="4706" xr:uid="{00000000-0005-0000-0000-0000230E0000}"/>
    <cellStyle name="20% - Accent2 2 2 4 3 2" xfId="10356" xr:uid="{00000000-0005-0000-0000-0000240E0000}"/>
    <cellStyle name="20% - Accent2 2 2 4 3 2 2" xfId="21657" xr:uid="{00000000-0005-0000-0000-0000250E0000}"/>
    <cellStyle name="20% - Accent2 2 2 4 3 2 2 2" xfId="44259" xr:uid="{00000000-0005-0000-0000-0000260E0000}"/>
    <cellStyle name="20% - Accent2 2 2 4 3 2 3" xfId="32958" xr:uid="{00000000-0005-0000-0000-0000270E0000}"/>
    <cellStyle name="20% - Accent2 2 2 4 3 3" xfId="16007" xr:uid="{00000000-0005-0000-0000-0000280E0000}"/>
    <cellStyle name="20% - Accent2 2 2 4 3 3 2" xfId="38609" xr:uid="{00000000-0005-0000-0000-0000290E0000}"/>
    <cellStyle name="20% - Accent2 2 2 4 3 4" xfId="27308" xr:uid="{00000000-0005-0000-0000-00002A0E0000}"/>
    <cellStyle name="20% - Accent2 2 2 4 4" xfId="6893" xr:uid="{00000000-0005-0000-0000-00002B0E0000}"/>
    <cellStyle name="20% - Accent2 2 2 4 4 2" xfId="18194" xr:uid="{00000000-0005-0000-0000-00002C0E0000}"/>
    <cellStyle name="20% - Accent2 2 2 4 4 2 2" xfId="40796" xr:uid="{00000000-0005-0000-0000-00002D0E0000}"/>
    <cellStyle name="20% - Accent2 2 2 4 4 3" xfId="29495" xr:uid="{00000000-0005-0000-0000-00002E0E0000}"/>
    <cellStyle name="20% - Accent2 2 2 4 5" xfId="12544" xr:uid="{00000000-0005-0000-0000-00002F0E0000}"/>
    <cellStyle name="20% - Accent2 2 2 4 5 2" xfId="35146" xr:uid="{00000000-0005-0000-0000-0000300E0000}"/>
    <cellStyle name="20% - Accent2 2 2 4 6" xfId="23845" xr:uid="{00000000-0005-0000-0000-0000310E0000}"/>
    <cellStyle name="20% - Accent2 2 2 5" xfId="1587" xr:uid="{00000000-0005-0000-0000-0000320E0000}"/>
    <cellStyle name="20% - Accent2 2 2 5 2" xfId="3514" xr:uid="{00000000-0005-0000-0000-0000330E0000}"/>
    <cellStyle name="20% - Accent2 2 2 5 2 2" xfId="9279" xr:uid="{00000000-0005-0000-0000-0000340E0000}"/>
    <cellStyle name="20% - Accent2 2 2 5 2 2 2" xfId="20580" xr:uid="{00000000-0005-0000-0000-0000350E0000}"/>
    <cellStyle name="20% - Accent2 2 2 5 2 2 2 2" xfId="43182" xr:uid="{00000000-0005-0000-0000-0000360E0000}"/>
    <cellStyle name="20% - Accent2 2 2 5 2 2 3" xfId="31881" xr:uid="{00000000-0005-0000-0000-0000370E0000}"/>
    <cellStyle name="20% - Accent2 2 2 5 2 3" xfId="14930" xr:uid="{00000000-0005-0000-0000-0000380E0000}"/>
    <cellStyle name="20% - Accent2 2 2 5 2 3 2" xfId="37532" xr:uid="{00000000-0005-0000-0000-0000390E0000}"/>
    <cellStyle name="20% - Accent2 2 2 5 2 4" xfId="26231" xr:uid="{00000000-0005-0000-0000-00003A0E0000}"/>
    <cellStyle name="20% - Accent2 2 2 5 3" xfId="5316" xr:uid="{00000000-0005-0000-0000-00003B0E0000}"/>
    <cellStyle name="20% - Accent2 2 2 5 3 2" xfId="10966" xr:uid="{00000000-0005-0000-0000-00003C0E0000}"/>
    <cellStyle name="20% - Accent2 2 2 5 3 2 2" xfId="22267" xr:uid="{00000000-0005-0000-0000-00003D0E0000}"/>
    <cellStyle name="20% - Accent2 2 2 5 3 2 2 2" xfId="44869" xr:uid="{00000000-0005-0000-0000-00003E0E0000}"/>
    <cellStyle name="20% - Accent2 2 2 5 3 2 3" xfId="33568" xr:uid="{00000000-0005-0000-0000-00003F0E0000}"/>
    <cellStyle name="20% - Accent2 2 2 5 3 3" xfId="16617" xr:uid="{00000000-0005-0000-0000-0000400E0000}"/>
    <cellStyle name="20% - Accent2 2 2 5 3 3 2" xfId="39219" xr:uid="{00000000-0005-0000-0000-0000410E0000}"/>
    <cellStyle name="20% - Accent2 2 2 5 3 4" xfId="27918" xr:uid="{00000000-0005-0000-0000-0000420E0000}"/>
    <cellStyle name="20% - Accent2 2 2 5 4" xfId="7443" xr:uid="{00000000-0005-0000-0000-0000430E0000}"/>
    <cellStyle name="20% - Accent2 2 2 5 4 2" xfId="18744" xr:uid="{00000000-0005-0000-0000-0000440E0000}"/>
    <cellStyle name="20% - Accent2 2 2 5 4 2 2" xfId="41346" xr:uid="{00000000-0005-0000-0000-0000450E0000}"/>
    <cellStyle name="20% - Accent2 2 2 5 4 3" xfId="30045" xr:uid="{00000000-0005-0000-0000-0000460E0000}"/>
    <cellStyle name="20% - Accent2 2 2 5 5" xfId="13094" xr:uid="{00000000-0005-0000-0000-0000470E0000}"/>
    <cellStyle name="20% - Accent2 2 2 5 5 2" xfId="35696" xr:uid="{00000000-0005-0000-0000-0000480E0000}"/>
    <cellStyle name="20% - Accent2 2 2 5 6" xfId="24395" xr:uid="{00000000-0005-0000-0000-0000490E0000}"/>
    <cellStyle name="20% - Accent2 2 2 6" xfId="2295" xr:uid="{00000000-0005-0000-0000-00004A0E0000}"/>
    <cellStyle name="20% - Accent2 2 2 6 2" xfId="8131" xr:uid="{00000000-0005-0000-0000-00004B0E0000}"/>
    <cellStyle name="20% - Accent2 2 2 6 2 2" xfId="19432" xr:uid="{00000000-0005-0000-0000-00004C0E0000}"/>
    <cellStyle name="20% - Accent2 2 2 6 2 2 2" xfId="42034" xr:uid="{00000000-0005-0000-0000-00004D0E0000}"/>
    <cellStyle name="20% - Accent2 2 2 6 2 3" xfId="30733" xr:uid="{00000000-0005-0000-0000-00004E0E0000}"/>
    <cellStyle name="20% - Accent2 2 2 6 3" xfId="13782" xr:uid="{00000000-0005-0000-0000-00004F0E0000}"/>
    <cellStyle name="20% - Accent2 2 2 6 3 2" xfId="36384" xr:uid="{00000000-0005-0000-0000-0000500E0000}"/>
    <cellStyle name="20% - Accent2 2 2 6 4" xfId="25083" xr:uid="{00000000-0005-0000-0000-0000510E0000}"/>
    <cellStyle name="20% - Accent2 2 2 7" xfId="4082" xr:uid="{00000000-0005-0000-0000-0000520E0000}"/>
    <cellStyle name="20% - Accent2 2 2 7 2" xfId="9732" xr:uid="{00000000-0005-0000-0000-0000530E0000}"/>
    <cellStyle name="20% - Accent2 2 2 7 2 2" xfId="21033" xr:uid="{00000000-0005-0000-0000-0000540E0000}"/>
    <cellStyle name="20% - Accent2 2 2 7 2 2 2" xfId="43635" xr:uid="{00000000-0005-0000-0000-0000550E0000}"/>
    <cellStyle name="20% - Accent2 2 2 7 2 3" xfId="32334" xr:uid="{00000000-0005-0000-0000-0000560E0000}"/>
    <cellStyle name="20% - Accent2 2 2 7 3" xfId="15383" xr:uid="{00000000-0005-0000-0000-0000570E0000}"/>
    <cellStyle name="20% - Accent2 2 2 7 3 2" xfId="37985" xr:uid="{00000000-0005-0000-0000-0000580E0000}"/>
    <cellStyle name="20% - Accent2 2 2 7 4" xfId="26684" xr:uid="{00000000-0005-0000-0000-0000590E0000}"/>
    <cellStyle name="20% - Accent2 2 2 8" xfId="6533" xr:uid="{00000000-0005-0000-0000-00005A0E0000}"/>
    <cellStyle name="20% - Accent2 2 2 8 2" xfId="17834" xr:uid="{00000000-0005-0000-0000-00005B0E0000}"/>
    <cellStyle name="20% - Accent2 2 2 8 2 2" xfId="40436" xr:uid="{00000000-0005-0000-0000-00005C0E0000}"/>
    <cellStyle name="20% - Accent2 2 2 8 3" xfId="29135" xr:uid="{00000000-0005-0000-0000-00005D0E0000}"/>
    <cellStyle name="20% - Accent2 2 2 9" xfId="12184" xr:uid="{00000000-0005-0000-0000-00005E0E0000}"/>
    <cellStyle name="20% - Accent2 2 2 9 2" xfId="34786" xr:uid="{00000000-0005-0000-0000-00005F0E0000}"/>
    <cellStyle name="20% - Accent2 2 3" xfId="2813" xr:uid="{00000000-0005-0000-0000-0000600E0000}"/>
    <cellStyle name="20% - Accent2 2 3 2" xfId="3539" xr:uid="{00000000-0005-0000-0000-0000610E0000}"/>
    <cellStyle name="20% - Accent2 2 3 2 2" xfId="5828" xr:uid="{00000000-0005-0000-0000-0000620E0000}"/>
    <cellStyle name="20% - Accent2 2 3 2 2 2" xfId="11478" xr:uid="{00000000-0005-0000-0000-0000630E0000}"/>
    <cellStyle name="20% - Accent2 2 3 2 2 2 2" xfId="22779" xr:uid="{00000000-0005-0000-0000-0000640E0000}"/>
    <cellStyle name="20% - Accent2 2 3 2 2 2 2 2" xfId="45381" xr:uid="{00000000-0005-0000-0000-0000650E0000}"/>
    <cellStyle name="20% - Accent2 2 3 2 2 2 3" xfId="34080" xr:uid="{00000000-0005-0000-0000-0000660E0000}"/>
    <cellStyle name="20% - Accent2 2 3 2 2 3" xfId="17129" xr:uid="{00000000-0005-0000-0000-0000670E0000}"/>
    <cellStyle name="20% - Accent2 2 3 2 2 3 2" xfId="39731" xr:uid="{00000000-0005-0000-0000-0000680E0000}"/>
    <cellStyle name="20% - Accent2 2 3 2 2 4" xfId="28430" xr:uid="{00000000-0005-0000-0000-0000690E0000}"/>
    <cellStyle name="20% - Accent2 2 3 2 3" xfId="9289" xr:uid="{00000000-0005-0000-0000-00006A0E0000}"/>
    <cellStyle name="20% - Accent2 2 3 2 3 2" xfId="20590" xr:uid="{00000000-0005-0000-0000-00006B0E0000}"/>
    <cellStyle name="20% - Accent2 2 3 2 3 2 2" xfId="43192" xr:uid="{00000000-0005-0000-0000-00006C0E0000}"/>
    <cellStyle name="20% - Accent2 2 3 2 3 3" xfId="31891" xr:uid="{00000000-0005-0000-0000-00006D0E0000}"/>
    <cellStyle name="20% - Accent2 2 3 2 4" xfId="14940" xr:uid="{00000000-0005-0000-0000-00006E0E0000}"/>
    <cellStyle name="20% - Accent2 2 3 2 4 2" xfId="37542" xr:uid="{00000000-0005-0000-0000-00006F0E0000}"/>
    <cellStyle name="20% - Accent2 2 3 2 5" xfId="26241" xr:uid="{00000000-0005-0000-0000-0000700E0000}"/>
    <cellStyle name="20% - Accent2 2 3 3" xfId="4594" xr:uid="{00000000-0005-0000-0000-0000710E0000}"/>
    <cellStyle name="20% - Accent2 2 3 3 2" xfId="10244" xr:uid="{00000000-0005-0000-0000-0000720E0000}"/>
    <cellStyle name="20% - Accent2 2 3 3 2 2" xfId="21545" xr:uid="{00000000-0005-0000-0000-0000730E0000}"/>
    <cellStyle name="20% - Accent2 2 3 3 2 2 2" xfId="44147" xr:uid="{00000000-0005-0000-0000-0000740E0000}"/>
    <cellStyle name="20% - Accent2 2 3 3 2 3" xfId="32846" xr:uid="{00000000-0005-0000-0000-0000750E0000}"/>
    <cellStyle name="20% - Accent2 2 3 3 3" xfId="15895" xr:uid="{00000000-0005-0000-0000-0000760E0000}"/>
    <cellStyle name="20% - Accent2 2 3 3 3 2" xfId="38497" xr:uid="{00000000-0005-0000-0000-0000770E0000}"/>
    <cellStyle name="20% - Accent2 2 3 3 4" xfId="27196" xr:uid="{00000000-0005-0000-0000-0000780E0000}"/>
    <cellStyle name="20% - Accent2 2 3 4" xfId="8646" xr:uid="{00000000-0005-0000-0000-0000790E0000}"/>
    <cellStyle name="20% - Accent2 2 3 4 2" xfId="19947" xr:uid="{00000000-0005-0000-0000-00007A0E0000}"/>
    <cellStyle name="20% - Accent2 2 3 4 2 2" xfId="42549" xr:uid="{00000000-0005-0000-0000-00007B0E0000}"/>
    <cellStyle name="20% - Accent2 2 3 4 3" xfId="31248" xr:uid="{00000000-0005-0000-0000-00007C0E0000}"/>
    <cellStyle name="20% - Accent2 2 3 5" xfId="14297" xr:uid="{00000000-0005-0000-0000-00007D0E0000}"/>
    <cellStyle name="20% - Accent2 2 3 5 2" xfId="36899" xr:uid="{00000000-0005-0000-0000-00007E0E0000}"/>
    <cellStyle name="20% - Accent2 2 3 6" xfId="25598" xr:uid="{00000000-0005-0000-0000-00007F0E0000}"/>
    <cellStyle name="20% - Accent2 2 4" xfId="2838" xr:uid="{00000000-0005-0000-0000-0000800E0000}"/>
    <cellStyle name="20% - Accent2 2 5" xfId="3905" xr:uid="{00000000-0005-0000-0000-0000810E0000}"/>
    <cellStyle name="20% - Accent2 2 5 2" xfId="9604" xr:uid="{00000000-0005-0000-0000-0000820E0000}"/>
    <cellStyle name="20% - Accent2 2 5 2 2" xfId="20905" xr:uid="{00000000-0005-0000-0000-0000830E0000}"/>
    <cellStyle name="20% - Accent2 2 5 2 2 2" xfId="43507" xr:uid="{00000000-0005-0000-0000-0000840E0000}"/>
    <cellStyle name="20% - Accent2 2 5 2 3" xfId="32206" xr:uid="{00000000-0005-0000-0000-0000850E0000}"/>
    <cellStyle name="20% - Accent2 2 5 3" xfId="15255" xr:uid="{00000000-0005-0000-0000-0000860E0000}"/>
    <cellStyle name="20% - Accent2 2 5 3 2" xfId="37857" xr:uid="{00000000-0005-0000-0000-0000870E0000}"/>
    <cellStyle name="20% - Accent2 2 5 4" xfId="26556" xr:uid="{00000000-0005-0000-0000-0000880E0000}"/>
    <cellStyle name="20% - Accent2 2 6" xfId="3719" xr:uid="{00000000-0005-0000-0000-0000890E0000}"/>
    <cellStyle name="20% - Accent2 2 7" xfId="158" xr:uid="{00000000-0005-0000-0000-00008A0E0000}"/>
    <cellStyle name="20% - Accent2 3" xfId="214" xr:uid="{00000000-0005-0000-0000-00008B0E0000}"/>
    <cellStyle name="20% - Accent2 3 2" xfId="344" xr:uid="{00000000-0005-0000-0000-00008C0E0000}"/>
    <cellStyle name="20% - Accent2 3 2 10" xfId="23455" xr:uid="{00000000-0005-0000-0000-00008D0E0000}"/>
    <cellStyle name="20% - Accent2 3 2 2" xfId="605" xr:uid="{00000000-0005-0000-0000-00008E0E0000}"/>
    <cellStyle name="20% - Accent2 3 2 2 2" xfId="1315" xr:uid="{00000000-0005-0000-0000-00008F0E0000}"/>
    <cellStyle name="20% - Accent2 3 2 2 2 2" xfId="1593" xr:uid="{00000000-0005-0000-0000-0000900E0000}"/>
    <cellStyle name="20% - Accent2 3 2 2 2 2 2" xfId="3384" xr:uid="{00000000-0005-0000-0000-0000910E0000}"/>
    <cellStyle name="20% - Accent2 3 2 2 2 2 2 2" xfId="6356" xr:uid="{00000000-0005-0000-0000-0000920E0000}"/>
    <cellStyle name="20% - Accent2 3 2 2 2 2 2 2 2" xfId="12006" xr:uid="{00000000-0005-0000-0000-0000930E0000}"/>
    <cellStyle name="20% - Accent2 3 2 2 2 2 2 2 2 2" xfId="23307" xr:uid="{00000000-0005-0000-0000-0000940E0000}"/>
    <cellStyle name="20% - Accent2 3 2 2 2 2 2 2 2 2 2" xfId="45909" xr:uid="{00000000-0005-0000-0000-0000950E0000}"/>
    <cellStyle name="20% - Accent2 3 2 2 2 2 2 2 2 3" xfId="34608" xr:uid="{00000000-0005-0000-0000-0000960E0000}"/>
    <cellStyle name="20% - Accent2 3 2 2 2 2 2 2 3" xfId="17657" xr:uid="{00000000-0005-0000-0000-0000970E0000}"/>
    <cellStyle name="20% - Accent2 3 2 2 2 2 2 2 3 2" xfId="40259" xr:uid="{00000000-0005-0000-0000-0000980E0000}"/>
    <cellStyle name="20% - Accent2 3 2 2 2 2 2 2 4" xfId="28958" xr:uid="{00000000-0005-0000-0000-0000990E0000}"/>
    <cellStyle name="20% - Accent2 3 2 2 2 2 2 3" xfId="9174" xr:uid="{00000000-0005-0000-0000-00009A0E0000}"/>
    <cellStyle name="20% - Accent2 3 2 2 2 2 2 3 2" xfId="20475" xr:uid="{00000000-0005-0000-0000-00009B0E0000}"/>
    <cellStyle name="20% - Accent2 3 2 2 2 2 2 3 2 2" xfId="43077" xr:uid="{00000000-0005-0000-0000-00009C0E0000}"/>
    <cellStyle name="20% - Accent2 3 2 2 2 2 2 3 3" xfId="31776" xr:uid="{00000000-0005-0000-0000-00009D0E0000}"/>
    <cellStyle name="20% - Accent2 3 2 2 2 2 2 4" xfId="14825" xr:uid="{00000000-0005-0000-0000-00009E0E0000}"/>
    <cellStyle name="20% - Accent2 3 2 2 2 2 2 4 2" xfId="37427" xr:uid="{00000000-0005-0000-0000-00009F0E0000}"/>
    <cellStyle name="20% - Accent2 3 2 2 2 2 2 5" xfId="26126" xr:uid="{00000000-0005-0000-0000-0000A00E0000}"/>
    <cellStyle name="20% - Accent2 3 2 2 2 2 3" xfId="5122" xr:uid="{00000000-0005-0000-0000-0000A10E0000}"/>
    <cellStyle name="20% - Accent2 3 2 2 2 2 3 2" xfId="10772" xr:uid="{00000000-0005-0000-0000-0000A20E0000}"/>
    <cellStyle name="20% - Accent2 3 2 2 2 2 3 2 2" xfId="22073" xr:uid="{00000000-0005-0000-0000-0000A30E0000}"/>
    <cellStyle name="20% - Accent2 3 2 2 2 2 3 2 2 2" xfId="44675" xr:uid="{00000000-0005-0000-0000-0000A40E0000}"/>
    <cellStyle name="20% - Accent2 3 2 2 2 2 3 2 3" xfId="33374" xr:uid="{00000000-0005-0000-0000-0000A50E0000}"/>
    <cellStyle name="20% - Accent2 3 2 2 2 2 3 3" xfId="16423" xr:uid="{00000000-0005-0000-0000-0000A60E0000}"/>
    <cellStyle name="20% - Accent2 3 2 2 2 2 3 3 2" xfId="39025" xr:uid="{00000000-0005-0000-0000-0000A70E0000}"/>
    <cellStyle name="20% - Accent2 3 2 2 2 2 3 4" xfId="27724" xr:uid="{00000000-0005-0000-0000-0000A80E0000}"/>
    <cellStyle name="20% - Accent2 3 2 2 2 2 4" xfId="7449" xr:uid="{00000000-0005-0000-0000-0000A90E0000}"/>
    <cellStyle name="20% - Accent2 3 2 2 2 2 4 2" xfId="18750" xr:uid="{00000000-0005-0000-0000-0000AA0E0000}"/>
    <cellStyle name="20% - Accent2 3 2 2 2 2 4 2 2" xfId="41352" xr:uid="{00000000-0005-0000-0000-0000AB0E0000}"/>
    <cellStyle name="20% - Accent2 3 2 2 2 2 4 3" xfId="30051" xr:uid="{00000000-0005-0000-0000-0000AC0E0000}"/>
    <cellStyle name="20% - Accent2 3 2 2 2 2 5" xfId="13100" xr:uid="{00000000-0005-0000-0000-0000AD0E0000}"/>
    <cellStyle name="20% - Accent2 3 2 2 2 2 5 2" xfId="35702" xr:uid="{00000000-0005-0000-0000-0000AE0E0000}"/>
    <cellStyle name="20% - Accent2 3 2 2 2 2 6" xfId="24401" xr:uid="{00000000-0005-0000-0000-0000AF0E0000}"/>
    <cellStyle name="20% - Accent2 3 2 2 2 3" xfId="2713" xr:uid="{00000000-0005-0000-0000-0000B00E0000}"/>
    <cellStyle name="20% - Accent2 3 2 2 2 3 2" xfId="5732" xr:uid="{00000000-0005-0000-0000-0000B10E0000}"/>
    <cellStyle name="20% - Accent2 3 2 2 2 3 2 2" xfId="11382" xr:uid="{00000000-0005-0000-0000-0000B20E0000}"/>
    <cellStyle name="20% - Accent2 3 2 2 2 3 2 2 2" xfId="22683" xr:uid="{00000000-0005-0000-0000-0000B30E0000}"/>
    <cellStyle name="20% - Accent2 3 2 2 2 3 2 2 2 2" xfId="45285" xr:uid="{00000000-0005-0000-0000-0000B40E0000}"/>
    <cellStyle name="20% - Accent2 3 2 2 2 3 2 2 3" xfId="33984" xr:uid="{00000000-0005-0000-0000-0000B50E0000}"/>
    <cellStyle name="20% - Accent2 3 2 2 2 3 2 3" xfId="17033" xr:uid="{00000000-0005-0000-0000-0000B60E0000}"/>
    <cellStyle name="20% - Accent2 3 2 2 2 3 2 3 2" xfId="39635" xr:uid="{00000000-0005-0000-0000-0000B70E0000}"/>
    <cellStyle name="20% - Accent2 3 2 2 2 3 2 4" xfId="28334" xr:uid="{00000000-0005-0000-0000-0000B80E0000}"/>
    <cellStyle name="20% - Accent2 3 2 2 2 3 3" xfId="8549" xr:uid="{00000000-0005-0000-0000-0000B90E0000}"/>
    <cellStyle name="20% - Accent2 3 2 2 2 3 3 2" xfId="19850" xr:uid="{00000000-0005-0000-0000-0000BA0E0000}"/>
    <cellStyle name="20% - Accent2 3 2 2 2 3 3 2 2" xfId="42452" xr:uid="{00000000-0005-0000-0000-0000BB0E0000}"/>
    <cellStyle name="20% - Accent2 3 2 2 2 3 3 3" xfId="31151" xr:uid="{00000000-0005-0000-0000-0000BC0E0000}"/>
    <cellStyle name="20% - Accent2 3 2 2 2 3 4" xfId="14200" xr:uid="{00000000-0005-0000-0000-0000BD0E0000}"/>
    <cellStyle name="20% - Accent2 3 2 2 2 3 4 2" xfId="36802" xr:uid="{00000000-0005-0000-0000-0000BE0E0000}"/>
    <cellStyle name="20% - Accent2 3 2 2 2 3 5" xfId="25501" xr:uid="{00000000-0005-0000-0000-0000BF0E0000}"/>
    <cellStyle name="20% - Accent2 3 2 2 2 4" xfId="4498" xr:uid="{00000000-0005-0000-0000-0000C00E0000}"/>
    <cellStyle name="20% - Accent2 3 2 2 2 4 2" xfId="10148" xr:uid="{00000000-0005-0000-0000-0000C10E0000}"/>
    <cellStyle name="20% - Accent2 3 2 2 2 4 2 2" xfId="21449" xr:uid="{00000000-0005-0000-0000-0000C20E0000}"/>
    <cellStyle name="20% - Accent2 3 2 2 2 4 2 2 2" xfId="44051" xr:uid="{00000000-0005-0000-0000-0000C30E0000}"/>
    <cellStyle name="20% - Accent2 3 2 2 2 4 2 3" xfId="32750" xr:uid="{00000000-0005-0000-0000-0000C40E0000}"/>
    <cellStyle name="20% - Accent2 3 2 2 2 4 3" xfId="15799" xr:uid="{00000000-0005-0000-0000-0000C50E0000}"/>
    <cellStyle name="20% - Accent2 3 2 2 2 4 3 2" xfId="38401" xr:uid="{00000000-0005-0000-0000-0000C60E0000}"/>
    <cellStyle name="20% - Accent2 3 2 2 2 4 4" xfId="27100" xr:uid="{00000000-0005-0000-0000-0000C70E0000}"/>
    <cellStyle name="20% - Accent2 3 2 2 2 5" xfId="7294" xr:uid="{00000000-0005-0000-0000-0000C80E0000}"/>
    <cellStyle name="20% - Accent2 3 2 2 2 5 2" xfId="18595" xr:uid="{00000000-0005-0000-0000-0000C90E0000}"/>
    <cellStyle name="20% - Accent2 3 2 2 2 5 2 2" xfId="41197" xr:uid="{00000000-0005-0000-0000-0000CA0E0000}"/>
    <cellStyle name="20% - Accent2 3 2 2 2 5 3" xfId="29896" xr:uid="{00000000-0005-0000-0000-0000CB0E0000}"/>
    <cellStyle name="20% - Accent2 3 2 2 2 6" xfId="12945" xr:uid="{00000000-0005-0000-0000-0000CC0E0000}"/>
    <cellStyle name="20% - Accent2 3 2 2 2 6 2" xfId="35547" xr:uid="{00000000-0005-0000-0000-0000CD0E0000}"/>
    <cellStyle name="20% - Accent2 3 2 2 2 7" xfId="24246" xr:uid="{00000000-0005-0000-0000-0000CE0E0000}"/>
    <cellStyle name="20% - Accent2 3 2 2 3" xfId="1013" xr:uid="{00000000-0005-0000-0000-0000CF0E0000}"/>
    <cellStyle name="20% - Accent2 3 2 2 3 2" xfId="3076" xr:uid="{00000000-0005-0000-0000-0000D00E0000}"/>
    <cellStyle name="20% - Accent2 3 2 2 3 2 2" xfId="6048" xr:uid="{00000000-0005-0000-0000-0000D10E0000}"/>
    <cellStyle name="20% - Accent2 3 2 2 3 2 2 2" xfId="11698" xr:uid="{00000000-0005-0000-0000-0000D20E0000}"/>
    <cellStyle name="20% - Accent2 3 2 2 3 2 2 2 2" xfId="22999" xr:uid="{00000000-0005-0000-0000-0000D30E0000}"/>
    <cellStyle name="20% - Accent2 3 2 2 3 2 2 2 2 2" xfId="45601" xr:uid="{00000000-0005-0000-0000-0000D40E0000}"/>
    <cellStyle name="20% - Accent2 3 2 2 3 2 2 2 3" xfId="34300" xr:uid="{00000000-0005-0000-0000-0000D50E0000}"/>
    <cellStyle name="20% - Accent2 3 2 2 3 2 2 3" xfId="17349" xr:uid="{00000000-0005-0000-0000-0000D60E0000}"/>
    <cellStyle name="20% - Accent2 3 2 2 3 2 2 3 2" xfId="39951" xr:uid="{00000000-0005-0000-0000-0000D70E0000}"/>
    <cellStyle name="20% - Accent2 3 2 2 3 2 2 4" xfId="28650" xr:uid="{00000000-0005-0000-0000-0000D80E0000}"/>
    <cellStyle name="20% - Accent2 3 2 2 3 2 3" xfId="8866" xr:uid="{00000000-0005-0000-0000-0000D90E0000}"/>
    <cellStyle name="20% - Accent2 3 2 2 3 2 3 2" xfId="20167" xr:uid="{00000000-0005-0000-0000-0000DA0E0000}"/>
    <cellStyle name="20% - Accent2 3 2 2 3 2 3 2 2" xfId="42769" xr:uid="{00000000-0005-0000-0000-0000DB0E0000}"/>
    <cellStyle name="20% - Accent2 3 2 2 3 2 3 3" xfId="31468" xr:uid="{00000000-0005-0000-0000-0000DC0E0000}"/>
    <cellStyle name="20% - Accent2 3 2 2 3 2 4" xfId="14517" xr:uid="{00000000-0005-0000-0000-0000DD0E0000}"/>
    <cellStyle name="20% - Accent2 3 2 2 3 2 4 2" xfId="37119" xr:uid="{00000000-0005-0000-0000-0000DE0E0000}"/>
    <cellStyle name="20% - Accent2 3 2 2 3 2 5" xfId="25818" xr:uid="{00000000-0005-0000-0000-0000DF0E0000}"/>
    <cellStyle name="20% - Accent2 3 2 2 3 3" xfId="4814" xr:uid="{00000000-0005-0000-0000-0000E00E0000}"/>
    <cellStyle name="20% - Accent2 3 2 2 3 3 2" xfId="10464" xr:uid="{00000000-0005-0000-0000-0000E10E0000}"/>
    <cellStyle name="20% - Accent2 3 2 2 3 3 2 2" xfId="21765" xr:uid="{00000000-0005-0000-0000-0000E20E0000}"/>
    <cellStyle name="20% - Accent2 3 2 2 3 3 2 2 2" xfId="44367" xr:uid="{00000000-0005-0000-0000-0000E30E0000}"/>
    <cellStyle name="20% - Accent2 3 2 2 3 3 2 3" xfId="33066" xr:uid="{00000000-0005-0000-0000-0000E40E0000}"/>
    <cellStyle name="20% - Accent2 3 2 2 3 3 3" xfId="16115" xr:uid="{00000000-0005-0000-0000-0000E50E0000}"/>
    <cellStyle name="20% - Accent2 3 2 2 3 3 3 2" xfId="38717" xr:uid="{00000000-0005-0000-0000-0000E60E0000}"/>
    <cellStyle name="20% - Accent2 3 2 2 3 3 4" xfId="27416" xr:uid="{00000000-0005-0000-0000-0000E70E0000}"/>
    <cellStyle name="20% - Accent2 3 2 2 3 4" xfId="7001" xr:uid="{00000000-0005-0000-0000-0000E80E0000}"/>
    <cellStyle name="20% - Accent2 3 2 2 3 4 2" xfId="18302" xr:uid="{00000000-0005-0000-0000-0000E90E0000}"/>
    <cellStyle name="20% - Accent2 3 2 2 3 4 2 2" xfId="40904" xr:uid="{00000000-0005-0000-0000-0000EA0E0000}"/>
    <cellStyle name="20% - Accent2 3 2 2 3 4 3" xfId="29603" xr:uid="{00000000-0005-0000-0000-0000EB0E0000}"/>
    <cellStyle name="20% - Accent2 3 2 2 3 5" xfId="12652" xr:uid="{00000000-0005-0000-0000-0000EC0E0000}"/>
    <cellStyle name="20% - Accent2 3 2 2 3 5 2" xfId="35254" xr:uid="{00000000-0005-0000-0000-0000ED0E0000}"/>
    <cellStyle name="20% - Accent2 3 2 2 3 6" xfId="23953" xr:uid="{00000000-0005-0000-0000-0000EE0E0000}"/>
    <cellStyle name="20% - Accent2 3 2 2 4" xfId="1592" xr:uid="{00000000-0005-0000-0000-0000EF0E0000}"/>
    <cellStyle name="20% - Accent2 3 2 2 4 2" xfId="3565" xr:uid="{00000000-0005-0000-0000-0000F00E0000}"/>
    <cellStyle name="20% - Accent2 3 2 2 4 2 2" xfId="9299" xr:uid="{00000000-0005-0000-0000-0000F10E0000}"/>
    <cellStyle name="20% - Accent2 3 2 2 4 2 2 2" xfId="20600" xr:uid="{00000000-0005-0000-0000-0000F20E0000}"/>
    <cellStyle name="20% - Accent2 3 2 2 4 2 2 2 2" xfId="43202" xr:uid="{00000000-0005-0000-0000-0000F30E0000}"/>
    <cellStyle name="20% - Accent2 3 2 2 4 2 2 3" xfId="31901" xr:uid="{00000000-0005-0000-0000-0000F40E0000}"/>
    <cellStyle name="20% - Accent2 3 2 2 4 2 3" xfId="14950" xr:uid="{00000000-0005-0000-0000-0000F50E0000}"/>
    <cellStyle name="20% - Accent2 3 2 2 4 2 3 2" xfId="37552" xr:uid="{00000000-0005-0000-0000-0000F60E0000}"/>
    <cellStyle name="20% - Accent2 3 2 2 4 2 4" xfId="26251" xr:uid="{00000000-0005-0000-0000-0000F70E0000}"/>
    <cellStyle name="20% - Accent2 3 2 2 4 3" xfId="5424" xr:uid="{00000000-0005-0000-0000-0000F80E0000}"/>
    <cellStyle name="20% - Accent2 3 2 2 4 3 2" xfId="11074" xr:uid="{00000000-0005-0000-0000-0000F90E0000}"/>
    <cellStyle name="20% - Accent2 3 2 2 4 3 2 2" xfId="22375" xr:uid="{00000000-0005-0000-0000-0000FA0E0000}"/>
    <cellStyle name="20% - Accent2 3 2 2 4 3 2 2 2" xfId="44977" xr:uid="{00000000-0005-0000-0000-0000FB0E0000}"/>
    <cellStyle name="20% - Accent2 3 2 2 4 3 2 3" xfId="33676" xr:uid="{00000000-0005-0000-0000-0000FC0E0000}"/>
    <cellStyle name="20% - Accent2 3 2 2 4 3 3" xfId="16725" xr:uid="{00000000-0005-0000-0000-0000FD0E0000}"/>
    <cellStyle name="20% - Accent2 3 2 2 4 3 3 2" xfId="39327" xr:uid="{00000000-0005-0000-0000-0000FE0E0000}"/>
    <cellStyle name="20% - Accent2 3 2 2 4 3 4" xfId="28026" xr:uid="{00000000-0005-0000-0000-0000FF0E0000}"/>
    <cellStyle name="20% - Accent2 3 2 2 4 4" xfId="7448" xr:uid="{00000000-0005-0000-0000-0000000F0000}"/>
    <cellStyle name="20% - Accent2 3 2 2 4 4 2" xfId="18749" xr:uid="{00000000-0005-0000-0000-0000010F0000}"/>
    <cellStyle name="20% - Accent2 3 2 2 4 4 2 2" xfId="41351" xr:uid="{00000000-0005-0000-0000-0000020F0000}"/>
    <cellStyle name="20% - Accent2 3 2 2 4 4 3" xfId="30050" xr:uid="{00000000-0005-0000-0000-0000030F0000}"/>
    <cellStyle name="20% - Accent2 3 2 2 4 5" xfId="13099" xr:uid="{00000000-0005-0000-0000-0000040F0000}"/>
    <cellStyle name="20% - Accent2 3 2 2 4 5 2" xfId="35701" xr:uid="{00000000-0005-0000-0000-0000050F0000}"/>
    <cellStyle name="20% - Accent2 3 2 2 4 6" xfId="24400" xr:uid="{00000000-0005-0000-0000-0000060F0000}"/>
    <cellStyle name="20% - Accent2 3 2 2 5" xfId="2405" xr:uid="{00000000-0005-0000-0000-0000070F0000}"/>
    <cellStyle name="20% - Accent2 3 2 2 5 2" xfId="8241" xr:uid="{00000000-0005-0000-0000-0000080F0000}"/>
    <cellStyle name="20% - Accent2 3 2 2 5 2 2" xfId="19542" xr:uid="{00000000-0005-0000-0000-0000090F0000}"/>
    <cellStyle name="20% - Accent2 3 2 2 5 2 2 2" xfId="42144" xr:uid="{00000000-0005-0000-0000-00000A0F0000}"/>
    <cellStyle name="20% - Accent2 3 2 2 5 2 3" xfId="30843" xr:uid="{00000000-0005-0000-0000-00000B0F0000}"/>
    <cellStyle name="20% - Accent2 3 2 2 5 3" xfId="13892" xr:uid="{00000000-0005-0000-0000-00000C0F0000}"/>
    <cellStyle name="20% - Accent2 3 2 2 5 3 2" xfId="36494" xr:uid="{00000000-0005-0000-0000-00000D0F0000}"/>
    <cellStyle name="20% - Accent2 3 2 2 5 4" xfId="25193" xr:uid="{00000000-0005-0000-0000-00000E0F0000}"/>
    <cellStyle name="20% - Accent2 3 2 2 6" xfId="4190" xr:uid="{00000000-0005-0000-0000-00000F0F0000}"/>
    <cellStyle name="20% - Accent2 3 2 2 6 2" xfId="9840" xr:uid="{00000000-0005-0000-0000-0000100F0000}"/>
    <cellStyle name="20% - Accent2 3 2 2 6 2 2" xfId="21141" xr:uid="{00000000-0005-0000-0000-0000110F0000}"/>
    <cellStyle name="20% - Accent2 3 2 2 6 2 2 2" xfId="43743" xr:uid="{00000000-0005-0000-0000-0000120F0000}"/>
    <cellStyle name="20% - Accent2 3 2 2 6 2 3" xfId="32442" xr:uid="{00000000-0005-0000-0000-0000130F0000}"/>
    <cellStyle name="20% - Accent2 3 2 2 6 3" xfId="15491" xr:uid="{00000000-0005-0000-0000-0000140F0000}"/>
    <cellStyle name="20% - Accent2 3 2 2 6 3 2" xfId="38093" xr:uid="{00000000-0005-0000-0000-0000150F0000}"/>
    <cellStyle name="20% - Accent2 3 2 2 6 4" xfId="26792" xr:uid="{00000000-0005-0000-0000-0000160F0000}"/>
    <cellStyle name="20% - Accent2 3 2 2 7" xfId="6670" xr:uid="{00000000-0005-0000-0000-0000170F0000}"/>
    <cellStyle name="20% - Accent2 3 2 2 7 2" xfId="17971" xr:uid="{00000000-0005-0000-0000-0000180F0000}"/>
    <cellStyle name="20% - Accent2 3 2 2 7 2 2" xfId="40573" xr:uid="{00000000-0005-0000-0000-0000190F0000}"/>
    <cellStyle name="20% - Accent2 3 2 2 7 3" xfId="29272" xr:uid="{00000000-0005-0000-0000-00001A0F0000}"/>
    <cellStyle name="20% - Accent2 3 2 2 8" xfId="12321" xr:uid="{00000000-0005-0000-0000-00001B0F0000}"/>
    <cellStyle name="20% - Accent2 3 2 2 8 2" xfId="34923" xr:uid="{00000000-0005-0000-0000-00001C0F0000}"/>
    <cellStyle name="20% - Accent2 3 2 2 9" xfId="23622" xr:uid="{00000000-0005-0000-0000-00001D0F0000}"/>
    <cellStyle name="20% - Accent2 3 2 3" xfId="1177" xr:uid="{00000000-0005-0000-0000-00001E0F0000}"/>
    <cellStyle name="20% - Accent2 3 2 3 2" xfId="1594" xr:uid="{00000000-0005-0000-0000-00001F0F0000}"/>
    <cellStyle name="20% - Accent2 3 2 3 2 2" xfId="3245" xr:uid="{00000000-0005-0000-0000-0000200F0000}"/>
    <cellStyle name="20% - Accent2 3 2 3 2 2 2" xfId="6217" xr:uid="{00000000-0005-0000-0000-0000210F0000}"/>
    <cellStyle name="20% - Accent2 3 2 3 2 2 2 2" xfId="11867" xr:uid="{00000000-0005-0000-0000-0000220F0000}"/>
    <cellStyle name="20% - Accent2 3 2 3 2 2 2 2 2" xfId="23168" xr:uid="{00000000-0005-0000-0000-0000230F0000}"/>
    <cellStyle name="20% - Accent2 3 2 3 2 2 2 2 2 2" xfId="45770" xr:uid="{00000000-0005-0000-0000-0000240F0000}"/>
    <cellStyle name="20% - Accent2 3 2 3 2 2 2 2 3" xfId="34469" xr:uid="{00000000-0005-0000-0000-0000250F0000}"/>
    <cellStyle name="20% - Accent2 3 2 3 2 2 2 3" xfId="17518" xr:uid="{00000000-0005-0000-0000-0000260F0000}"/>
    <cellStyle name="20% - Accent2 3 2 3 2 2 2 3 2" xfId="40120" xr:uid="{00000000-0005-0000-0000-0000270F0000}"/>
    <cellStyle name="20% - Accent2 3 2 3 2 2 2 4" xfId="28819" xr:uid="{00000000-0005-0000-0000-0000280F0000}"/>
    <cellStyle name="20% - Accent2 3 2 3 2 2 3" xfId="9035" xr:uid="{00000000-0005-0000-0000-0000290F0000}"/>
    <cellStyle name="20% - Accent2 3 2 3 2 2 3 2" xfId="20336" xr:uid="{00000000-0005-0000-0000-00002A0F0000}"/>
    <cellStyle name="20% - Accent2 3 2 3 2 2 3 2 2" xfId="42938" xr:uid="{00000000-0005-0000-0000-00002B0F0000}"/>
    <cellStyle name="20% - Accent2 3 2 3 2 2 3 3" xfId="31637" xr:uid="{00000000-0005-0000-0000-00002C0F0000}"/>
    <cellStyle name="20% - Accent2 3 2 3 2 2 4" xfId="14686" xr:uid="{00000000-0005-0000-0000-00002D0F0000}"/>
    <cellStyle name="20% - Accent2 3 2 3 2 2 4 2" xfId="37288" xr:uid="{00000000-0005-0000-0000-00002E0F0000}"/>
    <cellStyle name="20% - Accent2 3 2 3 2 2 5" xfId="25987" xr:uid="{00000000-0005-0000-0000-00002F0F0000}"/>
    <cellStyle name="20% - Accent2 3 2 3 2 3" xfId="4983" xr:uid="{00000000-0005-0000-0000-0000300F0000}"/>
    <cellStyle name="20% - Accent2 3 2 3 2 3 2" xfId="10633" xr:uid="{00000000-0005-0000-0000-0000310F0000}"/>
    <cellStyle name="20% - Accent2 3 2 3 2 3 2 2" xfId="21934" xr:uid="{00000000-0005-0000-0000-0000320F0000}"/>
    <cellStyle name="20% - Accent2 3 2 3 2 3 2 2 2" xfId="44536" xr:uid="{00000000-0005-0000-0000-0000330F0000}"/>
    <cellStyle name="20% - Accent2 3 2 3 2 3 2 3" xfId="33235" xr:uid="{00000000-0005-0000-0000-0000340F0000}"/>
    <cellStyle name="20% - Accent2 3 2 3 2 3 3" xfId="16284" xr:uid="{00000000-0005-0000-0000-0000350F0000}"/>
    <cellStyle name="20% - Accent2 3 2 3 2 3 3 2" xfId="38886" xr:uid="{00000000-0005-0000-0000-0000360F0000}"/>
    <cellStyle name="20% - Accent2 3 2 3 2 3 4" xfId="27585" xr:uid="{00000000-0005-0000-0000-0000370F0000}"/>
    <cellStyle name="20% - Accent2 3 2 3 2 4" xfId="7450" xr:uid="{00000000-0005-0000-0000-0000380F0000}"/>
    <cellStyle name="20% - Accent2 3 2 3 2 4 2" xfId="18751" xr:uid="{00000000-0005-0000-0000-0000390F0000}"/>
    <cellStyle name="20% - Accent2 3 2 3 2 4 2 2" xfId="41353" xr:uid="{00000000-0005-0000-0000-00003A0F0000}"/>
    <cellStyle name="20% - Accent2 3 2 3 2 4 3" xfId="30052" xr:uid="{00000000-0005-0000-0000-00003B0F0000}"/>
    <cellStyle name="20% - Accent2 3 2 3 2 5" xfId="13101" xr:uid="{00000000-0005-0000-0000-00003C0F0000}"/>
    <cellStyle name="20% - Accent2 3 2 3 2 5 2" xfId="35703" xr:uid="{00000000-0005-0000-0000-00003D0F0000}"/>
    <cellStyle name="20% - Accent2 3 2 3 2 6" xfId="24402" xr:uid="{00000000-0005-0000-0000-00003E0F0000}"/>
    <cellStyle name="20% - Accent2 3 2 3 3" xfId="2574" xr:uid="{00000000-0005-0000-0000-00003F0F0000}"/>
    <cellStyle name="20% - Accent2 3 2 3 3 2" xfId="5593" xr:uid="{00000000-0005-0000-0000-0000400F0000}"/>
    <cellStyle name="20% - Accent2 3 2 3 3 2 2" xfId="11243" xr:uid="{00000000-0005-0000-0000-0000410F0000}"/>
    <cellStyle name="20% - Accent2 3 2 3 3 2 2 2" xfId="22544" xr:uid="{00000000-0005-0000-0000-0000420F0000}"/>
    <cellStyle name="20% - Accent2 3 2 3 3 2 2 2 2" xfId="45146" xr:uid="{00000000-0005-0000-0000-0000430F0000}"/>
    <cellStyle name="20% - Accent2 3 2 3 3 2 2 3" xfId="33845" xr:uid="{00000000-0005-0000-0000-0000440F0000}"/>
    <cellStyle name="20% - Accent2 3 2 3 3 2 3" xfId="16894" xr:uid="{00000000-0005-0000-0000-0000450F0000}"/>
    <cellStyle name="20% - Accent2 3 2 3 3 2 3 2" xfId="39496" xr:uid="{00000000-0005-0000-0000-0000460F0000}"/>
    <cellStyle name="20% - Accent2 3 2 3 3 2 4" xfId="28195" xr:uid="{00000000-0005-0000-0000-0000470F0000}"/>
    <cellStyle name="20% - Accent2 3 2 3 3 3" xfId="8410" xr:uid="{00000000-0005-0000-0000-0000480F0000}"/>
    <cellStyle name="20% - Accent2 3 2 3 3 3 2" xfId="19711" xr:uid="{00000000-0005-0000-0000-0000490F0000}"/>
    <cellStyle name="20% - Accent2 3 2 3 3 3 2 2" xfId="42313" xr:uid="{00000000-0005-0000-0000-00004A0F0000}"/>
    <cellStyle name="20% - Accent2 3 2 3 3 3 3" xfId="31012" xr:uid="{00000000-0005-0000-0000-00004B0F0000}"/>
    <cellStyle name="20% - Accent2 3 2 3 3 4" xfId="14061" xr:uid="{00000000-0005-0000-0000-00004C0F0000}"/>
    <cellStyle name="20% - Accent2 3 2 3 3 4 2" xfId="36663" xr:uid="{00000000-0005-0000-0000-00004D0F0000}"/>
    <cellStyle name="20% - Accent2 3 2 3 3 5" xfId="25362" xr:uid="{00000000-0005-0000-0000-00004E0F0000}"/>
    <cellStyle name="20% - Accent2 3 2 3 4" xfId="4359" xr:uid="{00000000-0005-0000-0000-00004F0F0000}"/>
    <cellStyle name="20% - Accent2 3 2 3 4 2" xfId="10009" xr:uid="{00000000-0005-0000-0000-0000500F0000}"/>
    <cellStyle name="20% - Accent2 3 2 3 4 2 2" xfId="21310" xr:uid="{00000000-0005-0000-0000-0000510F0000}"/>
    <cellStyle name="20% - Accent2 3 2 3 4 2 2 2" xfId="43912" xr:uid="{00000000-0005-0000-0000-0000520F0000}"/>
    <cellStyle name="20% - Accent2 3 2 3 4 2 3" xfId="32611" xr:uid="{00000000-0005-0000-0000-0000530F0000}"/>
    <cellStyle name="20% - Accent2 3 2 3 4 3" xfId="15660" xr:uid="{00000000-0005-0000-0000-0000540F0000}"/>
    <cellStyle name="20% - Accent2 3 2 3 4 3 2" xfId="38262" xr:uid="{00000000-0005-0000-0000-0000550F0000}"/>
    <cellStyle name="20% - Accent2 3 2 3 4 4" xfId="26961" xr:uid="{00000000-0005-0000-0000-0000560F0000}"/>
    <cellStyle name="20% - Accent2 3 2 3 5" xfId="7156" xr:uid="{00000000-0005-0000-0000-0000570F0000}"/>
    <cellStyle name="20% - Accent2 3 2 3 5 2" xfId="18457" xr:uid="{00000000-0005-0000-0000-0000580F0000}"/>
    <cellStyle name="20% - Accent2 3 2 3 5 2 2" xfId="41059" xr:uid="{00000000-0005-0000-0000-0000590F0000}"/>
    <cellStyle name="20% - Accent2 3 2 3 5 3" xfId="29758" xr:uid="{00000000-0005-0000-0000-00005A0F0000}"/>
    <cellStyle name="20% - Accent2 3 2 3 6" xfId="12807" xr:uid="{00000000-0005-0000-0000-00005B0F0000}"/>
    <cellStyle name="20% - Accent2 3 2 3 6 2" xfId="35409" xr:uid="{00000000-0005-0000-0000-00005C0F0000}"/>
    <cellStyle name="20% - Accent2 3 2 3 7" xfId="24108" xr:uid="{00000000-0005-0000-0000-00005D0F0000}"/>
    <cellStyle name="20% - Accent2 3 2 4" xfId="866" xr:uid="{00000000-0005-0000-0000-00005E0F0000}"/>
    <cellStyle name="20% - Accent2 3 2 4 2" xfId="2938" xr:uid="{00000000-0005-0000-0000-00005F0F0000}"/>
    <cellStyle name="20% - Accent2 3 2 4 2 2" xfId="5910" xr:uid="{00000000-0005-0000-0000-0000600F0000}"/>
    <cellStyle name="20% - Accent2 3 2 4 2 2 2" xfId="11560" xr:uid="{00000000-0005-0000-0000-0000610F0000}"/>
    <cellStyle name="20% - Accent2 3 2 4 2 2 2 2" xfId="22861" xr:uid="{00000000-0005-0000-0000-0000620F0000}"/>
    <cellStyle name="20% - Accent2 3 2 4 2 2 2 2 2" xfId="45463" xr:uid="{00000000-0005-0000-0000-0000630F0000}"/>
    <cellStyle name="20% - Accent2 3 2 4 2 2 2 3" xfId="34162" xr:uid="{00000000-0005-0000-0000-0000640F0000}"/>
    <cellStyle name="20% - Accent2 3 2 4 2 2 3" xfId="17211" xr:uid="{00000000-0005-0000-0000-0000650F0000}"/>
    <cellStyle name="20% - Accent2 3 2 4 2 2 3 2" xfId="39813" xr:uid="{00000000-0005-0000-0000-0000660F0000}"/>
    <cellStyle name="20% - Accent2 3 2 4 2 2 4" xfId="28512" xr:uid="{00000000-0005-0000-0000-0000670F0000}"/>
    <cellStyle name="20% - Accent2 3 2 4 2 3" xfId="8728" xr:uid="{00000000-0005-0000-0000-0000680F0000}"/>
    <cellStyle name="20% - Accent2 3 2 4 2 3 2" xfId="20029" xr:uid="{00000000-0005-0000-0000-0000690F0000}"/>
    <cellStyle name="20% - Accent2 3 2 4 2 3 2 2" xfId="42631" xr:uid="{00000000-0005-0000-0000-00006A0F0000}"/>
    <cellStyle name="20% - Accent2 3 2 4 2 3 3" xfId="31330" xr:uid="{00000000-0005-0000-0000-00006B0F0000}"/>
    <cellStyle name="20% - Accent2 3 2 4 2 4" xfId="14379" xr:uid="{00000000-0005-0000-0000-00006C0F0000}"/>
    <cellStyle name="20% - Accent2 3 2 4 2 4 2" xfId="36981" xr:uid="{00000000-0005-0000-0000-00006D0F0000}"/>
    <cellStyle name="20% - Accent2 3 2 4 2 5" xfId="25680" xr:uid="{00000000-0005-0000-0000-00006E0F0000}"/>
    <cellStyle name="20% - Accent2 3 2 4 3" xfId="4676" xr:uid="{00000000-0005-0000-0000-00006F0F0000}"/>
    <cellStyle name="20% - Accent2 3 2 4 3 2" xfId="10326" xr:uid="{00000000-0005-0000-0000-0000700F0000}"/>
    <cellStyle name="20% - Accent2 3 2 4 3 2 2" xfId="21627" xr:uid="{00000000-0005-0000-0000-0000710F0000}"/>
    <cellStyle name="20% - Accent2 3 2 4 3 2 2 2" xfId="44229" xr:uid="{00000000-0005-0000-0000-0000720F0000}"/>
    <cellStyle name="20% - Accent2 3 2 4 3 2 3" xfId="32928" xr:uid="{00000000-0005-0000-0000-0000730F0000}"/>
    <cellStyle name="20% - Accent2 3 2 4 3 3" xfId="15977" xr:uid="{00000000-0005-0000-0000-0000740F0000}"/>
    <cellStyle name="20% - Accent2 3 2 4 3 3 2" xfId="38579" xr:uid="{00000000-0005-0000-0000-0000750F0000}"/>
    <cellStyle name="20% - Accent2 3 2 4 3 4" xfId="27278" xr:uid="{00000000-0005-0000-0000-0000760F0000}"/>
    <cellStyle name="20% - Accent2 3 2 4 4" xfId="6863" xr:uid="{00000000-0005-0000-0000-0000770F0000}"/>
    <cellStyle name="20% - Accent2 3 2 4 4 2" xfId="18164" xr:uid="{00000000-0005-0000-0000-0000780F0000}"/>
    <cellStyle name="20% - Accent2 3 2 4 4 2 2" xfId="40766" xr:uid="{00000000-0005-0000-0000-0000790F0000}"/>
    <cellStyle name="20% - Accent2 3 2 4 4 3" xfId="29465" xr:uid="{00000000-0005-0000-0000-00007A0F0000}"/>
    <cellStyle name="20% - Accent2 3 2 4 5" xfId="12514" xr:uid="{00000000-0005-0000-0000-00007B0F0000}"/>
    <cellStyle name="20% - Accent2 3 2 4 5 2" xfId="35116" xr:uid="{00000000-0005-0000-0000-00007C0F0000}"/>
    <cellStyle name="20% - Accent2 3 2 4 6" xfId="23815" xr:uid="{00000000-0005-0000-0000-00007D0F0000}"/>
    <cellStyle name="20% - Accent2 3 2 5" xfId="1591" xr:uid="{00000000-0005-0000-0000-00007E0F0000}"/>
    <cellStyle name="20% - Accent2 3 2 5 2" xfId="3533" xr:uid="{00000000-0005-0000-0000-00007F0F0000}"/>
    <cellStyle name="20% - Accent2 3 2 5 2 2" xfId="9286" xr:uid="{00000000-0005-0000-0000-0000800F0000}"/>
    <cellStyle name="20% - Accent2 3 2 5 2 2 2" xfId="20587" xr:uid="{00000000-0005-0000-0000-0000810F0000}"/>
    <cellStyle name="20% - Accent2 3 2 5 2 2 2 2" xfId="43189" xr:uid="{00000000-0005-0000-0000-0000820F0000}"/>
    <cellStyle name="20% - Accent2 3 2 5 2 2 3" xfId="31888" xr:uid="{00000000-0005-0000-0000-0000830F0000}"/>
    <cellStyle name="20% - Accent2 3 2 5 2 3" xfId="14937" xr:uid="{00000000-0005-0000-0000-0000840F0000}"/>
    <cellStyle name="20% - Accent2 3 2 5 2 3 2" xfId="37539" xr:uid="{00000000-0005-0000-0000-0000850F0000}"/>
    <cellStyle name="20% - Accent2 3 2 5 2 4" xfId="26238" xr:uid="{00000000-0005-0000-0000-0000860F0000}"/>
    <cellStyle name="20% - Accent2 3 2 5 3" xfId="5286" xr:uid="{00000000-0005-0000-0000-0000870F0000}"/>
    <cellStyle name="20% - Accent2 3 2 5 3 2" xfId="10936" xr:uid="{00000000-0005-0000-0000-0000880F0000}"/>
    <cellStyle name="20% - Accent2 3 2 5 3 2 2" xfId="22237" xr:uid="{00000000-0005-0000-0000-0000890F0000}"/>
    <cellStyle name="20% - Accent2 3 2 5 3 2 2 2" xfId="44839" xr:uid="{00000000-0005-0000-0000-00008A0F0000}"/>
    <cellStyle name="20% - Accent2 3 2 5 3 2 3" xfId="33538" xr:uid="{00000000-0005-0000-0000-00008B0F0000}"/>
    <cellStyle name="20% - Accent2 3 2 5 3 3" xfId="16587" xr:uid="{00000000-0005-0000-0000-00008C0F0000}"/>
    <cellStyle name="20% - Accent2 3 2 5 3 3 2" xfId="39189" xr:uid="{00000000-0005-0000-0000-00008D0F0000}"/>
    <cellStyle name="20% - Accent2 3 2 5 3 4" xfId="27888" xr:uid="{00000000-0005-0000-0000-00008E0F0000}"/>
    <cellStyle name="20% - Accent2 3 2 5 4" xfId="7447" xr:uid="{00000000-0005-0000-0000-00008F0F0000}"/>
    <cellStyle name="20% - Accent2 3 2 5 4 2" xfId="18748" xr:uid="{00000000-0005-0000-0000-0000900F0000}"/>
    <cellStyle name="20% - Accent2 3 2 5 4 2 2" xfId="41350" xr:uid="{00000000-0005-0000-0000-0000910F0000}"/>
    <cellStyle name="20% - Accent2 3 2 5 4 3" xfId="30049" xr:uid="{00000000-0005-0000-0000-0000920F0000}"/>
    <cellStyle name="20% - Accent2 3 2 5 5" xfId="13098" xr:uid="{00000000-0005-0000-0000-0000930F0000}"/>
    <cellStyle name="20% - Accent2 3 2 5 5 2" xfId="35700" xr:uid="{00000000-0005-0000-0000-0000940F0000}"/>
    <cellStyle name="20% - Accent2 3 2 5 6" xfId="24399" xr:uid="{00000000-0005-0000-0000-0000950F0000}"/>
    <cellStyle name="20% - Accent2 3 2 6" xfId="2264" xr:uid="{00000000-0005-0000-0000-0000960F0000}"/>
    <cellStyle name="20% - Accent2 3 2 6 2" xfId="8100" xr:uid="{00000000-0005-0000-0000-0000970F0000}"/>
    <cellStyle name="20% - Accent2 3 2 6 2 2" xfId="19401" xr:uid="{00000000-0005-0000-0000-0000980F0000}"/>
    <cellStyle name="20% - Accent2 3 2 6 2 2 2" xfId="42003" xr:uid="{00000000-0005-0000-0000-0000990F0000}"/>
    <cellStyle name="20% - Accent2 3 2 6 2 3" xfId="30702" xr:uid="{00000000-0005-0000-0000-00009A0F0000}"/>
    <cellStyle name="20% - Accent2 3 2 6 3" xfId="13751" xr:uid="{00000000-0005-0000-0000-00009B0F0000}"/>
    <cellStyle name="20% - Accent2 3 2 6 3 2" xfId="36353" xr:uid="{00000000-0005-0000-0000-00009C0F0000}"/>
    <cellStyle name="20% - Accent2 3 2 6 4" xfId="25052" xr:uid="{00000000-0005-0000-0000-00009D0F0000}"/>
    <cellStyle name="20% - Accent2 3 2 7" xfId="4052" xr:uid="{00000000-0005-0000-0000-00009E0F0000}"/>
    <cellStyle name="20% - Accent2 3 2 7 2" xfId="9702" xr:uid="{00000000-0005-0000-0000-00009F0F0000}"/>
    <cellStyle name="20% - Accent2 3 2 7 2 2" xfId="21003" xr:uid="{00000000-0005-0000-0000-0000A00F0000}"/>
    <cellStyle name="20% - Accent2 3 2 7 2 2 2" xfId="43605" xr:uid="{00000000-0005-0000-0000-0000A10F0000}"/>
    <cellStyle name="20% - Accent2 3 2 7 2 3" xfId="32304" xr:uid="{00000000-0005-0000-0000-0000A20F0000}"/>
    <cellStyle name="20% - Accent2 3 2 7 3" xfId="15353" xr:uid="{00000000-0005-0000-0000-0000A30F0000}"/>
    <cellStyle name="20% - Accent2 3 2 7 3 2" xfId="37955" xr:uid="{00000000-0005-0000-0000-0000A40F0000}"/>
    <cellStyle name="20% - Accent2 3 2 7 4" xfId="26654" xr:uid="{00000000-0005-0000-0000-0000A50F0000}"/>
    <cellStyle name="20% - Accent2 3 2 8" xfId="6503" xr:uid="{00000000-0005-0000-0000-0000A60F0000}"/>
    <cellStyle name="20% - Accent2 3 2 8 2" xfId="17804" xr:uid="{00000000-0005-0000-0000-0000A70F0000}"/>
    <cellStyle name="20% - Accent2 3 2 8 2 2" xfId="40406" xr:uid="{00000000-0005-0000-0000-0000A80F0000}"/>
    <cellStyle name="20% - Accent2 3 2 8 3" xfId="29105" xr:uid="{00000000-0005-0000-0000-0000A90F0000}"/>
    <cellStyle name="20% - Accent2 3 2 9" xfId="12154" xr:uid="{00000000-0005-0000-0000-0000AA0F0000}"/>
    <cellStyle name="20% - Accent2 3 2 9 2" xfId="34756" xr:uid="{00000000-0005-0000-0000-0000AB0F0000}"/>
    <cellStyle name="20% - Accent2 3 3" xfId="409" xr:uid="{00000000-0005-0000-0000-0000AC0F0000}"/>
    <cellStyle name="20% - Accent2 3 3 10" xfId="23504" xr:uid="{00000000-0005-0000-0000-0000AD0F0000}"/>
    <cellStyle name="20% - Accent2 3 3 2" xfId="654" xr:uid="{00000000-0005-0000-0000-0000AE0F0000}"/>
    <cellStyle name="20% - Accent2 3 3 2 2" xfId="1364" xr:uid="{00000000-0005-0000-0000-0000AF0F0000}"/>
    <cellStyle name="20% - Accent2 3 3 2 2 2" xfId="1597" xr:uid="{00000000-0005-0000-0000-0000B00F0000}"/>
    <cellStyle name="20% - Accent2 3 3 2 2 2 2" xfId="3433" xr:uid="{00000000-0005-0000-0000-0000B10F0000}"/>
    <cellStyle name="20% - Accent2 3 3 2 2 2 2 2" xfId="6405" xr:uid="{00000000-0005-0000-0000-0000B20F0000}"/>
    <cellStyle name="20% - Accent2 3 3 2 2 2 2 2 2" xfId="12055" xr:uid="{00000000-0005-0000-0000-0000B30F0000}"/>
    <cellStyle name="20% - Accent2 3 3 2 2 2 2 2 2 2" xfId="23356" xr:uid="{00000000-0005-0000-0000-0000B40F0000}"/>
    <cellStyle name="20% - Accent2 3 3 2 2 2 2 2 2 2 2" xfId="45958" xr:uid="{00000000-0005-0000-0000-0000B50F0000}"/>
    <cellStyle name="20% - Accent2 3 3 2 2 2 2 2 2 3" xfId="34657" xr:uid="{00000000-0005-0000-0000-0000B60F0000}"/>
    <cellStyle name="20% - Accent2 3 3 2 2 2 2 2 3" xfId="17706" xr:uid="{00000000-0005-0000-0000-0000B70F0000}"/>
    <cellStyle name="20% - Accent2 3 3 2 2 2 2 2 3 2" xfId="40308" xr:uid="{00000000-0005-0000-0000-0000B80F0000}"/>
    <cellStyle name="20% - Accent2 3 3 2 2 2 2 2 4" xfId="29007" xr:uid="{00000000-0005-0000-0000-0000B90F0000}"/>
    <cellStyle name="20% - Accent2 3 3 2 2 2 2 3" xfId="9223" xr:uid="{00000000-0005-0000-0000-0000BA0F0000}"/>
    <cellStyle name="20% - Accent2 3 3 2 2 2 2 3 2" xfId="20524" xr:uid="{00000000-0005-0000-0000-0000BB0F0000}"/>
    <cellStyle name="20% - Accent2 3 3 2 2 2 2 3 2 2" xfId="43126" xr:uid="{00000000-0005-0000-0000-0000BC0F0000}"/>
    <cellStyle name="20% - Accent2 3 3 2 2 2 2 3 3" xfId="31825" xr:uid="{00000000-0005-0000-0000-0000BD0F0000}"/>
    <cellStyle name="20% - Accent2 3 3 2 2 2 2 4" xfId="14874" xr:uid="{00000000-0005-0000-0000-0000BE0F0000}"/>
    <cellStyle name="20% - Accent2 3 3 2 2 2 2 4 2" xfId="37476" xr:uid="{00000000-0005-0000-0000-0000BF0F0000}"/>
    <cellStyle name="20% - Accent2 3 3 2 2 2 2 5" xfId="26175" xr:uid="{00000000-0005-0000-0000-0000C00F0000}"/>
    <cellStyle name="20% - Accent2 3 3 2 2 2 3" xfId="5171" xr:uid="{00000000-0005-0000-0000-0000C10F0000}"/>
    <cellStyle name="20% - Accent2 3 3 2 2 2 3 2" xfId="10821" xr:uid="{00000000-0005-0000-0000-0000C20F0000}"/>
    <cellStyle name="20% - Accent2 3 3 2 2 2 3 2 2" xfId="22122" xr:uid="{00000000-0005-0000-0000-0000C30F0000}"/>
    <cellStyle name="20% - Accent2 3 3 2 2 2 3 2 2 2" xfId="44724" xr:uid="{00000000-0005-0000-0000-0000C40F0000}"/>
    <cellStyle name="20% - Accent2 3 3 2 2 2 3 2 3" xfId="33423" xr:uid="{00000000-0005-0000-0000-0000C50F0000}"/>
    <cellStyle name="20% - Accent2 3 3 2 2 2 3 3" xfId="16472" xr:uid="{00000000-0005-0000-0000-0000C60F0000}"/>
    <cellStyle name="20% - Accent2 3 3 2 2 2 3 3 2" xfId="39074" xr:uid="{00000000-0005-0000-0000-0000C70F0000}"/>
    <cellStyle name="20% - Accent2 3 3 2 2 2 3 4" xfId="27773" xr:uid="{00000000-0005-0000-0000-0000C80F0000}"/>
    <cellStyle name="20% - Accent2 3 3 2 2 2 4" xfId="7453" xr:uid="{00000000-0005-0000-0000-0000C90F0000}"/>
    <cellStyle name="20% - Accent2 3 3 2 2 2 4 2" xfId="18754" xr:uid="{00000000-0005-0000-0000-0000CA0F0000}"/>
    <cellStyle name="20% - Accent2 3 3 2 2 2 4 2 2" xfId="41356" xr:uid="{00000000-0005-0000-0000-0000CB0F0000}"/>
    <cellStyle name="20% - Accent2 3 3 2 2 2 4 3" xfId="30055" xr:uid="{00000000-0005-0000-0000-0000CC0F0000}"/>
    <cellStyle name="20% - Accent2 3 3 2 2 2 5" xfId="13104" xr:uid="{00000000-0005-0000-0000-0000CD0F0000}"/>
    <cellStyle name="20% - Accent2 3 3 2 2 2 5 2" xfId="35706" xr:uid="{00000000-0005-0000-0000-0000CE0F0000}"/>
    <cellStyle name="20% - Accent2 3 3 2 2 2 6" xfId="24405" xr:uid="{00000000-0005-0000-0000-0000CF0F0000}"/>
    <cellStyle name="20% - Accent2 3 3 2 2 3" xfId="2762" xr:uid="{00000000-0005-0000-0000-0000D00F0000}"/>
    <cellStyle name="20% - Accent2 3 3 2 2 3 2" xfId="5781" xr:uid="{00000000-0005-0000-0000-0000D10F0000}"/>
    <cellStyle name="20% - Accent2 3 3 2 2 3 2 2" xfId="11431" xr:uid="{00000000-0005-0000-0000-0000D20F0000}"/>
    <cellStyle name="20% - Accent2 3 3 2 2 3 2 2 2" xfId="22732" xr:uid="{00000000-0005-0000-0000-0000D30F0000}"/>
    <cellStyle name="20% - Accent2 3 3 2 2 3 2 2 2 2" xfId="45334" xr:uid="{00000000-0005-0000-0000-0000D40F0000}"/>
    <cellStyle name="20% - Accent2 3 3 2 2 3 2 2 3" xfId="34033" xr:uid="{00000000-0005-0000-0000-0000D50F0000}"/>
    <cellStyle name="20% - Accent2 3 3 2 2 3 2 3" xfId="17082" xr:uid="{00000000-0005-0000-0000-0000D60F0000}"/>
    <cellStyle name="20% - Accent2 3 3 2 2 3 2 3 2" xfId="39684" xr:uid="{00000000-0005-0000-0000-0000D70F0000}"/>
    <cellStyle name="20% - Accent2 3 3 2 2 3 2 4" xfId="28383" xr:uid="{00000000-0005-0000-0000-0000D80F0000}"/>
    <cellStyle name="20% - Accent2 3 3 2 2 3 3" xfId="8598" xr:uid="{00000000-0005-0000-0000-0000D90F0000}"/>
    <cellStyle name="20% - Accent2 3 3 2 2 3 3 2" xfId="19899" xr:uid="{00000000-0005-0000-0000-0000DA0F0000}"/>
    <cellStyle name="20% - Accent2 3 3 2 2 3 3 2 2" xfId="42501" xr:uid="{00000000-0005-0000-0000-0000DB0F0000}"/>
    <cellStyle name="20% - Accent2 3 3 2 2 3 3 3" xfId="31200" xr:uid="{00000000-0005-0000-0000-0000DC0F0000}"/>
    <cellStyle name="20% - Accent2 3 3 2 2 3 4" xfId="14249" xr:uid="{00000000-0005-0000-0000-0000DD0F0000}"/>
    <cellStyle name="20% - Accent2 3 3 2 2 3 4 2" xfId="36851" xr:uid="{00000000-0005-0000-0000-0000DE0F0000}"/>
    <cellStyle name="20% - Accent2 3 3 2 2 3 5" xfId="25550" xr:uid="{00000000-0005-0000-0000-0000DF0F0000}"/>
    <cellStyle name="20% - Accent2 3 3 2 2 4" xfId="4547" xr:uid="{00000000-0005-0000-0000-0000E00F0000}"/>
    <cellStyle name="20% - Accent2 3 3 2 2 4 2" xfId="10197" xr:uid="{00000000-0005-0000-0000-0000E10F0000}"/>
    <cellStyle name="20% - Accent2 3 3 2 2 4 2 2" xfId="21498" xr:uid="{00000000-0005-0000-0000-0000E20F0000}"/>
    <cellStyle name="20% - Accent2 3 3 2 2 4 2 2 2" xfId="44100" xr:uid="{00000000-0005-0000-0000-0000E30F0000}"/>
    <cellStyle name="20% - Accent2 3 3 2 2 4 2 3" xfId="32799" xr:uid="{00000000-0005-0000-0000-0000E40F0000}"/>
    <cellStyle name="20% - Accent2 3 3 2 2 4 3" xfId="15848" xr:uid="{00000000-0005-0000-0000-0000E50F0000}"/>
    <cellStyle name="20% - Accent2 3 3 2 2 4 3 2" xfId="38450" xr:uid="{00000000-0005-0000-0000-0000E60F0000}"/>
    <cellStyle name="20% - Accent2 3 3 2 2 4 4" xfId="27149" xr:uid="{00000000-0005-0000-0000-0000E70F0000}"/>
    <cellStyle name="20% - Accent2 3 3 2 2 5" xfId="7343" xr:uid="{00000000-0005-0000-0000-0000E80F0000}"/>
    <cellStyle name="20% - Accent2 3 3 2 2 5 2" xfId="18644" xr:uid="{00000000-0005-0000-0000-0000E90F0000}"/>
    <cellStyle name="20% - Accent2 3 3 2 2 5 2 2" xfId="41246" xr:uid="{00000000-0005-0000-0000-0000EA0F0000}"/>
    <cellStyle name="20% - Accent2 3 3 2 2 5 3" xfId="29945" xr:uid="{00000000-0005-0000-0000-0000EB0F0000}"/>
    <cellStyle name="20% - Accent2 3 3 2 2 6" xfId="12994" xr:uid="{00000000-0005-0000-0000-0000EC0F0000}"/>
    <cellStyle name="20% - Accent2 3 3 2 2 6 2" xfId="35596" xr:uid="{00000000-0005-0000-0000-0000ED0F0000}"/>
    <cellStyle name="20% - Accent2 3 3 2 2 7" xfId="24295" xr:uid="{00000000-0005-0000-0000-0000EE0F0000}"/>
    <cellStyle name="20% - Accent2 3 3 2 3" xfId="1062" xr:uid="{00000000-0005-0000-0000-0000EF0F0000}"/>
    <cellStyle name="20% - Accent2 3 3 2 3 2" xfId="3125" xr:uid="{00000000-0005-0000-0000-0000F00F0000}"/>
    <cellStyle name="20% - Accent2 3 3 2 3 2 2" xfId="6097" xr:uid="{00000000-0005-0000-0000-0000F10F0000}"/>
    <cellStyle name="20% - Accent2 3 3 2 3 2 2 2" xfId="11747" xr:uid="{00000000-0005-0000-0000-0000F20F0000}"/>
    <cellStyle name="20% - Accent2 3 3 2 3 2 2 2 2" xfId="23048" xr:uid="{00000000-0005-0000-0000-0000F30F0000}"/>
    <cellStyle name="20% - Accent2 3 3 2 3 2 2 2 2 2" xfId="45650" xr:uid="{00000000-0005-0000-0000-0000F40F0000}"/>
    <cellStyle name="20% - Accent2 3 3 2 3 2 2 2 3" xfId="34349" xr:uid="{00000000-0005-0000-0000-0000F50F0000}"/>
    <cellStyle name="20% - Accent2 3 3 2 3 2 2 3" xfId="17398" xr:uid="{00000000-0005-0000-0000-0000F60F0000}"/>
    <cellStyle name="20% - Accent2 3 3 2 3 2 2 3 2" xfId="40000" xr:uid="{00000000-0005-0000-0000-0000F70F0000}"/>
    <cellStyle name="20% - Accent2 3 3 2 3 2 2 4" xfId="28699" xr:uid="{00000000-0005-0000-0000-0000F80F0000}"/>
    <cellStyle name="20% - Accent2 3 3 2 3 2 3" xfId="8915" xr:uid="{00000000-0005-0000-0000-0000F90F0000}"/>
    <cellStyle name="20% - Accent2 3 3 2 3 2 3 2" xfId="20216" xr:uid="{00000000-0005-0000-0000-0000FA0F0000}"/>
    <cellStyle name="20% - Accent2 3 3 2 3 2 3 2 2" xfId="42818" xr:uid="{00000000-0005-0000-0000-0000FB0F0000}"/>
    <cellStyle name="20% - Accent2 3 3 2 3 2 3 3" xfId="31517" xr:uid="{00000000-0005-0000-0000-0000FC0F0000}"/>
    <cellStyle name="20% - Accent2 3 3 2 3 2 4" xfId="14566" xr:uid="{00000000-0005-0000-0000-0000FD0F0000}"/>
    <cellStyle name="20% - Accent2 3 3 2 3 2 4 2" xfId="37168" xr:uid="{00000000-0005-0000-0000-0000FE0F0000}"/>
    <cellStyle name="20% - Accent2 3 3 2 3 2 5" xfId="25867" xr:uid="{00000000-0005-0000-0000-0000FF0F0000}"/>
    <cellStyle name="20% - Accent2 3 3 2 3 3" xfId="4863" xr:uid="{00000000-0005-0000-0000-000000100000}"/>
    <cellStyle name="20% - Accent2 3 3 2 3 3 2" xfId="10513" xr:uid="{00000000-0005-0000-0000-000001100000}"/>
    <cellStyle name="20% - Accent2 3 3 2 3 3 2 2" xfId="21814" xr:uid="{00000000-0005-0000-0000-000002100000}"/>
    <cellStyle name="20% - Accent2 3 3 2 3 3 2 2 2" xfId="44416" xr:uid="{00000000-0005-0000-0000-000003100000}"/>
    <cellStyle name="20% - Accent2 3 3 2 3 3 2 3" xfId="33115" xr:uid="{00000000-0005-0000-0000-000004100000}"/>
    <cellStyle name="20% - Accent2 3 3 2 3 3 3" xfId="16164" xr:uid="{00000000-0005-0000-0000-000005100000}"/>
    <cellStyle name="20% - Accent2 3 3 2 3 3 3 2" xfId="38766" xr:uid="{00000000-0005-0000-0000-000006100000}"/>
    <cellStyle name="20% - Accent2 3 3 2 3 3 4" xfId="27465" xr:uid="{00000000-0005-0000-0000-000007100000}"/>
    <cellStyle name="20% - Accent2 3 3 2 3 4" xfId="7050" xr:uid="{00000000-0005-0000-0000-000008100000}"/>
    <cellStyle name="20% - Accent2 3 3 2 3 4 2" xfId="18351" xr:uid="{00000000-0005-0000-0000-000009100000}"/>
    <cellStyle name="20% - Accent2 3 3 2 3 4 2 2" xfId="40953" xr:uid="{00000000-0005-0000-0000-00000A100000}"/>
    <cellStyle name="20% - Accent2 3 3 2 3 4 3" xfId="29652" xr:uid="{00000000-0005-0000-0000-00000B100000}"/>
    <cellStyle name="20% - Accent2 3 3 2 3 5" xfId="12701" xr:uid="{00000000-0005-0000-0000-00000C100000}"/>
    <cellStyle name="20% - Accent2 3 3 2 3 5 2" xfId="35303" xr:uid="{00000000-0005-0000-0000-00000D100000}"/>
    <cellStyle name="20% - Accent2 3 3 2 3 6" xfId="24002" xr:uid="{00000000-0005-0000-0000-00000E100000}"/>
    <cellStyle name="20% - Accent2 3 3 2 4" xfId="1596" xr:uid="{00000000-0005-0000-0000-00000F100000}"/>
    <cellStyle name="20% - Accent2 3 3 2 4 2" xfId="3541" xr:uid="{00000000-0005-0000-0000-000010100000}"/>
    <cellStyle name="20% - Accent2 3 3 2 4 2 2" xfId="9290" xr:uid="{00000000-0005-0000-0000-000011100000}"/>
    <cellStyle name="20% - Accent2 3 3 2 4 2 2 2" xfId="20591" xr:uid="{00000000-0005-0000-0000-000012100000}"/>
    <cellStyle name="20% - Accent2 3 3 2 4 2 2 2 2" xfId="43193" xr:uid="{00000000-0005-0000-0000-000013100000}"/>
    <cellStyle name="20% - Accent2 3 3 2 4 2 2 3" xfId="31892" xr:uid="{00000000-0005-0000-0000-000014100000}"/>
    <cellStyle name="20% - Accent2 3 3 2 4 2 3" xfId="14941" xr:uid="{00000000-0005-0000-0000-000015100000}"/>
    <cellStyle name="20% - Accent2 3 3 2 4 2 3 2" xfId="37543" xr:uid="{00000000-0005-0000-0000-000016100000}"/>
    <cellStyle name="20% - Accent2 3 3 2 4 2 4" xfId="26242" xr:uid="{00000000-0005-0000-0000-000017100000}"/>
    <cellStyle name="20% - Accent2 3 3 2 4 3" xfId="5473" xr:uid="{00000000-0005-0000-0000-000018100000}"/>
    <cellStyle name="20% - Accent2 3 3 2 4 3 2" xfId="11123" xr:uid="{00000000-0005-0000-0000-000019100000}"/>
    <cellStyle name="20% - Accent2 3 3 2 4 3 2 2" xfId="22424" xr:uid="{00000000-0005-0000-0000-00001A100000}"/>
    <cellStyle name="20% - Accent2 3 3 2 4 3 2 2 2" xfId="45026" xr:uid="{00000000-0005-0000-0000-00001B100000}"/>
    <cellStyle name="20% - Accent2 3 3 2 4 3 2 3" xfId="33725" xr:uid="{00000000-0005-0000-0000-00001C100000}"/>
    <cellStyle name="20% - Accent2 3 3 2 4 3 3" xfId="16774" xr:uid="{00000000-0005-0000-0000-00001D100000}"/>
    <cellStyle name="20% - Accent2 3 3 2 4 3 3 2" xfId="39376" xr:uid="{00000000-0005-0000-0000-00001E100000}"/>
    <cellStyle name="20% - Accent2 3 3 2 4 3 4" xfId="28075" xr:uid="{00000000-0005-0000-0000-00001F100000}"/>
    <cellStyle name="20% - Accent2 3 3 2 4 4" xfId="7452" xr:uid="{00000000-0005-0000-0000-000020100000}"/>
    <cellStyle name="20% - Accent2 3 3 2 4 4 2" xfId="18753" xr:uid="{00000000-0005-0000-0000-000021100000}"/>
    <cellStyle name="20% - Accent2 3 3 2 4 4 2 2" xfId="41355" xr:uid="{00000000-0005-0000-0000-000022100000}"/>
    <cellStyle name="20% - Accent2 3 3 2 4 4 3" xfId="30054" xr:uid="{00000000-0005-0000-0000-000023100000}"/>
    <cellStyle name="20% - Accent2 3 3 2 4 5" xfId="13103" xr:uid="{00000000-0005-0000-0000-000024100000}"/>
    <cellStyle name="20% - Accent2 3 3 2 4 5 2" xfId="35705" xr:uid="{00000000-0005-0000-0000-000025100000}"/>
    <cellStyle name="20% - Accent2 3 3 2 4 6" xfId="24404" xr:uid="{00000000-0005-0000-0000-000026100000}"/>
    <cellStyle name="20% - Accent2 3 3 2 5" xfId="2454" xr:uid="{00000000-0005-0000-0000-000027100000}"/>
    <cellStyle name="20% - Accent2 3 3 2 5 2" xfId="8290" xr:uid="{00000000-0005-0000-0000-000028100000}"/>
    <cellStyle name="20% - Accent2 3 3 2 5 2 2" xfId="19591" xr:uid="{00000000-0005-0000-0000-000029100000}"/>
    <cellStyle name="20% - Accent2 3 3 2 5 2 2 2" xfId="42193" xr:uid="{00000000-0005-0000-0000-00002A100000}"/>
    <cellStyle name="20% - Accent2 3 3 2 5 2 3" xfId="30892" xr:uid="{00000000-0005-0000-0000-00002B100000}"/>
    <cellStyle name="20% - Accent2 3 3 2 5 3" xfId="13941" xr:uid="{00000000-0005-0000-0000-00002C100000}"/>
    <cellStyle name="20% - Accent2 3 3 2 5 3 2" xfId="36543" xr:uid="{00000000-0005-0000-0000-00002D100000}"/>
    <cellStyle name="20% - Accent2 3 3 2 5 4" xfId="25242" xr:uid="{00000000-0005-0000-0000-00002E100000}"/>
    <cellStyle name="20% - Accent2 3 3 2 6" xfId="4239" xr:uid="{00000000-0005-0000-0000-00002F100000}"/>
    <cellStyle name="20% - Accent2 3 3 2 6 2" xfId="9889" xr:uid="{00000000-0005-0000-0000-000030100000}"/>
    <cellStyle name="20% - Accent2 3 3 2 6 2 2" xfId="21190" xr:uid="{00000000-0005-0000-0000-000031100000}"/>
    <cellStyle name="20% - Accent2 3 3 2 6 2 2 2" xfId="43792" xr:uid="{00000000-0005-0000-0000-000032100000}"/>
    <cellStyle name="20% - Accent2 3 3 2 6 2 3" xfId="32491" xr:uid="{00000000-0005-0000-0000-000033100000}"/>
    <cellStyle name="20% - Accent2 3 3 2 6 3" xfId="15540" xr:uid="{00000000-0005-0000-0000-000034100000}"/>
    <cellStyle name="20% - Accent2 3 3 2 6 3 2" xfId="38142" xr:uid="{00000000-0005-0000-0000-000035100000}"/>
    <cellStyle name="20% - Accent2 3 3 2 6 4" xfId="26841" xr:uid="{00000000-0005-0000-0000-000036100000}"/>
    <cellStyle name="20% - Accent2 3 3 2 7" xfId="6719" xr:uid="{00000000-0005-0000-0000-000037100000}"/>
    <cellStyle name="20% - Accent2 3 3 2 7 2" xfId="18020" xr:uid="{00000000-0005-0000-0000-000038100000}"/>
    <cellStyle name="20% - Accent2 3 3 2 7 2 2" xfId="40622" xr:uid="{00000000-0005-0000-0000-000039100000}"/>
    <cellStyle name="20% - Accent2 3 3 2 7 3" xfId="29321" xr:uid="{00000000-0005-0000-0000-00003A100000}"/>
    <cellStyle name="20% - Accent2 3 3 2 8" xfId="12370" xr:uid="{00000000-0005-0000-0000-00003B100000}"/>
    <cellStyle name="20% - Accent2 3 3 2 8 2" xfId="34972" xr:uid="{00000000-0005-0000-0000-00003C100000}"/>
    <cellStyle name="20% - Accent2 3 3 2 9" xfId="23671" xr:uid="{00000000-0005-0000-0000-00003D100000}"/>
    <cellStyle name="20% - Accent2 3 3 3" xfId="1226" xr:uid="{00000000-0005-0000-0000-00003E100000}"/>
    <cellStyle name="20% - Accent2 3 3 3 2" xfId="1598" xr:uid="{00000000-0005-0000-0000-00003F100000}"/>
    <cellStyle name="20% - Accent2 3 3 3 2 2" xfId="3294" xr:uid="{00000000-0005-0000-0000-000040100000}"/>
    <cellStyle name="20% - Accent2 3 3 3 2 2 2" xfId="6266" xr:uid="{00000000-0005-0000-0000-000041100000}"/>
    <cellStyle name="20% - Accent2 3 3 3 2 2 2 2" xfId="11916" xr:uid="{00000000-0005-0000-0000-000042100000}"/>
    <cellStyle name="20% - Accent2 3 3 3 2 2 2 2 2" xfId="23217" xr:uid="{00000000-0005-0000-0000-000043100000}"/>
    <cellStyle name="20% - Accent2 3 3 3 2 2 2 2 2 2" xfId="45819" xr:uid="{00000000-0005-0000-0000-000044100000}"/>
    <cellStyle name="20% - Accent2 3 3 3 2 2 2 2 3" xfId="34518" xr:uid="{00000000-0005-0000-0000-000045100000}"/>
    <cellStyle name="20% - Accent2 3 3 3 2 2 2 3" xfId="17567" xr:uid="{00000000-0005-0000-0000-000046100000}"/>
    <cellStyle name="20% - Accent2 3 3 3 2 2 2 3 2" xfId="40169" xr:uid="{00000000-0005-0000-0000-000047100000}"/>
    <cellStyle name="20% - Accent2 3 3 3 2 2 2 4" xfId="28868" xr:uid="{00000000-0005-0000-0000-000048100000}"/>
    <cellStyle name="20% - Accent2 3 3 3 2 2 3" xfId="9084" xr:uid="{00000000-0005-0000-0000-000049100000}"/>
    <cellStyle name="20% - Accent2 3 3 3 2 2 3 2" xfId="20385" xr:uid="{00000000-0005-0000-0000-00004A100000}"/>
    <cellStyle name="20% - Accent2 3 3 3 2 2 3 2 2" xfId="42987" xr:uid="{00000000-0005-0000-0000-00004B100000}"/>
    <cellStyle name="20% - Accent2 3 3 3 2 2 3 3" xfId="31686" xr:uid="{00000000-0005-0000-0000-00004C100000}"/>
    <cellStyle name="20% - Accent2 3 3 3 2 2 4" xfId="14735" xr:uid="{00000000-0005-0000-0000-00004D100000}"/>
    <cellStyle name="20% - Accent2 3 3 3 2 2 4 2" xfId="37337" xr:uid="{00000000-0005-0000-0000-00004E100000}"/>
    <cellStyle name="20% - Accent2 3 3 3 2 2 5" xfId="26036" xr:uid="{00000000-0005-0000-0000-00004F100000}"/>
    <cellStyle name="20% - Accent2 3 3 3 2 3" xfId="5032" xr:uid="{00000000-0005-0000-0000-000050100000}"/>
    <cellStyle name="20% - Accent2 3 3 3 2 3 2" xfId="10682" xr:uid="{00000000-0005-0000-0000-000051100000}"/>
    <cellStyle name="20% - Accent2 3 3 3 2 3 2 2" xfId="21983" xr:uid="{00000000-0005-0000-0000-000052100000}"/>
    <cellStyle name="20% - Accent2 3 3 3 2 3 2 2 2" xfId="44585" xr:uid="{00000000-0005-0000-0000-000053100000}"/>
    <cellStyle name="20% - Accent2 3 3 3 2 3 2 3" xfId="33284" xr:uid="{00000000-0005-0000-0000-000054100000}"/>
    <cellStyle name="20% - Accent2 3 3 3 2 3 3" xfId="16333" xr:uid="{00000000-0005-0000-0000-000055100000}"/>
    <cellStyle name="20% - Accent2 3 3 3 2 3 3 2" xfId="38935" xr:uid="{00000000-0005-0000-0000-000056100000}"/>
    <cellStyle name="20% - Accent2 3 3 3 2 3 4" xfId="27634" xr:uid="{00000000-0005-0000-0000-000057100000}"/>
    <cellStyle name="20% - Accent2 3 3 3 2 4" xfId="7454" xr:uid="{00000000-0005-0000-0000-000058100000}"/>
    <cellStyle name="20% - Accent2 3 3 3 2 4 2" xfId="18755" xr:uid="{00000000-0005-0000-0000-000059100000}"/>
    <cellStyle name="20% - Accent2 3 3 3 2 4 2 2" xfId="41357" xr:uid="{00000000-0005-0000-0000-00005A100000}"/>
    <cellStyle name="20% - Accent2 3 3 3 2 4 3" xfId="30056" xr:uid="{00000000-0005-0000-0000-00005B100000}"/>
    <cellStyle name="20% - Accent2 3 3 3 2 5" xfId="13105" xr:uid="{00000000-0005-0000-0000-00005C100000}"/>
    <cellStyle name="20% - Accent2 3 3 3 2 5 2" xfId="35707" xr:uid="{00000000-0005-0000-0000-00005D100000}"/>
    <cellStyle name="20% - Accent2 3 3 3 2 6" xfId="24406" xr:uid="{00000000-0005-0000-0000-00005E100000}"/>
    <cellStyle name="20% - Accent2 3 3 3 3" xfId="2623" xr:uid="{00000000-0005-0000-0000-00005F100000}"/>
    <cellStyle name="20% - Accent2 3 3 3 3 2" xfId="5642" xr:uid="{00000000-0005-0000-0000-000060100000}"/>
    <cellStyle name="20% - Accent2 3 3 3 3 2 2" xfId="11292" xr:uid="{00000000-0005-0000-0000-000061100000}"/>
    <cellStyle name="20% - Accent2 3 3 3 3 2 2 2" xfId="22593" xr:uid="{00000000-0005-0000-0000-000062100000}"/>
    <cellStyle name="20% - Accent2 3 3 3 3 2 2 2 2" xfId="45195" xr:uid="{00000000-0005-0000-0000-000063100000}"/>
    <cellStyle name="20% - Accent2 3 3 3 3 2 2 3" xfId="33894" xr:uid="{00000000-0005-0000-0000-000064100000}"/>
    <cellStyle name="20% - Accent2 3 3 3 3 2 3" xfId="16943" xr:uid="{00000000-0005-0000-0000-000065100000}"/>
    <cellStyle name="20% - Accent2 3 3 3 3 2 3 2" xfId="39545" xr:uid="{00000000-0005-0000-0000-000066100000}"/>
    <cellStyle name="20% - Accent2 3 3 3 3 2 4" xfId="28244" xr:uid="{00000000-0005-0000-0000-000067100000}"/>
    <cellStyle name="20% - Accent2 3 3 3 3 3" xfId="8459" xr:uid="{00000000-0005-0000-0000-000068100000}"/>
    <cellStyle name="20% - Accent2 3 3 3 3 3 2" xfId="19760" xr:uid="{00000000-0005-0000-0000-000069100000}"/>
    <cellStyle name="20% - Accent2 3 3 3 3 3 2 2" xfId="42362" xr:uid="{00000000-0005-0000-0000-00006A100000}"/>
    <cellStyle name="20% - Accent2 3 3 3 3 3 3" xfId="31061" xr:uid="{00000000-0005-0000-0000-00006B100000}"/>
    <cellStyle name="20% - Accent2 3 3 3 3 4" xfId="14110" xr:uid="{00000000-0005-0000-0000-00006C100000}"/>
    <cellStyle name="20% - Accent2 3 3 3 3 4 2" xfId="36712" xr:uid="{00000000-0005-0000-0000-00006D100000}"/>
    <cellStyle name="20% - Accent2 3 3 3 3 5" xfId="25411" xr:uid="{00000000-0005-0000-0000-00006E100000}"/>
    <cellStyle name="20% - Accent2 3 3 3 4" xfId="4408" xr:uid="{00000000-0005-0000-0000-00006F100000}"/>
    <cellStyle name="20% - Accent2 3 3 3 4 2" xfId="10058" xr:uid="{00000000-0005-0000-0000-000070100000}"/>
    <cellStyle name="20% - Accent2 3 3 3 4 2 2" xfId="21359" xr:uid="{00000000-0005-0000-0000-000071100000}"/>
    <cellStyle name="20% - Accent2 3 3 3 4 2 2 2" xfId="43961" xr:uid="{00000000-0005-0000-0000-000072100000}"/>
    <cellStyle name="20% - Accent2 3 3 3 4 2 3" xfId="32660" xr:uid="{00000000-0005-0000-0000-000073100000}"/>
    <cellStyle name="20% - Accent2 3 3 3 4 3" xfId="15709" xr:uid="{00000000-0005-0000-0000-000074100000}"/>
    <cellStyle name="20% - Accent2 3 3 3 4 3 2" xfId="38311" xr:uid="{00000000-0005-0000-0000-000075100000}"/>
    <cellStyle name="20% - Accent2 3 3 3 4 4" xfId="27010" xr:uid="{00000000-0005-0000-0000-000076100000}"/>
    <cellStyle name="20% - Accent2 3 3 3 5" xfId="7205" xr:uid="{00000000-0005-0000-0000-000077100000}"/>
    <cellStyle name="20% - Accent2 3 3 3 5 2" xfId="18506" xr:uid="{00000000-0005-0000-0000-000078100000}"/>
    <cellStyle name="20% - Accent2 3 3 3 5 2 2" xfId="41108" xr:uid="{00000000-0005-0000-0000-000079100000}"/>
    <cellStyle name="20% - Accent2 3 3 3 5 3" xfId="29807" xr:uid="{00000000-0005-0000-0000-00007A100000}"/>
    <cellStyle name="20% - Accent2 3 3 3 6" xfId="12856" xr:uid="{00000000-0005-0000-0000-00007B100000}"/>
    <cellStyle name="20% - Accent2 3 3 3 6 2" xfId="35458" xr:uid="{00000000-0005-0000-0000-00007C100000}"/>
    <cellStyle name="20% - Accent2 3 3 3 7" xfId="24157" xr:uid="{00000000-0005-0000-0000-00007D100000}"/>
    <cellStyle name="20% - Accent2 3 3 4" xfId="917" xr:uid="{00000000-0005-0000-0000-00007E100000}"/>
    <cellStyle name="20% - Accent2 3 3 4 2" xfId="2987" xr:uid="{00000000-0005-0000-0000-00007F100000}"/>
    <cellStyle name="20% - Accent2 3 3 4 2 2" xfId="5959" xr:uid="{00000000-0005-0000-0000-000080100000}"/>
    <cellStyle name="20% - Accent2 3 3 4 2 2 2" xfId="11609" xr:uid="{00000000-0005-0000-0000-000081100000}"/>
    <cellStyle name="20% - Accent2 3 3 4 2 2 2 2" xfId="22910" xr:uid="{00000000-0005-0000-0000-000082100000}"/>
    <cellStyle name="20% - Accent2 3 3 4 2 2 2 2 2" xfId="45512" xr:uid="{00000000-0005-0000-0000-000083100000}"/>
    <cellStyle name="20% - Accent2 3 3 4 2 2 2 3" xfId="34211" xr:uid="{00000000-0005-0000-0000-000084100000}"/>
    <cellStyle name="20% - Accent2 3 3 4 2 2 3" xfId="17260" xr:uid="{00000000-0005-0000-0000-000085100000}"/>
    <cellStyle name="20% - Accent2 3 3 4 2 2 3 2" xfId="39862" xr:uid="{00000000-0005-0000-0000-000086100000}"/>
    <cellStyle name="20% - Accent2 3 3 4 2 2 4" xfId="28561" xr:uid="{00000000-0005-0000-0000-000087100000}"/>
    <cellStyle name="20% - Accent2 3 3 4 2 3" xfId="8777" xr:uid="{00000000-0005-0000-0000-000088100000}"/>
    <cellStyle name="20% - Accent2 3 3 4 2 3 2" xfId="20078" xr:uid="{00000000-0005-0000-0000-000089100000}"/>
    <cellStyle name="20% - Accent2 3 3 4 2 3 2 2" xfId="42680" xr:uid="{00000000-0005-0000-0000-00008A100000}"/>
    <cellStyle name="20% - Accent2 3 3 4 2 3 3" xfId="31379" xr:uid="{00000000-0005-0000-0000-00008B100000}"/>
    <cellStyle name="20% - Accent2 3 3 4 2 4" xfId="14428" xr:uid="{00000000-0005-0000-0000-00008C100000}"/>
    <cellStyle name="20% - Accent2 3 3 4 2 4 2" xfId="37030" xr:uid="{00000000-0005-0000-0000-00008D100000}"/>
    <cellStyle name="20% - Accent2 3 3 4 2 5" xfId="25729" xr:uid="{00000000-0005-0000-0000-00008E100000}"/>
    <cellStyle name="20% - Accent2 3 3 4 3" xfId="4725" xr:uid="{00000000-0005-0000-0000-00008F100000}"/>
    <cellStyle name="20% - Accent2 3 3 4 3 2" xfId="10375" xr:uid="{00000000-0005-0000-0000-000090100000}"/>
    <cellStyle name="20% - Accent2 3 3 4 3 2 2" xfId="21676" xr:uid="{00000000-0005-0000-0000-000091100000}"/>
    <cellStyle name="20% - Accent2 3 3 4 3 2 2 2" xfId="44278" xr:uid="{00000000-0005-0000-0000-000092100000}"/>
    <cellStyle name="20% - Accent2 3 3 4 3 2 3" xfId="32977" xr:uid="{00000000-0005-0000-0000-000093100000}"/>
    <cellStyle name="20% - Accent2 3 3 4 3 3" xfId="16026" xr:uid="{00000000-0005-0000-0000-000094100000}"/>
    <cellStyle name="20% - Accent2 3 3 4 3 3 2" xfId="38628" xr:uid="{00000000-0005-0000-0000-000095100000}"/>
    <cellStyle name="20% - Accent2 3 3 4 3 4" xfId="27327" xr:uid="{00000000-0005-0000-0000-000096100000}"/>
    <cellStyle name="20% - Accent2 3 3 4 4" xfId="6912" xr:uid="{00000000-0005-0000-0000-000097100000}"/>
    <cellStyle name="20% - Accent2 3 3 4 4 2" xfId="18213" xr:uid="{00000000-0005-0000-0000-000098100000}"/>
    <cellStyle name="20% - Accent2 3 3 4 4 2 2" xfId="40815" xr:uid="{00000000-0005-0000-0000-000099100000}"/>
    <cellStyle name="20% - Accent2 3 3 4 4 3" xfId="29514" xr:uid="{00000000-0005-0000-0000-00009A100000}"/>
    <cellStyle name="20% - Accent2 3 3 4 5" xfId="12563" xr:uid="{00000000-0005-0000-0000-00009B100000}"/>
    <cellStyle name="20% - Accent2 3 3 4 5 2" xfId="35165" xr:uid="{00000000-0005-0000-0000-00009C100000}"/>
    <cellStyle name="20% - Accent2 3 3 4 6" xfId="23864" xr:uid="{00000000-0005-0000-0000-00009D100000}"/>
    <cellStyle name="20% - Accent2 3 3 5" xfId="1595" xr:uid="{00000000-0005-0000-0000-00009E100000}"/>
    <cellStyle name="20% - Accent2 3 3 5 2" xfId="3591" xr:uid="{00000000-0005-0000-0000-00009F100000}"/>
    <cellStyle name="20% - Accent2 3 3 5 2 2" xfId="9310" xr:uid="{00000000-0005-0000-0000-0000A0100000}"/>
    <cellStyle name="20% - Accent2 3 3 5 2 2 2" xfId="20611" xr:uid="{00000000-0005-0000-0000-0000A1100000}"/>
    <cellStyle name="20% - Accent2 3 3 5 2 2 2 2" xfId="43213" xr:uid="{00000000-0005-0000-0000-0000A2100000}"/>
    <cellStyle name="20% - Accent2 3 3 5 2 2 3" xfId="31912" xr:uid="{00000000-0005-0000-0000-0000A3100000}"/>
    <cellStyle name="20% - Accent2 3 3 5 2 3" xfId="14961" xr:uid="{00000000-0005-0000-0000-0000A4100000}"/>
    <cellStyle name="20% - Accent2 3 3 5 2 3 2" xfId="37563" xr:uid="{00000000-0005-0000-0000-0000A5100000}"/>
    <cellStyle name="20% - Accent2 3 3 5 2 4" xfId="26262" xr:uid="{00000000-0005-0000-0000-0000A6100000}"/>
    <cellStyle name="20% - Accent2 3 3 5 3" xfId="5335" xr:uid="{00000000-0005-0000-0000-0000A7100000}"/>
    <cellStyle name="20% - Accent2 3 3 5 3 2" xfId="10985" xr:uid="{00000000-0005-0000-0000-0000A8100000}"/>
    <cellStyle name="20% - Accent2 3 3 5 3 2 2" xfId="22286" xr:uid="{00000000-0005-0000-0000-0000A9100000}"/>
    <cellStyle name="20% - Accent2 3 3 5 3 2 2 2" xfId="44888" xr:uid="{00000000-0005-0000-0000-0000AA100000}"/>
    <cellStyle name="20% - Accent2 3 3 5 3 2 3" xfId="33587" xr:uid="{00000000-0005-0000-0000-0000AB100000}"/>
    <cellStyle name="20% - Accent2 3 3 5 3 3" xfId="16636" xr:uid="{00000000-0005-0000-0000-0000AC100000}"/>
    <cellStyle name="20% - Accent2 3 3 5 3 3 2" xfId="39238" xr:uid="{00000000-0005-0000-0000-0000AD100000}"/>
    <cellStyle name="20% - Accent2 3 3 5 3 4" xfId="27937" xr:uid="{00000000-0005-0000-0000-0000AE100000}"/>
    <cellStyle name="20% - Accent2 3 3 5 4" xfId="7451" xr:uid="{00000000-0005-0000-0000-0000AF100000}"/>
    <cellStyle name="20% - Accent2 3 3 5 4 2" xfId="18752" xr:uid="{00000000-0005-0000-0000-0000B0100000}"/>
    <cellStyle name="20% - Accent2 3 3 5 4 2 2" xfId="41354" xr:uid="{00000000-0005-0000-0000-0000B1100000}"/>
    <cellStyle name="20% - Accent2 3 3 5 4 3" xfId="30053" xr:uid="{00000000-0005-0000-0000-0000B2100000}"/>
    <cellStyle name="20% - Accent2 3 3 5 5" xfId="13102" xr:uid="{00000000-0005-0000-0000-0000B3100000}"/>
    <cellStyle name="20% - Accent2 3 3 5 5 2" xfId="35704" xr:uid="{00000000-0005-0000-0000-0000B4100000}"/>
    <cellStyle name="20% - Accent2 3 3 5 6" xfId="24403" xr:uid="{00000000-0005-0000-0000-0000B5100000}"/>
    <cellStyle name="20% - Accent2 3 3 6" xfId="2314" xr:uid="{00000000-0005-0000-0000-0000B6100000}"/>
    <cellStyle name="20% - Accent2 3 3 6 2" xfId="8150" xr:uid="{00000000-0005-0000-0000-0000B7100000}"/>
    <cellStyle name="20% - Accent2 3 3 6 2 2" xfId="19451" xr:uid="{00000000-0005-0000-0000-0000B8100000}"/>
    <cellStyle name="20% - Accent2 3 3 6 2 2 2" xfId="42053" xr:uid="{00000000-0005-0000-0000-0000B9100000}"/>
    <cellStyle name="20% - Accent2 3 3 6 2 3" xfId="30752" xr:uid="{00000000-0005-0000-0000-0000BA100000}"/>
    <cellStyle name="20% - Accent2 3 3 6 3" xfId="13801" xr:uid="{00000000-0005-0000-0000-0000BB100000}"/>
    <cellStyle name="20% - Accent2 3 3 6 3 2" xfId="36403" xr:uid="{00000000-0005-0000-0000-0000BC100000}"/>
    <cellStyle name="20% - Accent2 3 3 6 4" xfId="25102" xr:uid="{00000000-0005-0000-0000-0000BD100000}"/>
    <cellStyle name="20% - Accent2 3 3 7" xfId="4101" xr:uid="{00000000-0005-0000-0000-0000BE100000}"/>
    <cellStyle name="20% - Accent2 3 3 7 2" xfId="9751" xr:uid="{00000000-0005-0000-0000-0000BF100000}"/>
    <cellStyle name="20% - Accent2 3 3 7 2 2" xfId="21052" xr:uid="{00000000-0005-0000-0000-0000C0100000}"/>
    <cellStyle name="20% - Accent2 3 3 7 2 2 2" xfId="43654" xr:uid="{00000000-0005-0000-0000-0000C1100000}"/>
    <cellStyle name="20% - Accent2 3 3 7 2 3" xfId="32353" xr:uid="{00000000-0005-0000-0000-0000C2100000}"/>
    <cellStyle name="20% - Accent2 3 3 7 3" xfId="15402" xr:uid="{00000000-0005-0000-0000-0000C3100000}"/>
    <cellStyle name="20% - Accent2 3 3 7 3 2" xfId="38004" xr:uid="{00000000-0005-0000-0000-0000C4100000}"/>
    <cellStyle name="20% - Accent2 3 3 7 4" xfId="26703" xr:uid="{00000000-0005-0000-0000-0000C5100000}"/>
    <cellStyle name="20% - Accent2 3 3 8" xfId="6552" xr:uid="{00000000-0005-0000-0000-0000C6100000}"/>
    <cellStyle name="20% - Accent2 3 3 8 2" xfId="17853" xr:uid="{00000000-0005-0000-0000-0000C7100000}"/>
    <cellStyle name="20% - Accent2 3 3 8 2 2" xfId="40455" xr:uid="{00000000-0005-0000-0000-0000C8100000}"/>
    <cellStyle name="20% - Accent2 3 3 8 3" xfId="29154" xr:uid="{00000000-0005-0000-0000-0000C9100000}"/>
    <cellStyle name="20% - Accent2 3 3 9" xfId="12203" xr:uid="{00000000-0005-0000-0000-0000CA100000}"/>
    <cellStyle name="20% - Accent2 3 3 9 2" xfId="34805" xr:uid="{00000000-0005-0000-0000-0000CB100000}"/>
    <cellStyle name="20% - Accent2 3 4" xfId="547" xr:uid="{00000000-0005-0000-0000-0000CC100000}"/>
    <cellStyle name="20% - Accent2 3 4 2" xfId="1130" xr:uid="{00000000-0005-0000-0000-0000CD100000}"/>
    <cellStyle name="20% - Accent2 3 4 2 2" xfId="1600" xr:uid="{00000000-0005-0000-0000-0000CE100000}"/>
    <cellStyle name="20% - Accent2 3 4 2 2 2" xfId="3197" xr:uid="{00000000-0005-0000-0000-0000CF100000}"/>
    <cellStyle name="20% - Accent2 3 4 2 2 2 2" xfId="6169" xr:uid="{00000000-0005-0000-0000-0000D0100000}"/>
    <cellStyle name="20% - Accent2 3 4 2 2 2 2 2" xfId="11819" xr:uid="{00000000-0005-0000-0000-0000D1100000}"/>
    <cellStyle name="20% - Accent2 3 4 2 2 2 2 2 2" xfId="23120" xr:uid="{00000000-0005-0000-0000-0000D2100000}"/>
    <cellStyle name="20% - Accent2 3 4 2 2 2 2 2 2 2" xfId="45722" xr:uid="{00000000-0005-0000-0000-0000D3100000}"/>
    <cellStyle name="20% - Accent2 3 4 2 2 2 2 2 3" xfId="34421" xr:uid="{00000000-0005-0000-0000-0000D4100000}"/>
    <cellStyle name="20% - Accent2 3 4 2 2 2 2 3" xfId="17470" xr:uid="{00000000-0005-0000-0000-0000D5100000}"/>
    <cellStyle name="20% - Accent2 3 4 2 2 2 2 3 2" xfId="40072" xr:uid="{00000000-0005-0000-0000-0000D6100000}"/>
    <cellStyle name="20% - Accent2 3 4 2 2 2 2 4" xfId="28771" xr:uid="{00000000-0005-0000-0000-0000D7100000}"/>
    <cellStyle name="20% - Accent2 3 4 2 2 2 3" xfId="8987" xr:uid="{00000000-0005-0000-0000-0000D8100000}"/>
    <cellStyle name="20% - Accent2 3 4 2 2 2 3 2" xfId="20288" xr:uid="{00000000-0005-0000-0000-0000D9100000}"/>
    <cellStyle name="20% - Accent2 3 4 2 2 2 3 2 2" xfId="42890" xr:uid="{00000000-0005-0000-0000-0000DA100000}"/>
    <cellStyle name="20% - Accent2 3 4 2 2 2 3 3" xfId="31589" xr:uid="{00000000-0005-0000-0000-0000DB100000}"/>
    <cellStyle name="20% - Accent2 3 4 2 2 2 4" xfId="14638" xr:uid="{00000000-0005-0000-0000-0000DC100000}"/>
    <cellStyle name="20% - Accent2 3 4 2 2 2 4 2" xfId="37240" xr:uid="{00000000-0005-0000-0000-0000DD100000}"/>
    <cellStyle name="20% - Accent2 3 4 2 2 2 5" xfId="25939" xr:uid="{00000000-0005-0000-0000-0000DE100000}"/>
    <cellStyle name="20% - Accent2 3 4 2 2 3" xfId="4935" xr:uid="{00000000-0005-0000-0000-0000DF100000}"/>
    <cellStyle name="20% - Accent2 3 4 2 2 3 2" xfId="10585" xr:uid="{00000000-0005-0000-0000-0000E0100000}"/>
    <cellStyle name="20% - Accent2 3 4 2 2 3 2 2" xfId="21886" xr:uid="{00000000-0005-0000-0000-0000E1100000}"/>
    <cellStyle name="20% - Accent2 3 4 2 2 3 2 2 2" xfId="44488" xr:uid="{00000000-0005-0000-0000-0000E2100000}"/>
    <cellStyle name="20% - Accent2 3 4 2 2 3 2 3" xfId="33187" xr:uid="{00000000-0005-0000-0000-0000E3100000}"/>
    <cellStyle name="20% - Accent2 3 4 2 2 3 3" xfId="16236" xr:uid="{00000000-0005-0000-0000-0000E4100000}"/>
    <cellStyle name="20% - Accent2 3 4 2 2 3 3 2" xfId="38838" xr:uid="{00000000-0005-0000-0000-0000E5100000}"/>
    <cellStyle name="20% - Accent2 3 4 2 2 3 4" xfId="27537" xr:uid="{00000000-0005-0000-0000-0000E6100000}"/>
    <cellStyle name="20% - Accent2 3 4 2 2 4" xfId="7456" xr:uid="{00000000-0005-0000-0000-0000E7100000}"/>
    <cellStyle name="20% - Accent2 3 4 2 2 4 2" xfId="18757" xr:uid="{00000000-0005-0000-0000-0000E8100000}"/>
    <cellStyle name="20% - Accent2 3 4 2 2 4 2 2" xfId="41359" xr:uid="{00000000-0005-0000-0000-0000E9100000}"/>
    <cellStyle name="20% - Accent2 3 4 2 2 4 3" xfId="30058" xr:uid="{00000000-0005-0000-0000-0000EA100000}"/>
    <cellStyle name="20% - Accent2 3 4 2 2 5" xfId="13107" xr:uid="{00000000-0005-0000-0000-0000EB100000}"/>
    <cellStyle name="20% - Accent2 3 4 2 2 5 2" xfId="35709" xr:uid="{00000000-0005-0000-0000-0000EC100000}"/>
    <cellStyle name="20% - Accent2 3 4 2 2 6" xfId="24408" xr:uid="{00000000-0005-0000-0000-0000ED100000}"/>
    <cellStyle name="20% - Accent2 3 4 2 3" xfId="2526" xr:uid="{00000000-0005-0000-0000-0000EE100000}"/>
    <cellStyle name="20% - Accent2 3 4 2 3 2" xfId="5545" xr:uid="{00000000-0005-0000-0000-0000EF100000}"/>
    <cellStyle name="20% - Accent2 3 4 2 3 2 2" xfId="11195" xr:uid="{00000000-0005-0000-0000-0000F0100000}"/>
    <cellStyle name="20% - Accent2 3 4 2 3 2 2 2" xfId="22496" xr:uid="{00000000-0005-0000-0000-0000F1100000}"/>
    <cellStyle name="20% - Accent2 3 4 2 3 2 2 2 2" xfId="45098" xr:uid="{00000000-0005-0000-0000-0000F2100000}"/>
    <cellStyle name="20% - Accent2 3 4 2 3 2 2 3" xfId="33797" xr:uid="{00000000-0005-0000-0000-0000F3100000}"/>
    <cellStyle name="20% - Accent2 3 4 2 3 2 3" xfId="16846" xr:uid="{00000000-0005-0000-0000-0000F4100000}"/>
    <cellStyle name="20% - Accent2 3 4 2 3 2 3 2" xfId="39448" xr:uid="{00000000-0005-0000-0000-0000F5100000}"/>
    <cellStyle name="20% - Accent2 3 4 2 3 2 4" xfId="28147" xr:uid="{00000000-0005-0000-0000-0000F6100000}"/>
    <cellStyle name="20% - Accent2 3 4 2 3 3" xfId="8362" xr:uid="{00000000-0005-0000-0000-0000F7100000}"/>
    <cellStyle name="20% - Accent2 3 4 2 3 3 2" xfId="19663" xr:uid="{00000000-0005-0000-0000-0000F8100000}"/>
    <cellStyle name="20% - Accent2 3 4 2 3 3 2 2" xfId="42265" xr:uid="{00000000-0005-0000-0000-0000F9100000}"/>
    <cellStyle name="20% - Accent2 3 4 2 3 3 3" xfId="30964" xr:uid="{00000000-0005-0000-0000-0000FA100000}"/>
    <cellStyle name="20% - Accent2 3 4 2 3 4" xfId="14013" xr:uid="{00000000-0005-0000-0000-0000FB100000}"/>
    <cellStyle name="20% - Accent2 3 4 2 3 4 2" xfId="36615" xr:uid="{00000000-0005-0000-0000-0000FC100000}"/>
    <cellStyle name="20% - Accent2 3 4 2 3 5" xfId="25314" xr:uid="{00000000-0005-0000-0000-0000FD100000}"/>
    <cellStyle name="20% - Accent2 3 4 2 4" xfId="4311" xr:uid="{00000000-0005-0000-0000-0000FE100000}"/>
    <cellStyle name="20% - Accent2 3 4 2 4 2" xfId="9961" xr:uid="{00000000-0005-0000-0000-0000FF100000}"/>
    <cellStyle name="20% - Accent2 3 4 2 4 2 2" xfId="21262" xr:uid="{00000000-0005-0000-0000-000000110000}"/>
    <cellStyle name="20% - Accent2 3 4 2 4 2 2 2" xfId="43864" xr:uid="{00000000-0005-0000-0000-000001110000}"/>
    <cellStyle name="20% - Accent2 3 4 2 4 2 3" xfId="32563" xr:uid="{00000000-0005-0000-0000-000002110000}"/>
    <cellStyle name="20% - Accent2 3 4 2 4 3" xfId="15612" xr:uid="{00000000-0005-0000-0000-000003110000}"/>
    <cellStyle name="20% - Accent2 3 4 2 4 3 2" xfId="38214" xr:uid="{00000000-0005-0000-0000-000004110000}"/>
    <cellStyle name="20% - Accent2 3 4 2 4 4" xfId="26913" xr:uid="{00000000-0005-0000-0000-000005110000}"/>
    <cellStyle name="20% - Accent2 3 4 2 5" xfId="7109" xr:uid="{00000000-0005-0000-0000-000006110000}"/>
    <cellStyle name="20% - Accent2 3 4 2 5 2" xfId="18410" xr:uid="{00000000-0005-0000-0000-000007110000}"/>
    <cellStyle name="20% - Accent2 3 4 2 5 2 2" xfId="41012" xr:uid="{00000000-0005-0000-0000-000008110000}"/>
    <cellStyle name="20% - Accent2 3 4 2 5 3" xfId="29711" xr:uid="{00000000-0005-0000-0000-000009110000}"/>
    <cellStyle name="20% - Accent2 3 4 2 6" xfId="12760" xr:uid="{00000000-0005-0000-0000-00000A110000}"/>
    <cellStyle name="20% - Accent2 3 4 2 6 2" xfId="35362" xr:uid="{00000000-0005-0000-0000-00000B110000}"/>
    <cellStyle name="20% - Accent2 3 4 2 7" xfId="24061" xr:uid="{00000000-0005-0000-0000-00000C110000}"/>
    <cellStyle name="20% - Accent2 3 4 3" xfId="801" xr:uid="{00000000-0005-0000-0000-00000D110000}"/>
    <cellStyle name="20% - Accent2 3 4 3 2" xfId="2891" xr:uid="{00000000-0005-0000-0000-00000E110000}"/>
    <cellStyle name="20% - Accent2 3 4 3 2 2" xfId="5863" xr:uid="{00000000-0005-0000-0000-00000F110000}"/>
    <cellStyle name="20% - Accent2 3 4 3 2 2 2" xfId="11513" xr:uid="{00000000-0005-0000-0000-000010110000}"/>
    <cellStyle name="20% - Accent2 3 4 3 2 2 2 2" xfId="22814" xr:uid="{00000000-0005-0000-0000-000011110000}"/>
    <cellStyle name="20% - Accent2 3 4 3 2 2 2 2 2" xfId="45416" xr:uid="{00000000-0005-0000-0000-000012110000}"/>
    <cellStyle name="20% - Accent2 3 4 3 2 2 2 3" xfId="34115" xr:uid="{00000000-0005-0000-0000-000013110000}"/>
    <cellStyle name="20% - Accent2 3 4 3 2 2 3" xfId="17164" xr:uid="{00000000-0005-0000-0000-000014110000}"/>
    <cellStyle name="20% - Accent2 3 4 3 2 2 3 2" xfId="39766" xr:uid="{00000000-0005-0000-0000-000015110000}"/>
    <cellStyle name="20% - Accent2 3 4 3 2 2 4" xfId="28465" xr:uid="{00000000-0005-0000-0000-000016110000}"/>
    <cellStyle name="20% - Accent2 3 4 3 2 3" xfId="8681" xr:uid="{00000000-0005-0000-0000-000017110000}"/>
    <cellStyle name="20% - Accent2 3 4 3 2 3 2" xfId="19982" xr:uid="{00000000-0005-0000-0000-000018110000}"/>
    <cellStyle name="20% - Accent2 3 4 3 2 3 2 2" xfId="42584" xr:uid="{00000000-0005-0000-0000-000019110000}"/>
    <cellStyle name="20% - Accent2 3 4 3 2 3 3" xfId="31283" xr:uid="{00000000-0005-0000-0000-00001A110000}"/>
    <cellStyle name="20% - Accent2 3 4 3 2 4" xfId="14332" xr:uid="{00000000-0005-0000-0000-00001B110000}"/>
    <cellStyle name="20% - Accent2 3 4 3 2 4 2" xfId="36934" xr:uid="{00000000-0005-0000-0000-00001C110000}"/>
    <cellStyle name="20% - Accent2 3 4 3 2 5" xfId="25633" xr:uid="{00000000-0005-0000-0000-00001D110000}"/>
    <cellStyle name="20% - Accent2 3 4 3 3" xfId="4629" xr:uid="{00000000-0005-0000-0000-00001E110000}"/>
    <cellStyle name="20% - Accent2 3 4 3 3 2" xfId="10279" xr:uid="{00000000-0005-0000-0000-00001F110000}"/>
    <cellStyle name="20% - Accent2 3 4 3 3 2 2" xfId="21580" xr:uid="{00000000-0005-0000-0000-000020110000}"/>
    <cellStyle name="20% - Accent2 3 4 3 3 2 2 2" xfId="44182" xr:uid="{00000000-0005-0000-0000-000021110000}"/>
    <cellStyle name="20% - Accent2 3 4 3 3 2 3" xfId="32881" xr:uid="{00000000-0005-0000-0000-000022110000}"/>
    <cellStyle name="20% - Accent2 3 4 3 3 3" xfId="15930" xr:uid="{00000000-0005-0000-0000-000023110000}"/>
    <cellStyle name="20% - Accent2 3 4 3 3 3 2" xfId="38532" xr:uid="{00000000-0005-0000-0000-000024110000}"/>
    <cellStyle name="20% - Accent2 3 4 3 3 4" xfId="27231" xr:uid="{00000000-0005-0000-0000-000025110000}"/>
    <cellStyle name="20% - Accent2 3 4 3 4" xfId="6812" xr:uid="{00000000-0005-0000-0000-000026110000}"/>
    <cellStyle name="20% - Accent2 3 4 3 4 2" xfId="18113" xr:uid="{00000000-0005-0000-0000-000027110000}"/>
    <cellStyle name="20% - Accent2 3 4 3 4 2 2" xfId="40715" xr:uid="{00000000-0005-0000-0000-000028110000}"/>
    <cellStyle name="20% - Accent2 3 4 3 4 3" xfId="29414" xr:uid="{00000000-0005-0000-0000-000029110000}"/>
    <cellStyle name="20% - Accent2 3 4 3 5" xfId="12463" xr:uid="{00000000-0005-0000-0000-00002A110000}"/>
    <cellStyle name="20% - Accent2 3 4 3 5 2" xfId="35065" xr:uid="{00000000-0005-0000-0000-00002B110000}"/>
    <cellStyle name="20% - Accent2 3 4 3 6" xfId="23764" xr:uid="{00000000-0005-0000-0000-00002C110000}"/>
    <cellStyle name="20% - Accent2 3 4 4" xfId="1599" xr:uid="{00000000-0005-0000-0000-00002D110000}"/>
    <cellStyle name="20% - Accent2 3 4 4 2" xfId="3584" xr:uid="{00000000-0005-0000-0000-00002E110000}"/>
    <cellStyle name="20% - Accent2 3 4 4 2 2" xfId="9307" xr:uid="{00000000-0005-0000-0000-00002F110000}"/>
    <cellStyle name="20% - Accent2 3 4 4 2 2 2" xfId="20608" xr:uid="{00000000-0005-0000-0000-000030110000}"/>
    <cellStyle name="20% - Accent2 3 4 4 2 2 2 2" xfId="43210" xr:uid="{00000000-0005-0000-0000-000031110000}"/>
    <cellStyle name="20% - Accent2 3 4 4 2 2 3" xfId="31909" xr:uid="{00000000-0005-0000-0000-000032110000}"/>
    <cellStyle name="20% - Accent2 3 4 4 2 3" xfId="14958" xr:uid="{00000000-0005-0000-0000-000033110000}"/>
    <cellStyle name="20% - Accent2 3 4 4 2 3 2" xfId="37560" xr:uid="{00000000-0005-0000-0000-000034110000}"/>
    <cellStyle name="20% - Accent2 3 4 4 2 4" xfId="26259" xr:uid="{00000000-0005-0000-0000-000035110000}"/>
    <cellStyle name="20% - Accent2 3 4 4 3" xfId="5239" xr:uid="{00000000-0005-0000-0000-000036110000}"/>
    <cellStyle name="20% - Accent2 3 4 4 3 2" xfId="10889" xr:uid="{00000000-0005-0000-0000-000037110000}"/>
    <cellStyle name="20% - Accent2 3 4 4 3 2 2" xfId="22190" xr:uid="{00000000-0005-0000-0000-000038110000}"/>
    <cellStyle name="20% - Accent2 3 4 4 3 2 2 2" xfId="44792" xr:uid="{00000000-0005-0000-0000-000039110000}"/>
    <cellStyle name="20% - Accent2 3 4 4 3 2 3" xfId="33491" xr:uid="{00000000-0005-0000-0000-00003A110000}"/>
    <cellStyle name="20% - Accent2 3 4 4 3 3" xfId="16540" xr:uid="{00000000-0005-0000-0000-00003B110000}"/>
    <cellStyle name="20% - Accent2 3 4 4 3 3 2" xfId="39142" xr:uid="{00000000-0005-0000-0000-00003C110000}"/>
    <cellStyle name="20% - Accent2 3 4 4 3 4" xfId="27841" xr:uid="{00000000-0005-0000-0000-00003D110000}"/>
    <cellStyle name="20% - Accent2 3 4 4 4" xfId="7455" xr:uid="{00000000-0005-0000-0000-00003E110000}"/>
    <cellStyle name="20% - Accent2 3 4 4 4 2" xfId="18756" xr:uid="{00000000-0005-0000-0000-00003F110000}"/>
    <cellStyle name="20% - Accent2 3 4 4 4 2 2" xfId="41358" xr:uid="{00000000-0005-0000-0000-000040110000}"/>
    <cellStyle name="20% - Accent2 3 4 4 4 3" xfId="30057" xr:uid="{00000000-0005-0000-0000-000041110000}"/>
    <cellStyle name="20% - Accent2 3 4 4 5" xfId="13106" xr:uid="{00000000-0005-0000-0000-000042110000}"/>
    <cellStyle name="20% - Accent2 3 4 4 5 2" xfId="35708" xr:uid="{00000000-0005-0000-0000-000043110000}"/>
    <cellStyle name="20% - Accent2 3 4 4 6" xfId="24407" xr:uid="{00000000-0005-0000-0000-000044110000}"/>
    <cellStyle name="20% - Accent2 3 4 5" xfId="2211" xr:uid="{00000000-0005-0000-0000-000045110000}"/>
    <cellStyle name="20% - Accent2 3 4 5 2" xfId="8053" xr:uid="{00000000-0005-0000-0000-000046110000}"/>
    <cellStyle name="20% - Accent2 3 4 5 2 2" xfId="19354" xr:uid="{00000000-0005-0000-0000-000047110000}"/>
    <cellStyle name="20% - Accent2 3 4 5 2 2 2" xfId="41956" xr:uid="{00000000-0005-0000-0000-000048110000}"/>
    <cellStyle name="20% - Accent2 3 4 5 2 3" xfId="30655" xr:uid="{00000000-0005-0000-0000-000049110000}"/>
    <cellStyle name="20% - Accent2 3 4 5 3" xfId="13704" xr:uid="{00000000-0005-0000-0000-00004A110000}"/>
    <cellStyle name="20% - Accent2 3 4 5 3 2" xfId="36306" xr:uid="{00000000-0005-0000-0000-00004B110000}"/>
    <cellStyle name="20% - Accent2 3 4 5 4" xfId="25005" xr:uid="{00000000-0005-0000-0000-00004C110000}"/>
    <cellStyle name="20% - Accent2 3 4 6" xfId="4005" xr:uid="{00000000-0005-0000-0000-00004D110000}"/>
    <cellStyle name="20% - Accent2 3 4 6 2" xfId="9655" xr:uid="{00000000-0005-0000-0000-00004E110000}"/>
    <cellStyle name="20% - Accent2 3 4 6 2 2" xfId="20956" xr:uid="{00000000-0005-0000-0000-00004F110000}"/>
    <cellStyle name="20% - Accent2 3 4 6 2 2 2" xfId="43558" xr:uid="{00000000-0005-0000-0000-000050110000}"/>
    <cellStyle name="20% - Accent2 3 4 6 2 3" xfId="32257" xr:uid="{00000000-0005-0000-0000-000051110000}"/>
    <cellStyle name="20% - Accent2 3 4 6 3" xfId="15306" xr:uid="{00000000-0005-0000-0000-000052110000}"/>
    <cellStyle name="20% - Accent2 3 4 6 3 2" xfId="37908" xr:uid="{00000000-0005-0000-0000-000053110000}"/>
    <cellStyle name="20% - Accent2 3 4 6 4" xfId="26607" xr:uid="{00000000-0005-0000-0000-000054110000}"/>
    <cellStyle name="20% - Accent2 3 4 7" xfId="6623" xr:uid="{00000000-0005-0000-0000-000055110000}"/>
    <cellStyle name="20% - Accent2 3 4 7 2" xfId="17924" xr:uid="{00000000-0005-0000-0000-000056110000}"/>
    <cellStyle name="20% - Accent2 3 4 7 2 2" xfId="40526" xr:uid="{00000000-0005-0000-0000-000057110000}"/>
    <cellStyle name="20% - Accent2 3 4 7 3" xfId="29225" xr:uid="{00000000-0005-0000-0000-000058110000}"/>
    <cellStyle name="20% - Accent2 3 4 8" xfId="12274" xr:uid="{00000000-0005-0000-0000-000059110000}"/>
    <cellStyle name="20% - Accent2 3 4 8 2" xfId="34876" xr:uid="{00000000-0005-0000-0000-00005A110000}"/>
    <cellStyle name="20% - Accent2 3 4 9" xfId="23575" xr:uid="{00000000-0005-0000-0000-00005B110000}"/>
    <cellStyle name="20% - Accent2 3 5" xfId="450" xr:uid="{00000000-0005-0000-0000-00005C110000}"/>
    <cellStyle name="20% - Accent2 3 6" xfId="793" xr:uid="{00000000-0005-0000-0000-00005D110000}"/>
    <cellStyle name="20% - Accent2 3 7" xfId="6456" xr:uid="{00000000-0005-0000-0000-00005E110000}"/>
    <cellStyle name="20% - Accent2 3 7 2" xfId="17757" xr:uid="{00000000-0005-0000-0000-00005F110000}"/>
    <cellStyle name="20% - Accent2 3 7 2 2" xfId="40359" xr:uid="{00000000-0005-0000-0000-000060110000}"/>
    <cellStyle name="20% - Accent2 3 7 3" xfId="29058" xr:uid="{00000000-0005-0000-0000-000061110000}"/>
    <cellStyle name="20% - Accent2 3 8" xfId="12107" xr:uid="{00000000-0005-0000-0000-000062110000}"/>
    <cellStyle name="20% - Accent2 3 8 2" xfId="34709" xr:uid="{00000000-0005-0000-0000-000063110000}"/>
    <cellStyle name="20% - Accent2 3 9" xfId="23408" xr:uid="{00000000-0005-0000-0000-000064110000}"/>
    <cellStyle name="20% - Accent2 4" xfId="238" xr:uid="{00000000-0005-0000-0000-000065110000}"/>
    <cellStyle name="20% - Accent2 4 10" xfId="3991" xr:uid="{00000000-0005-0000-0000-000066110000}"/>
    <cellStyle name="20% - Accent2 4 10 2" xfId="9641" xr:uid="{00000000-0005-0000-0000-000067110000}"/>
    <cellStyle name="20% - Accent2 4 10 2 2" xfId="20942" xr:uid="{00000000-0005-0000-0000-000068110000}"/>
    <cellStyle name="20% - Accent2 4 10 2 2 2" xfId="43544" xr:uid="{00000000-0005-0000-0000-000069110000}"/>
    <cellStyle name="20% - Accent2 4 10 2 3" xfId="32243" xr:uid="{00000000-0005-0000-0000-00006A110000}"/>
    <cellStyle name="20% - Accent2 4 10 3" xfId="15292" xr:uid="{00000000-0005-0000-0000-00006B110000}"/>
    <cellStyle name="20% - Accent2 4 10 3 2" xfId="37894" xr:uid="{00000000-0005-0000-0000-00006C110000}"/>
    <cellStyle name="20% - Accent2 4 10 4" xfId="26593" xr:uid="{00000000-0005-0000-0000-00006D110000}"/>
    <cellStyle name="20% - Accent2 4 11" xfId="6470" xr:uid="{00000000-0005-0000-0000-00006E110000}"/>
    <cellStyle name="20% - Accent2 4 11 2" xfId="17771" xr:uid="{00000000-0005-0000-0000-00006F110000}"/>
    <cellStyle name="20% - Accent2 4 11 2 2" xfId="40373" xr:uid="{00000000-0005-0000-0000-000070110000}"/>
    <cellStyle name="20% - Accent2 4 11 3" xfId="29072" xr:uid="{00000000-0005-0000-0000-000071110000}"/>
    <cellStyle name="20% - Accent2 4 12" xfId="12121" xr:uid="{00000000-0005-0000-0000-000072110000}"/>
    <cellStyle name="20% - Accent2 4 12 2" xfId="34723" xr:uid="{00000000-0005-0000-0000-000073110000}"/>
    <cellStyle name="20% - Accent2 4 13" xfId="23422" xr:uid="{00000000-0005-0000-0000-000074110000}"/>
    <cellStyle name="20% - Accent2 4 2" xfId="361" xr:uid="{00000000-0005-0000-0000-000075110000}"/>
    <cellStyle name="20% - Accent2 4 2 10" xfId="23469" xr:uid="{00000000-0005-0000-0000-000076110000}"/>
    <cellStyle name="20% - Accent2 4 2 2" xfId="619" xr:uid="{00000000-0005-0000-0000-000077110000}"/>
    <cellStyle name="20% - Accent2 4 2 2 2" xfId="1329" xr:uid="{00000000-0005-0000-0000-000078110000}"/>
    <cellStyle name="20% - Accent2 4 2 2 2 2" xfId="1604" xr:uid="{00000000-0005-0000-0000-000079110000}"/>
    <cellStyle name="20% - Accent2 4 2 2 2 2 2" xfId="3398" xr:uid="{00000000-0005-0000-0000-00007A110000}"/>
    <cellStyle name="20% - Accent2 4 2 2 2 2 2 2" xfId="6370" xr:uid="{00000000-0005-0000-0000-00007B110000}"/>
    <cellStyle name="20% - Accent2 4 2 2 2 2 2 2 2" xfId="12020" xr:uid="{00000000-0005-0000-0000-00007C110000}"/>
    <cellStyle name="20% - Accent2 4 2 2 2 2 2 2 2 2" xfId="23321" xr:uid="{00000000-0005-0000-0000-00007D110000}"/>
    <cellStyle name="20% - Accent2 4 2 2 2 2 2 2 2 2 2" xfId="45923" xr:uid="{00000000-0005-0000-0000-00007E110000}"/>
    <cellStyle name="20% - Accent2 4 2 2 2 2 2 2 2 3" xfId="34622" xr:uid="{00000000-0005-0000-0000-00007F110000}"/>
    <cellStyle name="20% - Accent2 4 2 2 2 2 2 2 3" xfId="17671" xr:uid="{00000000-0005-0000-0000-000080110000}"/>
    <cellStyle name="20% - Accent2 4 2 2 2 2 2 2 3 2" xfId="40273" xr:uid="{00000000-0005-0000-0000-000081110000}"/>
    <cellStyle name="20% - Accent2 4 2 2 2 2 2 2 4" xfId="28972" xr:uid="{00000000-0005-0000-0000-000082110000}"/>
    <cellStyle name="20% - Accent2 4 2 2 2 2 2 3" xfId="9188" xr:uid="{00000000-0005-0000-0000-000083110000}"/>
    <cellStyle name="20% - Accent2 4 2 2 2 2 2 3 2" xfId="20489" xr:uid="{00000000-0005-0000-0000-000084110000}"/>
    <cellStyle name="20% - Accent2 4 2 2 2 2 2 3 2 2" xfId="43091" xr:uid="{00000000-0005-0000-0000-000085110000}"/>
    <cellStyle name="20% - Accent2 4 2 2 2 2 2 3 3" xfId="31790" xr:uid="{00000000-0005-0000-0000-000086110000}"/>
    <cellStyle name="20% - Accent2 4 2 2 2 2 2 4" xfId="14839" xr:uid="{00000000-0005-0000-0000-000087110000}"/>
    <cellStyle name="20% - Accent2 4 2 2 2 2 2 4 2" xfId="37441" xr:uid="{00000000-0005-0000-0000-000088110000}"/>
    <cellStyle name="20% - Accent2 4 2 2 2 2 2 5" xfId="26140" xr:uid="{00000000-0005-0000-0000-000089110000}"/>
    <cellStyle name="20% - Accent2 4 2 2 2 2 3" xfId="5136" xr:uid="{00000000-0005-0000-0000-00008A110000}"/>
    <cellStyle name="20% - Accent2 4 2 2 2 2 3 2" xfId="10786" xr:uid="{00000000-0005-0000-0000-00008B110000}"/>
    <cellStyle name="20% - Accent2 4 2 2 2 2 3 2 2" xfId="22087" xr:uid="{00000000-0005-0000-0000-00008C110000}"/>
    <cellStyle name="20% - Accent2 4 2 2 2 2 3 2 2 2" xfId="44689" xr:uid="{00000000-0005-0000-0000-00008D110000}"/>
    <cellStyle name="20% - Accent2 4 2 2 2 2 3 2 3" xfId="33388" xr:uid="{00000000-0005-0000-0000-00008E110000}"/>
    <cellStyle name="20% - Accent2 4 2 2 2 2 3 3" xfId="16437" xr:uid="{00000000-0005-0000-0000-00008F110000}"/>
    <cellStyle name="20% - Accent2 4 2 2 2 2 3 3 2" xfId="39039" xr:uid="{00000000-0005-0000-0000-000090110000}"/>
    <cellStyle name="20% - Accent2 4 2 2 2 2 3 4" xfId="27738" xr:uid="{00000000-0005-0000-0000-000091110000}"/>
    <cellStyle name="20% - Accent2 4 2 2 2 2 4" xfId="7460" xr:uid="{00000000-0005-0000-0000-000092110000}"/>
    <cellStyle name="20% - Accent2 4 2 2 2 2 4 2" xfId="18761" xr:uid="{00000000-0005-0000-0000-000093110000}"/>
    <cellStyle name="20% - Accent2 4 2 2 2 2 4 2 2" xfId="41363" xr:uid="{00000000-0005-0000-0000-000094110000}"/>
    <cellStyle name="20% - Accent2 4 2 2 2 2 4 3" xfId="30062" xr:uid="{00000000-0005-0000-0000-000095110000}"/>
    <cellStyle name="20% - Accent2 4 2 2 2 2 5" xfId="13111" xr:uid="{00000000-0005-0000-0000-000096110000}"/>
    <cellStyle name="20% - Accent2 4 2 2 2 2 5 2" xfId="35713" xr:uid="{00000000-0005-0000-0000-000097110000}"/>
    <cellStyle name="20% - Accent2 4 2 2 2 2 6" xfId="24412" xr:uid="{00000000-0005-0000-0000-000098110000}"/>
    <cellStyle name="20% - Accent2 4 2 2 2 3" xfId="2727" xr:uid="{00000000-0005-0000-0000-000099110000}"/>
    <cellStyle name="20% - Accent2 4 2 2 2 3 2" xfId="5746" xr:uid="{00000000-0005-0000-0000-00009A110000}"/>
    <cellStyle name="20% - Accent2 4 2 2 2 3 2 2" xfId="11396" xr:uid="{00000000-0005-0000-0000-00009B110000}"/>
    <cellStyle name="20% - Accent2 4 2 2 2 3 2 2 2" xfId="22697" xr:uid="{00000000-0005-0000-0000-00009C110000}"/>
    <cellStyle name="20% - Accent2 4 2 2 2 3 2 2 2 2" xfId="45299" xr:uid="{00000000-0005-0000-0000-00009D110000}"/>
    <cellStyle name="20% - Accent2 4 2 2 2 3 2 2 3" xfId="33998" xr:uid="{00000000-0005-0000-0000-00009E110000}"/>
    <cellStyle name="20% - Accent2 4 2 2 2 3 2 3" xfId="17047" xr:uid="{00000000-0005-0000-0000-00009F110000}"/>
    <cellStyle name="20% - Accent2 4 2 2 2 3 2 3 2" xfId="39649" xr:uid="{00000000-0005-0000-0000-0000A0110000}"/>
    <cellStyle name="20% - Accent2 4 2 2 2 3 2 4" xfId="28348" xr:uid="{00000000-0005-0000-0000-0000A1110000}"/>
    <cellStyle name="20% - Accent2 4 2 2 2 3 3" xfId="8563" xr:uid="{00000000-0005-0000-0000-0000A2110000}"/>
    <cellStyle name="20% - Accent2 4 2 2 2 3 3 2" xfId="19864" xr:uid="{00000000-0005-0000-0000-0000A3110000}"/>
    <cellStyle name="20% - Accent2 4 2 2 2 3 3 2 2" xfId="42466" xr:uid="{00000000-0005-0000-0000-0000A4110000}"/>
    <cellStyle name="20% - Accent2 4 2 2 2 3 3 3" xfId="31165" xr:uid="{00000000-0005-0000-0000-0000A5110000}"/>
    <cellStyle name="20% - Accent2 4 2 2 2 3 4" xfId="14214" xr:uid="{00000000-0005-0000-0000-0000A6110000}"/>
    <cellStyle name="20% - Accent2 4 2 2 2 3 4 2" xfId="36816" xr:uid="{00000000-0005-0000-0000-0000A7110000}"/>
    <cellStyle name="20% - Accent2 4 2 2 2 3 5" xfId="25515" xr:uid="{00000000-0005-0000-0000-0000A8110000}"/>
    <cellStyle name="20% - Accent2 4 2 2 2 4" xfId="4512" xr:uid="{00000000-0005-0000-0000-0000A9110000}"/>
    <cellStyle name="20% - Accent2 4 2 2 2 4 2" xfId="10162" xr:uid="{00000000-0005-0000-0000-0000AA110000}"/>
    <cellStyle name="20% - Accent2 4 2 2 2 4 2 2" xfId="21463" xr:uid="{00000000-0005-0000-0000-0000AB110000}"/>
    <cellStyle name="20% - Accent2 4 2 2 2 4 2 2 2" xfId="44065" xr:uid="{00000000-0005-0000-0000-0000AC110000}"/>
    <cellStyle name="20% - Accent2 4 2 2 2 4 2 3" xfId="32764" xr:uid="{00000000-0005-0000-0000-0000AD110000}"/>
    <cellStyle name="20% - Accent2 4 2 2 2 4 3" xfId="15813" xr:uid="{00000000-0005-0000-0000-0000AE110000}"/>
    <cellStyle name="20% - Accent2 4 2 2 2 4 3 2" xfId="38415" xr:uid="{00000000-0005-0000-0000-0000AF110000}"/>
    <cellStyle name="20% - Accent2 4 2 2 2 4 4" xfId="27114" xr:uid="{00000000-0005-0000-0000-0000B0110000}"/>
    <cellStyle name="20% - Accent2 4 2 2 2 5" xfId="7308" xr:uid="{00000000-0005-0000-0000-0000B1110000}"/>
    <cellStyle name="20% - Accent2 4 2 2 2 5 2" xfId="18609" xr:uid="{00000000-0005-0000-0000-0000B2110000}"/>
    <cellStyle name="20% - Accent2 4 2 2 2 5 2 2" xfId="41211" xr:uid="{00000000-0005-0000-0000-0000B3110000}"/>
    <cellStyle name="20% - Accent2 4 2 2 2 5 3" xfId="29910" xr:uid="{00000000-0005-0000-0000-0000B4110000}"/>
    <cellStyle name="20% - Accent2 4 2 2 2 6" xfId="12959" xr:uid="{00000000-0005-0000-0000-0000B5110000}"/>
    <cellStyle name="20% - Accent2 4 2 2 2 6 2" xfId="35561" xr:uid="{00000000-0005-0000-0000-0000B6110000}"/>
    <cellStyle name="20% - Accent2 4 2 2 2 7" xfId="24260" xr:uid="{00000000-0005-0000-0000-0000B7110000}"/>
    <cellStyle name="20% - Accent2 4 2 2 3" xfId="1027" xr:uid="{00000000-0005-0000-0000-0000B8110000}"/>
    <cellStyle name="20% - Accent2 4 2 2 3 2" xfId="3090" xr:uid="{00000000-0005-0000-0000-0000B9110000}"/>
    <cellStyle name="20% - Accent2 4 2 2 3 2 2" xfId="6062" xr:uid="{00000000-0005-0000-0000-0000BA110000}"/>
    <cellStyle name="20% - Accent2 4 2 2 3 2 2 2" xfId="11712" xr:uid="{00000000-0005-0000-0000-0000BB110000}"/>
    <cellStyle name="20% - Accent2 4 2 2 3 2 2 2 2" xfId="23013" xr:uid="{00000000-0005-0000-0000-0000BC110000}"/>
    <cellStyle name="20% - Accent2 4 2 2 3 2 2 2 2 2" xfId="45615" xr:uid="{00000000-0005-0000-0000-0000BD110000}"/>
    <cellStyle name="20% - Accent2 4 2 2 3 2 2 2 3" xfId="34314" xr:uid="{00000000-0005-0000-0000-0000BE110000}"/>
    <cellStyle name="20% - Accent2 4 2 2 3 2 2 3" xfId="17363" xr:uid="{00000000-0005-0000-0000-0000BF110000}"/>
    <cellStyle name="20% - Accent2 4 2 2 3 2 2 3 2" xfId="39965" xr:uid="{00000000-0005-0000-0000-0000C0110000}"/>
    <cellStyle name="20% - Accent2 4 2 2 3 2 2 4" xfId="28664" xr:uid="{00000000-0005-0000-0000-0000C1110000}"/>
    <cellStyle name="20% - Accent2 4 2 2 3 2 3" xfId="8880" xr:uid="{00000000-0005-0000-0000-0000C2110000}"/>
    <cellStyle name="20% - Accent2 4 2 2 3 2 3 2" xfId="20181" xr:uid="{00000000-0005-0000-0000-0000C3110000}"/>
    <cellStyle name="20% - Accent2 4 2 2 3 2 3 2 2" xfId="42783" xr:uid="{00000000-0005-0000-0000-0000C4110000}"/>
    <cellStyle name="20% - Accent2 4 2 2 3 2 3 3" xfId="31482" xr:uid="{00000000-0005-0000-0000-0000C5110000}"/>
    <cellStyle name="20% - Accent2 4 2 2 3 2 4" xfId="14531" xr:uid="{00000000-0005-0000-0000-0000C6110000}"/>
    <cellStyle name="20% - Accent2 4 2 2 3 2 4 2" xfId="37133" xr:uid="{00000000-0005-0000-0000-0000C7110000}"/>
    <cellStyle name="20% - Accent2 4 2 2 3 2 5" xfId="25832" xr:uid="{00000000-0005-0000-0000-0000C8110000}"/>
    <cellStyle name="20% - Accent2 4 2 2 3 3" xfId="4828" xr:uid="{00000000-0005-0000-0000-0000C9110000}"/>
    <cellStyle name="20% - Accent2 4 2 2 3 3 2" xfId="10478" xr:uid="{00000000-0005-0000-0000-0000CA110000}"/>
    <cellStyle name="20% - Accent2 4 2 2 3 3 2 2" xfId="21779" xr:uid="{00000000-0005-0000-0000-0000CB110000}"/>
    <cellStyle name="20% - Accent2 4 2 2 3 3 2 2 2" xfId="44381" xr:uid="{00000000-0005-0000-0000-0000CC110000}"/>
    <cellStyle name="20% - Accent2 4 2 2 3 3 2 3" xfId="33080" xr:uid="{00000000-0005-0000-0000-0000CD110000}"/>
    <cellStyle name="20% - Accent2 4 2 2 3 3 3" xfId="16129" xr:uid="{00000000-0005-0000-0000-0000CE110000}"/>
    <cellStyle name="20% - Accent2 4 2 2 3 3 3 2" xfId="38731" xr:uid="{00000000-0005-0000-0000-0000CF110000}"/>
    <cellStyle name="20% - Accent2 4 2 2 3 3 4" xfId="27430" xr:uid="{00000000-0005-0000-0000-0000D0110000}"/>
    <cellStyle name="20% - Accent2 4 2 2 3 4" xfId="7015" xr:uid="{00000000-0005-0000-0000-0000D1110000}"/>
    <cellStyle name="20% - Accent2 4 2 2 3 4 2" xfId="18316" xr:uid="{00000000-0005-0000-0000-0000D2110000}"/>
    <cellStyle name="20% - Accent2 4 2 2 3 4 2 2" xfId="40918" xr:uid="{00000000-0005-0000-0000-0000D3110000}"/>
    <cellStyle name="20% - Accent2 4 2 2 3 4 3" xfId="29617" xr:uid="{00000000-0005-0000-0000-0000D4110000}"/>
    <cellStyle name="20% - Accent2 4 2 2 3 5" xfId="12666" xr:uid="{00000000-0005-0000-0000-0000D5110000}"/>
    <cellStyle name="20% - Accent2 4 2 2 3 5 2" xfId="35268" xr:uid="{00000000-0005-0000-0000-0000D6110000}"/>
    <cellStyle name="20% - Accent2 4 2 2 3 6" xfId="23967" xr:uid="{00000000-0005-0000-0000-0000D7110000}"/>
    <cellStyle name="20% - Accent2 4 2 2 4" xfId="1603" xr:uid="{00000000-0005-0000-0000-0000D8110000}"/>
    <cellStyle name="20% - Accent2 4 2 2 4 2" xfId="3506" xr:uid="{00000000-0005-0000-0000-0000D9110000}"/>
    <cellStyle name="20% - Accent2 4 2 2 4 2 2" xfId="9275" xr:uid="{00000000-0005-0000-0000-0000DA110000}"/>
    <cellStyle name="20% - Accent2 4 2 2 4 2 2 2" xfId="20576" xr:uid="{00000000-0005-0000-0000-0000DB110000}"/>
    <cellStyle name="20% - Accent2 4 2 2 4 2 2 2 2" xfId="43178" xr:uid="{00000000-0005-0000-0000-0000DC110000}"/>
    <cellStyle name="20% - Accent2 4 2 2 4 2 2 3" xfId="31877" xr:uid="{00000000-0005-0000-0000-0000DD110000}"/>
    <cellStyle name="20% - Accent2 4 2 2 4 2 3" xfId="14926" xr:uid="{00000000-0005-0000-0000-0000DE110000}"/>
    <cellStyle name="20% - Accent2 4 2 2 4 2 3 2" xfId="37528" xr:uid="{00000000-0005-0000-0000-0000DF110000}"/>
    <cellStyle name="20% - Accent2 4 2 2 4 2 4" xfId="26227" xr:uid="{00000000-0005-0000-0000-0000E0110000}"/>
    <cellStyle name="20% - Accent2 4 2 2 4 3" xfId="5438" xr:uid="{00000000-0005-0000-0000-0000E1110000}"/>
    <cellStyle name="20% - Accent2 4 2 2 4 3 2" xfId="11088" xr:uid="{00000000-0005-0000-0000-0000E2110000}"/>
    <cellStyle name="20% - Accent2 4 2 2 4 3 2 2" xfId="22389" xr:uid="{00000000-0005-0000-0000-0000E3110000}"/>
    <cellStyle name="20% - Accent2 4 2 2 4 3 2 2 2" xfId="44991" xr:uid="{00000000-0005-0000-0000-0000E4110000}"/>
    <cellStyle name="20% - Accent2 4 2 2 4 3 2 3" xfId="33690" xr:uid="{00000000-0005-0000-0000-0000E5110000}"/>
    <cellStyle name="20% - Accent2 4 2 2 4 3 3" xfId="16739" xr:uid="{00000000-0005-0000-0000-0000E6110000}"/>
    <cellStyle name="20% - Accent2 4 2 2 4 3 3 2" xfId="39341" xr:uid="{00000000-0005-0000-0000-0000E7110000}"/>
    <cellStyle name="20% - Accent2 4 2 2 4 3 4" xfId="28040" xr:uid="{00000000-0005-0000-0000-0000E8110000}"/>
    <cellStyle name="20% - Accent2 4 2 2 4 4" xfId="7459" xr:uid="{00000000-0005-0000-0000-0000E9110000}"/>
    <cellStyle name="20% - Accent2 4 2 2 4 4 2" xfId="18760" xr:uid="{00000000-0005-0000-0000-0000EA110000}"/>
    <cellStyle name="20% - Accent2 4 2 2 4 4 2 2" xfId="41362" xr:uid="{00000000-0005-0000-0000-0000EB110000}"/>
    <cellStyle name="20% - Accent2 4 2 2 4 4 3" xfId="30061" xr:uid="{00000000-0005-0000-0000-0000EC110000}"/>
    <cellStyle name="20% - Accent2 4 2 2 4 5" xfId="13110" xr:uid="{00000000-0005-0000-0000-0000ED110000}"/>
    <cellStyle name="20% - Accent2 4 2 2 4 5 2" xfId="35712" xr:uid="{00000000-0005-0000-0000-0000EE110000}"/>
    <cellStyle name="20% - Accent2 4 2 2 4 6" xfId="24411" xr:uid="{00000000-0005-0000-0000-0000EF110000}"/>
    <cellStyle name="20% - Accent2 4 2 2 5" xfId="2419" xr:uid="{00000000-0005-0000-0000-0000F0110000}"/>
    <cellStyle name="20% - Accent2 4 2 2 5 2" xfId="8255" xr:uid="{00000000-0005-0000-0000-0000F1110000}"/>
    <cellStyle name="20% - Accent2 4 2 2 5 2 2" xfId="19556" xr:uid="{00000000-0005-0000-0000-0000F2110000}"/>
    <cellStyle name="20% - Accent2 4 2 2 5 2 2 2" xfId="42158" xr:uid="{00000000-0005-0000-0000-0000F3110000}"/>
    <cellStyle name="20% - Accent2 4 2 2 5 2 3" xfId="30857" xr:uid="{00000000-0005-0000-0000-0000F4110000}"/>
    <cellStyle name="20% - Accent2 4 2 2 5 3" xfId="13906" xr:uid="{00000000-0005-0000-0000-0000F5110000}"/>
    <cellStyle name="20% - Accent2 4 2 2 5 3 2" xfId="36508" xr:uid="{00000000-0005-0000-0000-0000F6110000}"/>
    <cellStyle name="20% - Accent2 4 2 2 5 4" xfId="25207" xr:uid="{00000000-0005-0000-0000-0000F7110000}"/>
    <cellStyle name="20% - Accent2 4 2 2 6" xfId="4204" xr:uid="{00000000-0005-0000-0000-0000F8110000}"/>
    <cellStyle name="20% - Accent2 4 2 2 6 2" xfId="9854" xr:uid="{00000000-0005-0000-0000-0000F9110000}"/>
    <cellStyle name="20% - Accent2 4 2 2 6 2 2" xfId="21155" xr:uid="{00000000-0005-0000-0000-0000FA110000}"/>
    <cellStyle name="20% - Accent2 4 2 2 6 2 2 2" xfId="43757" xr:uid="{00000000-0005-0000-0000-0000FB110000}"/>
    <cellStyle name="20% - Accent2 4 2 2 6 2 3" xfId="32456" xr:uid="{00000000-0005-0000-0000-0000FC110000}"/>
    <cellStyle name="20% - Accent2 4 2 2 6 3" xfId="15505" xr:uid="{00000000-0005-0000-0000-0000FD110000}"/>
    <cellStyle name="20% - Accent2 4 2 2 6 3 2" xfId="38107" xr:uid="{00000000-0005-0000-0000-0000FE110000}"/>
    <cellStyle name="20% - Accent2 4 2 2 6 4" xfId="26806" xr:uid="{00000000-0005-0000-0000-0000FF110000}"/>
    <cellStyle name="20% - Accent2 4 2 2 7" xfId="6684" xr:uid="{00000000-0005-0000-0000-000000120000}"/>
    <cellStyle name="20% - Accent2 4 2 2 7 2" xfId="17985" xr:uid="{00000000-0005-0000-0000-000001120000}"/>
    <cellStyle name="20% - Accent2 4 2 2 7 2 2" xfId="40587" xr:uid="{00000000-0005-0000-0000-000002120000}"/>
    <cellStyle name="20% - Accent2 4 2 2 7 3" xfId="29286" xr:uid="{00000000-0005-0000-0000-000003120000}"/>
    <cellStyle name="20% - Accent2 4 2 2 8" xfId="12335" xr:uid="{00000000-0005-0000-0000-000004120000}"/>
    <cellStyle name="20% - Accent2 4 2 2 8 2" xfId="34937" xr:uid="{00000000-0005-0000-0000-000005120000}"/>
    <cellStyle name="20% - Accent2 4 2 2 9" xfId="23636" xr:uid="{00000000-0005-0000-0000-000006120000}"/>
    <cellStyle name="20% - Accent2 4 2 3" xfId="1191" xr:uid="{00000000-0005-0000-0000-000007120000}"/>
    <cellStyle name="20% - Accent2 4 2 3 2" xfId="1605" xr:uid="{00000000-0005-0000-0000-000008120000}"/>
    <cellStyle name="20% - Accent2 4 2 3 2 2" xfId="3259" xr:uid="{00000000-0005-0000-0000-000009120000}"/>
    <cellStyle name="20% - Accent2 4 2 3 2 2 2" xfId="6231" xr:uid="{00000000-0005-0000-0000-00000A120000}"/>
    <cellStyle name="20% - Accent2 4 2 3 2 2 2 2" xfId="11881" xr:uid="{00000000-0005-0000-0000-00000B120000}"/>
    <cellStyle name="20% - Accent2 4 2 3 2 2 2 2 2" xfId="23182" xr:uid="{00000000-0005-0000-0000-00000C120000}"/>
    <cellStyle name="20% - Accent2 4 2 3 2 2 2 2 2 2" xfId="45784" xr:uid="{00000000-0005-0000-0000-00000D120000}"/>
    <cellStyle name="20% - Accent2 4 2 3 2 2 2 2 3" xfId="34483" xr:uid="{00000000-0005-0000-0000-00000E120000}"/>
    <cellStyle name="20% - Accent2 4 2 3 2 2 2 3" xfId="17532" xr:uid="{00000000-0005-0000-0000-00000F120000}"/>
    <cellStyle name="20% - Accent2 4 2 3 2 2 2 3 2" xfId="40134" xr:uid="{00000000-0005-0000-0000-000010120000}"/>
    <cellStyle name="20% - Accent2 4 2 3 2 2 2 4" xfId="28833" xr:uid="{00000000-0005-0000-0000-000011120000}"/>
    <cellStyle name="20% - Accent2 4 2 3 2 2 3" xfId="9049" xr:uid="{00000000-0005-0000-0000-000012120000}"/>
    <cellStyle name="20% - Accent2 4 2 3 2 2 3 2" xfId="20350" xr:uid="{00000000-0005-0000-0000-000013120000}"/>
    <cellStyle name="20% - Accent2 4 2 3 2 2 3 2 2" xfId="42952" xr:uid="{00000000-0005-0000-0000-000014120000}"/>
    <cellStyle name="20% - Accent2 4 2 3 2 2 3 3" xfId="31651" xr:uid="{00000000-0005-0000-0000-000015120000}"/>
    <cellStyle name="20% - Accent2 4 2 3 2 2 4" xfId="14700" xr:uid="{00000000-0005-0000-0000-000016120000}"/>
    <cellStyle name="20% - Accent2 4 2 3 2 2 4 2" xfId="37302" xr:uid="{00000000-0005-0000-0000-000017120000}"/>
    <cellStyle name="20% - Accent2 4 2 3 2 2 5" xfId="26001" xr:uid="{00000000-0005-0000-0000-000018120000}"/>
    <cellStyle name="20% - Accent2 4 2 3 2 3" xfId="4997" xr:uid="{00000000-0005-0000-0000-000019120000}"/>
    <cellStyle name="20% - Accent2 4 2 3 2 3 2" xfId="10647" xr:uid="{00000000-0005-0000-0000-00001A120000}"/>
    <cellStyle name="20% - Accent2 4 2 3 2 3 2 2" xfId="21948" xr:uid="{00000000-0005-0000-0000-00001B120000}"/>
    <cellStyle name="20% - Accent2 4 2 3 2 3 2 2 2" xfId="44550" xr:uid="{00000000-0005-0000-0000-00001C120000}"/>
    <cellStyle name="20% - Accent2 4 2 3 2 3 2 3" xfId="33249" xr:uid="{00000000-0005-0000-0000-00001D120000}"/>
    <cellStyle name="20% - Accent2 4 2 3 2 3 3" xfId="16298" xr:uid="{00000000-0005-0000-0000-00001E120000}"/>
    <cellStyle name="20% - Accent2 4 2 3 2 3 3 2" xfId="38900" xr:uid="{00000000-0005-0000-0000-00001F120000}"/>
    <cellStyle name="20% - Accent2 4 2 3 2 3 4" xfId="27599" xr:uid="{00000000-0005-0000-0000-000020120000}"/>
    <cellStyle name="20% - Accent2 4 2 3 2 4" xfId="7461" xr:uid="{00000000-0005-0000-0000-000021120000}"/>
    <cellStyle name="20% - Accent2 4 2 3 2 4 2" xfId="18762" xr:uid="{00000000-0005-0000-0000-000022120000}"/>
    <cellStyle name="20% - Accent2 4 2 3 2 4 2 2" xfId="41364" xr:uid="{00000000-0005-0000-0000-000023120000}"/>
    <cellStyle name="20% - Accent2 4 2 3 2 4 3" xfId="30063" xr:uid="{00000000-0005-0000-0000-000024120000}"/>
    <cellStyle name="20% - Accent2 4 2 3 2 5" xfId="13112" xr:uid="{00000000-0005-0000-0000-000025120000}"/>
    <cellStyle name="20% - Accent2 4 2 3 2 5 2" xfId="35714" xr:uid="{00000000-0005-0000-0000-000026120000}"/>
    <cellStyle name="20% - Accent2 4 2 3 2 6" xfId="24413" xr:uid="{00000000-0005-0000-0000-000027120000}"/>
    <cellStyle name="20% - Accent2 4 2 3 3" xfId="2588" xr:uid="{00000000-0005-0000-0000-000028120000}"/>
    <cellStyle name="20% - Accent2 4 2 3 3 2" xfId="5607" xr:uid="{00000000-0005-0000-0000-000029120000}"/>
    <cellStyle name="20% - Accent2 4 2 3 3 2 2" xfId="11257" xr:uid="{00000000-0005-0000-0000-00002A120000}"/>
    <cellStyle name="20% - Accent2 4 2 3 3 2 2 2" xfId="22558" xr:uid="{00000000-0005-0000-0000-00002B120000}"/>
    <cellStyle name="20% - Accent2 4 2 3 3 2 2 2 2" xfId="45160" xr:uid="{00000000-0005-0000-0000-00002C120000}"/>
    <cellStyle name="20% - Accent2 4 2 3 3 2 2 3" xfId="33859" xr:uid="{00000000-0005-0000-0000-00002D120000}"/>
    <cellStyle name="20% - Accent2 4 2 3 3 2 3" xfId="16908" xr:uid="{00000000-0005-0000-0000-00002E120000}"/>
    <cellStyle name="20% - Accent2 4 2 3 3 2 3 2" xfId="39510" xr:uid="{00000000-0005-0000-0000-00002F120000}"/>
    <cellStyle name="20% - Accent2 4 2 3 3 2 4" xfId="28209" xr:uid="{00000000-0005-0000-0000-000030120000}"/>
    <cellStyle name="20% - Accent2 4 2 3 3 3" xfId="8424" xr:uid="{00000000-0005-0000-0000-000031120000}"/>
    <cellStyle name="20% - Accent2 4 2 3 3 3 2" xfId="19725" xr:uid="{00000000-0005-0000-0000-000032120000}"/>
    <cellStyle name="20% - Accent2 4 2 3 3 3 2 2" xfId="42327" xr:uid="{00000000-0005-0000-0000-000033120000}"/>
    <cellStyle name="20% - Accent2 4 2 3 3 3 3" xfId="31026" xr:uid="{00000000-0005-0000-0000-000034120000}"/>
    <cellStyle name="20% - Accent2 4 2 3 3 4" xfId="14075" xr:uid="{00000000-0005-0000-0000-000035120000}"/>
    <cellStyle name="20% - Accent2 4 2 3 3 4 2" xfId="36677" xr:uid="{00000000-0005-0000-0000-000036120000}"/>
    <cellStyle name="20% - Accent2 4 2 3 3 5" xfId="25376" xr:uid="{00000000-0005-0000-0000-000037120000}"/>
    <cellStyle name="20% - Accent2 4 2 3 4" xfId="4373" xr:uid="{00000000-0005-0000-0000-000038120000}"/>
    <cellStyle name="20% - Accent2 4 2 3 4 2" xfId="10023" xr:uid="{00000000-0005-0000-0000-000039120000}"/>
    <cellStyle name="20% - Accent2 4 2 3 4 2 2" xfId="21324" xr:uid="{00000000-0005-0000-0000-00003A120000}"/>
    <cellStyle name="20% - Accent2 4 2 3 4 2 2 2" xfId="43926" xr:uid="{00000000-0005-0000-0000-00003B120000}"/>
    <cellStyle name="20% - Accent2 4 2 3 4 2 3" xfId="32625" xr:uid="{00000000-0005-0000-0000-00003C120000}"/>
    <cellStyle name="20% - Accent2 4 2 3 4 3" xfId="15674" xr:uid="{00000000-0005-0000-0000-00003D120000}"/>
    <cellStyle name="20% - Accent2 4 2 3 4 3 2" xfId="38276" xr:uid="{00000000-0005-0000-0000-00003E120000}"/>
    <cellStyle name="20% - Accent2 4 2 3 4 4" xfId="26975" xr:uid="{00000000-0005-0000-0000-00003F120000}"/>
    <cellStyle name="20% - Accent2 4 2 3 5" xfId="7170" xr:uid="{00000000-0005-0000-0000-000040120000}"/>
    <cellStyle name="20% - Accent2 4 2 3 5 2" xfId="18471" xr:uid="{00000000-0005-0000-0000-000041120000}"/>
    <cellStyle name="20% - Accent2 4 2 3 5 2 2" xfId="41073" xr:uid="{00000000-0005-0000-0000-000042120000}"/>
    <cellStyle name="20% - Accent2 4 2 3 5 3" xfId="29772" xr:uid="{00000000-0005-0000-0000-000043120000}"/>
    <cellStyle name="20% - Accent2 4 2 3 6" xfId="12821" xr:uid="{00000000-0005-0000-0000-000044120000}"/>
    <cellStyle name="20% - Accent2 4 2 3 6 2" xfId="35423" xr:uid="{00000000-0005-0000-0000-000045120000}"/>
    <cellStyle name="20% - Accent2 4 2 3 7" xfId="24122" xr:uid="{00000000-0005-0000-0000-000046120000}"/>
    <cellStyle name="20% - Accent2 4 2 4" xfId="881" xr:uid="{00000000-0005-0000-0000-000047120000}"/>
    <cellStyle name="20% - Accent2 4 2 4 2" xfId="2952" xr:uid="{00000000-0005-0000-0000-000048120000}"/>
    <cellStyle name="20% - Accent2 4 2 4 2 2" xfId="5924" xr:uid="{00000000-0005-0000-0000-000049120000}"/>
    <cellStyle name="20% - Accent2 4 2 4 2 2 2" xfId="11574" xr:uid="{00000000-0005-0000-0000-00004A120000}"/>
    <cellStyle name="20% - Accent2 4 2 4 2 2 2 2" xfId="22875" xr:uid="{00000000-0005-0000-0000-00004B120000}"/>
    <cellStyle name="20% - Accent2 4 2 4 2 2 2 2 2" xfId="45477" xr:uid="{00000000-0005-0000-0000-00004C120000}"/>
    <cellStyle name="20% - Accent2 4 2 4 2 2 2 3" xfId="34176" xr:uid="{00000000-0005-0000-0000-00004D120000}"/>
    <cellStyle name="20% - Accent2 4 2 4 2 2 3" xfId="17225" xr:uid="{00000000-0005-0000-0000-00004E120000}"/>
    <cellStyle name="20% - Accent2 4 2 4 2 2 3 2" xfId="39827" xr:uid="{00000000-0005-0000-0000-00004F120000}"/>
    <cellStyle name="20% - Accent2 4 2 4 2 2 4" xfId="28526" xr:uid="{00000000-0005-0000-0000-000050120000}"/>
    <cellStyle name="20% - Accent2 4 2 4 2 3" xfId="8742" xr:uid="{00000000-0005-0000-0000-000051120000}"/>
    <cellStyle name="20% - Accent2 4 2 4 2 3 2" xfId="20043" xr:uid="{00000000-0005-0000-0000-000052120000}"/>
    <cellStyle name="20% - Accent2 4 2 4 2 3 2 2" xfId="42645" xr:uid="{00000000-0005-0000-0000-000053120000}"/>
    <cellStyle name="20% - Accent2 4 2 4 2 3 3" xfId="31344" xr:uid="{00000000-0005-0000-0000-000054120000}"/>
    <cellStyle name="20% - Accent2 4 2 4 2 4" xfId="14393" xr:uid="{00000000-0005-0000-0000-000055120000}"/>
    <cellStyle name="20% - Accent2 4 2 4 2 4 2" xfId="36995" xr:uid="{00000000-0005-0000-0000-000056120000}"/>
    <cellStyle name="20% - Accent2 4 2 4 2 5" xfId="25694" xr:uid="{00000000-0005-0000-0000-000057120000}"/>
    <cellStyle name="20% - Accent2 4 2 4 3" xfId="4690" xr:uid="{00000000-0005-0000-0000-000058120000}"/>
    <cellStyle name="20% - Accent2 4 2 4 3 2" xfId="10340" xr:uid="{00000000-0005-0000-0000-000059120000}"/>
    <cellStyle name="20% - Accent2 4 2 4 3 2 2" xfId="21641" xr:uid="{00000000-0005-0000-0000-00005A120000}"/>
    <cellStyle name="20% - Accent2 4 2 4 3 2 2 2" xfId="44243" xr:uid="{00000000-0005-0000-0000-00005B120000}"/>
    <cellStyle name="20% - Accent2 4 2 4 3 2 3" xfId="32942" xr:uid="{00000000-0005-0000-0000-00005C120000}"/>
    <cellStyle name="20% - Accent2 4 2 4 3 3" xfId="15991" xr:uid="{00000000-0005-0000-0000-00005D120000}"/>
    <cellStyle name="20% - Accent2 4 2 4 3 3 2" xfId="38593" xr:uid="{00000000-0005-0000-0000-00005E120000}"/>
    <cellStyle name="20% - Accent2 4 2 4 3 4" xfId="27292" xr:uid="{00000000-0005-0000-0000-00005F120000}"/>
    <cellStyle name="20% - Accent2 4 2 4 4" xfId="6877" xr:uid="{00000000-0005-0000-0000-000060120000}"/>
    <cellStyle name="20% - Accent2 4 2 4 4 2" xfId="18178" xr:uid="{00000000-0005-0000-0000-000061120000}"/>
    <cellStyle name="20% - Accent2 4 2 4 4 2 2" xfId="40780" xr:uid="{00000000-0005-0000-0000-000062120000}"/>
    <cellStyle name="20% - Accent2 4 2 4 4 3" xfId="29479" xr:uid="{00000000-0005-0000-0000-000063120000}"/>
    <cellStyle name="20% - Accent2 4 2 4 5" xfId="12528" xr:uid="{00000000-0005-0000-0000-000064120000}"/>
    <cellStyle name="20% - Accent2 4 2 4 5 2" xfId="35130" xr:uid="{00000000-0005-0000-0000-000065120000}"/>
    <cellStyle name="20% - Accent2 4 2 4 6" xfId="23829" xr:uid="{00000000-0005-0000-0000-000066120000}"/>
    <cellStyle name="20% - Accent2 4 2 5" xfId="1602" xr:uid="{00000000-0005-0000-0000-000067120000}"/>
    <cellStyle name="20% - Accent2 4 2 5 2" xfId="3524" xr:uid="{00000000-0005-0000-0000-000068120000}"/>
    <cellStyle name="20% - Accent2 4 2 5 2 2" xfId="9283" xr:uid="{00000000-0005-0000-0000-000069120000}"/>
    <cellStyle name="20% - Accent2 4 2 5 2 2 2" xfId="20584" xr:uid="{00000000-0005-0000-0000-00006A120000}"/>
    <cellStyle name="20% - Accent2 4 2 5 2 2 2 2" xfId="43186" xr:uid="{00000000-0005-0000-0000-00006B120000}"/>
    <cellStyle name="20% - Accent2 4 2 5 2 2 3" xfId="31885" xr:uid="{00000000-0005-0000-0000-00006C120000}"/>
    <cellStyle name="20% - Accent2 4 2 5 2 3" xfId="14934" xr:uid="{00000000-0005-0000-0000-00006D120000}"/>
    <cellStyle name="20% - Accent2 4 2 5 2 3 2" xfId="37536" xr:uid="{00000000-0005-0000-0000-00006E120000}"/>
    <cellStyle name="20% - Accent2 4 2 5 2 4" xfId="26235" xr:uid="{00000000-0005-0000-0000-00006F120000}"/>
    <cellStyle name="20% - Accent2 4 2 5 3" xfId="5300" xr:uid="{00000000-0005-0000-0000-000070120000}"/>
    <cellStyle name="20% - Accent2 4 2 5 3 2" xfId="10950" xr:uid="{00000000-0005-0000-0000-000071120000}"/>
    <cellStyle name="20% - Accent2 4 2 5 3 2 2" xfId="22251" xr:uid="{00000000-0005-0000-0000-000072120000}"/>
    <cellStyle name="20% - Accent2 4 2 5 3 2 2 2" xfId="44853" xr:uid="{00000000-0005-0000-0000-000073120000}"/>
    <cellStyle name="20% - Accent2 4 2 5 3 2 3" xfId="33552" xr:uid="{00000000-0005-0000-0000-000074120000}"/>
    <cellStyle name="20% - Accent2 4 2 5 3 3" xfId="16601" xr:uid="{00000000-0005-0000-0000-000075120000}"/>
    <cellStyle name="20% - Accent2 4 2 5 3 3 2" xfId="39203" xr:uid="{00000000-0005-0000-0000-000076120000}"/>
    <cellStyle name="20% - Accent2 4 2 5 3 4" xfId="27902" xr:uid="{00000000-0005-0000-0000-000077120000}"/>
    <cellStyle name="20% - Accent2 4 2 5 4" xfId="7458" xr:uid="{00000000-0005-0000-0000-000078120000}"/>
    <cellStyle name="20% - Accent2 4 2 5 4 2" xfId="18759" xr:uid="{00000000-0005-0000-0000-000079120000}"/>
    <cellStyle name="20% - Accent2 4 2 5 4 2 2" xfId="41361" xr:uid="{00000000-0005-0000-0000-00007A120000}"/>
    <cellStyle name="20% - Accent2 4 2 5 4 3" xfId="30060" xr:uid="{00000000-0005-0000-0000-00007B120000}"/>
    <cellStyle name="20% - Accent2 4 2 5 5" xfId="13109" xr:uid="{00000000-0005-0000-0000-00007C120000}"/>
    <cellStyle name="20% - Accent2 4 2 5 5 2" xfId="35711" xr:uid="{00000000-0005-0000-0000-00007D120000}"/>
    <cellStyle name="20% - Accent2 4 2 5 6" xfId="24410" xr:uid="{00000000-0005-0000-0000-00007E120000}"/>
    <cellStyle name="20% - Accent2 4 2 6" xfId="2279" xr:uid="{00000000-0005-0000-0000-00007F120000}"/>
    <cellStyle name="20% - Accent2 4 2 6 2" xfId="8115" xr:uid="{00000000-0005-0000-0000-000080120000}"/>
    <cellStyle name="20% - Accent2 4 2 6 2 2" xfId="19416" xr:uid="{00000000-0005-0000-0000-000081120000}"/>
    <cellStyle name="20% - Accent2 4 2 6 2 2 2" xfId="42018" xr:uid="{00000000-0005-0000-0000-000082120000}"/>
    <cellStyle name="20% - Accent2 4 2 6 2 3" xfId="30717" xr:uid="{00000000-0005-0000-0000-000083120000}"/>
    <cellStyle name="20% - Accent2 4 2 6 3" xfId="13766" xr:uid="{00000000-0005-0000-0000-000084120000}"/>
    <cellStyle name="20% - Accent2 4 2 6 3 2" xfId="36368" xr:uid="{00000000-0005-0000-0000-000085120000}"/>
    <cellStyle name="20% - Accent2 4 2 6 4" xfId="25067" xr:uid="{00000000-0005-0000-0000-000086120000}"/>
    <cellStyle name="20% - Accent2 4 2 7" xfId="4066" xr:uid="{00000000-0005-0000-0000-000087120000}"/>
    <cellStyle name="20% - Accent2 4 2 7 2" xfId="9716" xr:uid="{00000000-0005-0000-0000-000088120000}"/>
    <cellStyle name="20% - Accent2 4 2 7 2 2" xfId="21017" xr:uid="{00000000-0005-0000-0000-000089120000}"/>
    <cellStyle name="20% - Accent2 4 2 7 2 2 2" xfId="43619" xr:uid="{00000000-0005-0000-0000-00008A120000}"/>
    <cellStyle name="20% - Accent2 4 2 7 2 3" xfId="32318" xr:uid="{00000000-0005-0000-0000-00008B120000}"/>
    <cellStyle name="20% - Accent2 4 2 7 3" xfId="15367" xr:uid="{00000000-0005-0000-0000-00008C120000}"/>
    <cellStyle name="20% - Accent2 4 2 7 3 2" xfId="37969" xr:uid="{00000000-0005-0000-0000-00008D120000}"/>
    <cellStyle name="20% - Accent2 4 2 7 4" xfId="26668" xr:uid="{00000000-0005-0000-0000-00008E120000}"/>
    <cellStyle name="20% - Accent2 4 2 8" xfId="6517" xr:uid="{00000000-0005-0000-0000-00008F120000}"/>
    <cellStyle name="20% - Accent2 4 2 8 2" xfId="17818" xr:uid="{00000000-0005-0000-0000-000090120000}"/>
    <cellStyle name="20% - Accent2 4 2 8 2 2" xfId="40420" xr:uid="{00000000-0005-0000-0000-000091120000}"/>
    <cellStyle name="20% - Accent2 4 2 8 3" xfId="29119" xr:uid="{00000000-0005-0000-0000-000092120000}"/>
    <cellStyle name="20% - Accent2 4 2 9" xfId="12168" xr:uid="{00000000-0005-0000-0000-000093120000}"/>
    <cellStyle name="20% - Accent2 4 2 9 2" xfId="34770" xr:uid="{00000000-0005-0000-0000-000094120000}"/>
    <cellStyle name="20% - Accent2 4 3" xfId="423" xr:uid="{00000000-0005-0000-0000-000095120000}"/>
    <cellStyle name="20% - Accent2 4 3 10" xfId="23518" xr:uid="{00000000-0005-0000-0000-000096120000}"/>
    <cellStyle name="20% - Accent2 4 3 2" xfId="668" xr:uid="{00000000-0005-0000-0000-000097120000}"/>
    <cellStyle name="20% - Accent2 4 3 2 2" xfId="1378" xr:uid="{00000000-0005-0000-0000-000098120000}"/>
    <cellStyle name="20% - Accent2 4 3 2 2 2" xfId="1608" xr:uid="{00000000-0005-0000-0000-000099120000}"/>
    <cellStyle name="20% - Accent2 4 3 2 2 2 2" xfId="3447" xr:uid="{00000000-0005-0000-0000-00009A120000}"/>
    <cellStyle name="20% - Accent2 4 3 2 2 2 2 2" xfId="6419" xr:uid="{00000000-0005-0000-0000-00009B120000}"/>
    <cellStyle name="20% - Accent2 4 3 2 2 2 2 2 2" xfId="12069" xr:uid="{00000000-0005-0000-0000-00009C120000}"/>
    <cellStyle name="20% - Accent2 4 3 2 2 2 2 2 2 2" xfId="23370" xr:uid="{00000000-0005-0000-0000-00009D120000}"/>
    <cellStyle name="20% - Accent2 4 3 2 2 2 2 2 2 2 2" xfId="45972" xr:uid="{00000000-0005-0000-0000-00009E120000}"/>
    <cellStyle name="20% - Accent2 4 3 2 2 2 2 2 2 3" xfId="34671" xr:uid="{00000000-0005-0000-0000-00009F120000}"/>
    <cellStyle name="20% - Accent2 4 3 2 2 2 2 2 3" xfId="17720" xr:uid="{00000000-0005-0000-0000-0000A0120000}"/>
    <cellStyle name="20% - Accent2 4 3 2 2 2 2 2 3 2" xfId="40322" xr:uid="{00000000-0005-0000-0000-0000A1120000}"/>
    <cellStyle name="20% - Accent2 4 3 2 2 2 2 2 4" xfId="29021" xr:uid="{00000000-0005-0000-0000-0000A2120000}"/>
    <cellStyle name="20% - Accent2 4 3 2 2 2 2 3" xfId="9237" xr:uid="{00000000-0005-0000-0000-0000A3120000}"/>
    <cellStyle name="20% - Accent2 4 3 2 2 2 2 3 2" xfId="20538" xr:uid="{00000000-0005-0000-0000-0000A4120000}"/>
    <cellStyle name="20% - Accent2 4 3 2 2 2 2 3 2 2" xfId="43140" xr:uid="{00000000-0005-0000-0000-0000A5120000}"/>
    <cellStyle name="20% - Accent2 4 3 2 2 2 2 3 3" xfId="31839" xr:uid="{00000000-0005-0000-0000-0000A6120000}"/>
    <cellStyle name="20% - Accent2 4 3 2 2 2 2 4" xfId="14888" xr:uid="{00000000-0005-0000-0000-0000A7120000}"/>
    <cellStyle name="20% - Accent2 4 3 2 2 2 2 4 2" xfId="37490" xr:uid="{00000000-0005-0000-0000-0000A8120000}"/>
    <cellStyle name="20% - Accent2 4 3 2 2 2 2 5" xfId="26189" xr:uid="{00000000-0005-0000-0000-0000A9120000}"/>
    <cellStyle name="20% - Accent2 4 3 2 2 2 3" xfId="5185" xr:uid="{00000000-0005-0000-0000-0000AA120000}"/>
    <cellStyle name="20% - Accent2 4 3 2 2 2 3 2" xfId="10835" xr:uid="{00000000-0005-0000-0000-0000AB120000}"/>
    <cellStyle name="20% - Accent2 4 3 2 2 2 3 2 2" xfId="22136" xr:uid="{00000000-0005-0000-0000-0000AC120000}"/>
    <cellStyle name="20% - Accent2 4 3 2 2 2 3 2 2 2" xfId="44738" xr:uid="{00000000-0005-0000-0000-0000AD120000}"/>
    <cellStyle name="20% - Accent2 4 3 2 2 2 3 2 3" xfId="33437" xr:uid="{00000000-0005-0000-0000-0000AE120000}"/>
    <cellStyle name="20% - Accent2 4 3 2 2 2 3 3" xfId="16486" xr:uid="{00000000-0005-0000-0000-0000AF120000}"/>
    <cellStyle name="20% - Accent2 4 3 2 2 2 3 3 2" xfId="39088" xr:uid="{00000000-0005-0000-0000-0000B0120000}"/>
    <cellStyle name="20% - Accent2 4 3 2 2 2 3 4" xfId="27787" xr:uid="{00000000-0005-0000-0000-0000B1120000}"/>
    <cellStyle name="20% - Accent2 4 3 2 2 2 4" xfId="7464" xr:uid="{00000000-0005-0000-0000-0000B2120000}"/>
    <cellStyle name="20% - Accent2 4 3 2 2 2 4 2" xfId="18765" xr:uid="{00000000-0005-0000-0000-0000B3120000}"/>
    <cellStyle name="20% - Accent2 4 3 2 2 2 4 2 2" xfId="41367" xr:uid="{00000000-0005-0000-0000-0000B4120000}"/>
    <cellStyle name="20% - Accent2 4 3 2 2 2 4 3" xfId="30066" xr:uid="{00000000-0005-0000-0000-0000B5120000}"/>
    <cellStyle name="20% - Accent2 4 3 2 2 2 5" xfId="13115" xr:uid="{00000000-0005-0000-0000-0000B6120000}"/>
    <cellStyle name="20% - Accent2 4 3 2 2 2 5 2" xfId="35717" xr:uid="{00000000-0005-0000-0000-0000B7120000}"/>
    <cellStyle name="20% - Accent2 4 3 2 2 2 6" xfId="24416" xr:uid="{00000000-0005-0000-0000-0000B8120000}"/>
    <cellStyle name="20% - Accent2 4 3 2 2 3" xfId="2776" xr:uid="{00000000-0005-0000-0000-0000B9120000}"/>
    <cellStyle name="20% - Accent2 4 3 2 2 3 2" xfId="5795" xr:uid="{00000000-0005-0000-0000-0000BA120000}"/>
    <cellStyle name="20% - Accent2 4 3 2 2 3 2 2" xfId="11445" xr:uid="{00000000-0005-0000-0000-0000BB120000}"/>
    <cellStyle name="20% - Accent2 4 3 2 2 3 2 2 2" xfId="22746" xr:uid="{00000000-0005-0000-0000-0000BC120000}"/>
    <cellStyle name="20% - Accent2 4 3 2 2 3 2 2 2 2" xfId="45348" xr:uid="{00000000-0005-0000-0000-0000BD120000}"/>
    <cellStyle name="20% - Accent2 4 3 2 2 3 2 2 3" xfId="34047" xr:uid="{00000000-0005-0000-0000-0000BE120000}"/>
    <cellStyle name="20% - Accent2 4 3 2 2 3 2 3" xfId="17096" xr:uid="{00000000-0005-0000-0000-0000BF120000}"/>
    <cellStyle name="20% - Accent2 4 3 2 2 3 2 3 2" xfId="39698" xr:uid="{00000000-0005-0000-0000-0000C0120000}"/>
    <cellStyle name="20% - Accent2 4 3 2 2 3 2 4" xfId="28397" xr:uid="{00000000-0005-0000-0000-0000C1120000}"/>
    <cellStyle name="20% - Accent2 4 3 2 2 3 3" xfId="8612" xr:uid="{00000000-0005-0000-0000-0000C2120000}"/>
    <cellStyle name="20% - Accent2 4 3 2 2 3 3 2" xfId="19913" xr:uid="{00000000-0005-0000-0000-0000C3120000}"/>
    <cellStyle name="20% - Accent2 4 3 2 2 3 3 2 2" xfId="42515" xr:uid="{00000000-0005-0000-0000-0000C4120000}"/>
    <cellStyle name="20% - Accent2 4 3 2 2 3 3 3" xfId="31214" xr:uid="{00000000-0005-0000-0000-0000C5120000}"/>
    <cellStyle name="20% - Accent2 4 3 2 2 3 4" xfId="14263" xr:uid="{00000000-0005-0000-0000-0000C6120000}"/>
    <cellStyle name="20% - Accent2 4 3 2 2 3 4 2" xfId="36865" xr:uid="{00000000-0005-0000-0000-0000C7120000}"/>
    <cellStyle name="20% - Accent2 4 3 2 2 3 5" xfId="25564" xr:uid="{00000000-0005-0000-0000-0000C8120000}"/>
    <cellStyle name="20% - Accent2 4 3 2 2 4" xfId="4561" xr:uid="{00000000-0005-0000-0000-0000C9120000}"/>
    <cellStyle name="20% - Accent2 4 3 2 2 4 2" xfId="10211" xr:uid="{00000000-0005-0000-0000-0000CA120000}"/>
    <cellStyle name="20% - Accent2 4 3 2 2 4 2 2" xfId="21512" xr:uid="{00000000-0005-0000-0000-0000CB120000}"/>
    <cellStyle name="20% - Accent2 4 3 2 2 4 2 2 2" xfId="44114" xr:uid="{00000000-0005-0000-0000-0000CC120000}"/>
    <cellStyle name="20% - Accent2 4 3 2 2 4 2 3" xfId="32813" xr:uid="{00000000-0005-0000-0000-0000CD120000}"/>
    <cellStyle name="20% - Accent2 4 3 2 2 4 3" xfId="15862" xr:uid="{00000000-0005-0000-0000-0000CE120000}"/>
    <cellStyle name="20% - Accent2 4 3 2 2 4 3 2" xfId="38464" xr:uid="{00000000-0005-0000-0000-0000CF120000}"/>
    <cellStyle name="20% - Accent2 4 3 2 2 4 4" xfId="27163" xr:uid="{00000000-0005-0000-0000-0000D0120000}"/>
    <cellStyle name="20% - Accent2 4 3 2 2 5" xfId="7357" xr:uid="{00000000-0005-0000-0000-0000D1120000}"/>
    <cellStyle name="20% - Accent2 4 3 2 2 5 2" xfId="18658" xr:uid="{00000000-0005-0000-0000-0000D2120000}"/>
    <cellStyle name="20% - Accent2 4 3 2 2 5 2 2" xfId="41260" xr:uid="{00000000-0005-0000-0000-0000D3120000}"/>
    <cellStyle name="20% - Accent2 4 3 2 2 5 3" xfId="29959" xr:uid="{00000000-0005-0000-0000-0000D4120000}"/>
    <cellStyle name="20% - Accent2 4 3 2 2 6" xfId="13008" xr:uid="{00000000-0005-0000-0000-0000D5120000}"/>
    <cellStyle name="20% - Accent2 4 3 2 2 6 2" xfId="35610" xr:uid="{00000000-0005-0000-0000-0000D6120000}"/>
    <cellStyle name="20% - Accent2 4 3 2 2 7" xfId="24309" xr:uid="{00000000-0005-0000-0000-0000D7120000}"/>
    <cellStyle name="20% - Accent2 4 3 2 3" xfId="1076" xr:uid="{00000000-0005-0000-0000-0000D8120000}"/>
    <cellStyle name="20% - Accent2 4 3 2 3 2" xfId="3139" xr:uid="{00000000-0005-0000-0000-0000D9120000}"/>
    <cellStyle name="20% - Accent2 4 3 2 3 2 2" xfId="6111" xr:uid="{00000000-0005-0000-0000-0000DA120000}"/>
    <cellStyle name="20% - Accent2 4 3 2 3 2 2 2" xfId="11761" xr:uid="{00000000-0005-0000-0000-0000DB120000}"/>
    <cellStyle name="20% - Accent2 4 3 2 3 2 2 2 2" xfId="23062" xr:uid="{00000000-0005-0000-0000-0000DC120000}"/>
    <cellStyle name="20% - Accent2 4 3 2 3 2 2 2 2 2" xfId="45664" xr:uid="{00000000-0005-0000-0000-0000DD120000}"/>
    <cellStyle name="20% - Accent2 4 3 2 3 2 2 2 3" xfId="34363" xr:uid="{00000000-0005-0000-0000-0000DE120000}"/>
    <cellStyle name="20% - Accent2 4 3 2 3 2 2 3" xfId="17412" xr:uid="{00000000-0005-0000-0000-0000DF120000}"/>
    <cellStyle name="20% - Accent2 4 3 2 3 2 2 3 2" xfId="40014" xr:uid="{00000000-0005-0000-0000-0000E0120000}"/>
    <cellStyle name="20% - Accent2 4 3 2 3 2 2 4" xfId="28713" xr:uid="{00000000-0005-0000-0000-0000E1120000}"/>
    <cellStyle name="20% - Accent2 4 3 2 3 2 3" xfId="8929" xr:uid="{00000000-0005-0000-0000-0000E2120000}"/>
    <cellStyle name="20% - Accent2 4 3 2 3 2 3 2" xfId="20230" xr:uid="{00000000-0005-0000-0000-0000E3120000}"/>
    <cellStyle name="20% - Accent2 4 3 2 3 2 3 2 2" xfId="42832" xr:uid="{00000000-0005-0000-0000-0000E4120000}"/>
    <cellStyle name="20% - Accent2 4 3 2 3 2 3 3" xfId="31531" xr:uid="{00000000-0005-0000-0000-0000E5120000}"/>
    <cellStyle name="20% - Accent2 4 3 2 3 2 4" xfId="14580" xr:uid="{00000000-0005-0000-0000-0000E6120000}"/>
    <cellStyle name="20% - Accent2 4 3 2 3 2 4 2" xfId="37182" xr:uid="{00000000-0005-0000-0000-0000E7120000}"/>
    <cellStyle name="20% - Accent2 4 3 2 3 2 5" xfId="25881" xr:uid="{00000000-0005-0000-0000-0000E8120000}"/>
    <cellStyle name="20% - Accent2 4 3 2 3 3" xfId="4877" xr:uid="{00000000-0005-0000-0000-0000E9120000}"/>
    <cellStyle name="20% - Accent2 4 3 2 3 3 2" xfId="10527" xr:uid="{00000000-0005-0000-0000-0000EA120000}"/>
    <cellStyle name="20% - Accent2 4 3 2 3 3 2 2" xfId="21828" xr:uid="{00000000-0005-0000-0000-0000EB120000}"/>
    <cellStyle name="20% - Accent2 4 3 2 3 3 2 2 2" xfId="44430" xr:uid="{00000000-0005-0000-0000-0000EC120000}"/>
    <cellStyle name="20% - Accent2 4 3 2 3 3 2 3" xfId="33129" xr:uid="{00000000-0005-0000-0000-0000ED120000}"/>
    <cellStyle name="20% - Accent2 4 3 2 3 3 3" xfId="16178" xr:uid="{00000000-0005-0000-0000-0000EE120000}"/>
    <cellStyle name="20% - Accent2 4 3 2 3 3 3 2" xfId="38780" xr:uid="{00000000-0005-0000-0000-0000EF120000}"/>
    <cellStyle name="20% - Accent2 4 3 2 3 3 4" xfId="27479" xr:uid="{00000000-0005-0000-0000-0000F0120000}"/>
    <cellStyle name="20% - Accent2 4 3 2 3 4" xfId="7064" xr:uid="{00000000-0005-0000-0000-0000F1120000}"/>
    <cellStyle name="20% - Accent2 4 3 2 3 4 2" xfId="18365" xr:uid="{00000000-0005-0000-0000-0000F2120000}"/>
    <cellStyle name="20% - Accent2 4 3 2 3 4 2 2" xfId="40967" xr:uid="{00000000-0005-0000-0000-0000F3120000}"/>
    <cellStyle name="20% - Accent2 4 3 2 3 4 3" xfId="29666" xr:uid="{00000000-0005-0000-0000-0000F4120000}"/>
    <cellStyle name="20% - Accent2 4 3 2 3 5" xfId="12715" xr:uid="{00000000-0005-0000-0000-0000F5120000}"/>
    <cellStyle name="20% - Accent2 4 3 2 3 5 2" xfId="35317" xr:uid="{00000000-0005-0000-0000-0000F6120000}"/>
    <cellStyle name="20% - Accent2 4 3 2 3 6" xfId="24016" xr:uid="{00000000-0005-0000-0000-0000F7120000}"/>
    <cellStyle name="20% - Accent2 4 3 2 4" xfId="1607" xr:uid="{00000000-0005-0000-0000-0000F8120000}"/>
    <cellStyle name="20% - Accent2 4 3 2 4 2" xfId="3507" xr:uid="{00000000-0005-0000-0000-0000F9120000}"/>
    <cellStyle name="20% - Accent2 4 3 2 4 2 2" xfId="9276" xr:uid="{00000000-0005-0000-0000-0000FA120000}"/>
    <cellStyle name="20% - Accent2 4 3 2 4 2 2 2" xfId="20577" xr:uid="{00000000-0005-0000-0000-0000FB120000}"/>
    <cellStyle name="20% - Accent2 4 3 2 4 2 2 2 2" xfId="43179" xr:uid="{00000000-0005-0000-0000-0000FC120000}"/>
    <cellStyle name="20% - Accent2 4 3 2 4 2 2 3" xfId="31878" xr:uid="{00000000-0005-0000-0000-0000FD120000}"/>
    <cellStyle name="20% - Accent2 4 3 2 4 2 3" xfId="14927" xr:uid="{00000000-0005-0000-0000-0000FE120000}"/>
    <cellStyle name="20% - Accent2 4 3 2 4 2 3 2" xfId="37529" xr:uid="{00000000-0005-0000-0000-0000FF120000}"/>
    <cellStyle name="20% - Accent2 4 3 2 4 2 4" xfId="26228" xr:uid="{00000000-0005-0000-0000-000000130000}"/>
    <cellStyle name="20% - Accent2 4 3 2 4 3" xfId="5487" xr:uid="{00000000-0005-0000-0000-000001130000}"/>
    <cellStyle name="20% - Accent2 4 3 2 4 3 2" xfId="11137" xr:uid="{00000000-0005-0000-0000-000002130000}"/>
    <cellStyle name="20% - Accent2 4 3 2 4 3 2 2" xfId="22438" xr:uid="{00000000-0005-0000-0000-000003130000}"/>
    <cellStyle name="20% - Accent2 4 3 2 4 3 2 2 2" xfId="45040" xr:uid="{00000000-0005-0000-0000-000004130000}"/>
    <cellStyle name="20% - Accent2 4 3 2 4 3 2 3" xfId="33739" xr:uid="{00000000-0005-0000-0000-000005130000}"/>
    <cellStyle name="20% - Accent2 4 3 2 4 3 3" xfId="16788" xr:uid="{00000000-0005-0000-0000-000006130000}"/>
    <cellStyle name="20% - Accent2 4 3 2 4 3 3 2" xfId="39390" xr:uid="{00000000-0005-0000-0000-000007130000}"/>
    <cellStyle name="20% - Accent2 4 3 2 4 3 4" xfId="28089" xr:uid="{00000000-0005-0000-0000-000008130000}"/>
    <cellStyle name="20% - Accent2 4 3 2 4 4" xfId="7463" xr:uid="{00000000-0005-0000-0000-000009130000}"/>
    <cellStyle name="20% - Accent2 4 3 2 4 4 2" xfId="18764" xr:uid="{00000000-0005-0000-0000-00000A130000}"/>
    <cellStyle name="20% - Accent2 4 3 2 4 4 2 2" xfId="41366" xr:uid="{00000000-0005-0000-0000-00000B130000}"/>
    <cellStyle name="20% - Accent2 4 3 2 4 4 3" xfId="30065" xr:uid="{00000000-0005-0000-0000-00000C130000}"/>
    <cellStyle name="20% - Accent2 4 3 2 4 5" xfId="13114" xr:uid="{00000000-0005-0000-0000-00000D130000}"/>
    <cellStyle name="20% - Accent2 4 3 2 4 5 2" xfId="35716" xr:uid="{00000000-0005-0000-0000-00000E130000}"/>
    <cellStyle name="20% - Accent2 4 3 2 4 6" xfId="24415" xr:uid="{00000000-0005-0000-0000-00000F130000}"/>
    <cellStyle name="20% - Accent2 4 3 2 5" xfId="2468" xr:uid="{00000000-0005-0000-0000-000010130000}"/>
    <cellStyle name="20% - Accent2 4 3 2 5 2" xfId="8304" xr:uid="{00000000-0005-0000-0000-000011130000}"/>
    <cellStyle name="20% - Accent2 4 3 2 5 2 2" xfId="19605" xr:uid="{00000000-0005-0000-0000-000012130000}"/>
    <cellStyle name="20% - Accent2 4 3 2 5 2 2 2" xfId="42207" xr:uid="{00000000-0005-0000-0000-000013130000}"/>
    <cellStyle name="20% - Accent2 4 3 2 5 2 3" xfId="30906" xr:uid="{00000000-0005-0000-0000-000014130000}"/>
    <cellStyle name="20% - Accent2 4 3 2 5 3" xfId="13955" xr:uid="{00000000-0005-0000-0000-000015130000}"/>
    <cellStyle name="20% - Accent2 4 3 2 5 3 2" xfId="36557" xr:uid="{00000000-0005-0000-0000-000016130000}"/>
    <cellStyle name="20% - Accent2 4 3 2 5 4" xfId="25256" xr:uid="{00000000-0005-0000-0000-000017130000}"/>
    <cellStyle name="20% - Accent2 4 3 2 6" xfId="4253" xr:uid="{00000000-0005-0000-0000-000018130000}"/>
    <cellStyle name="20% - Accent2 4 3 2 6 2" xfId="9903" xr:uid="{00000000-0005-0000-0000-000019130000}"/>
    <cellStyle name="20% - Accent2 4 3 2 6 2 2" xfId="21204" xr:uid="{00000000-0005-0000-0000-00001A130000}"/>
    <cellStyle name="20% - Accent2 4 3 2 6 2 2 2" xfId="43806" xr:uid="{00000000-0005-0000-0000-00001B130000}"/>
    <cellStyle name="20% - Accent2 4 3 2 6 2 3" xfId="32505" xr:uid="{00000000-0005-0000-0000-00001C130000}"/>
    <cellStyle name="20% - Accent2 4 3 2 6 3" xfId="15554" xr:uid="{00000000-0005-0000-0000-00001D130000}"/>
    <cellStyle name="20% - Accent2 4 3 2 6 3 2" xfId="38156" xr:uid="{00000000-0005-0000-0000-00001E130000}"/>
    <cellStyle name="20% - Accent2 4 3 2 6 4" xfId="26855" xr:uid="{00000000-0005-0000-0000-00001F130000}"/>
    <cellStyle name="20% - Accent2 4 3 2 7" xfId="6733" xr:uid="{00000000-0005-0000-0000-000020130000}"/>
    <cellStyle name="20% - Accent2 4 3 2 7 2" xfId="18034" xr:uid="{00000000-0005-0000-0000-000021130000}"/>
    <cellStyle name="20% - Accent2 4 3 2 7 2 2" xfId="40636" xr:uid="{00000000-0005-0000-0000-000022130000}"/>
    <cellStyle name="20% - Accent2 4 3 2 7 3" xfId="29335" xr:uid="{00000000-0005-0000-0000-000023130000}"/>
    <cellStyle name="20% - Accent2 4 3 2 8" xfId="12384" xr:uid="{00000000-0005-0000-0000-000024130000}"/>
    <cellStyle name="20% - Accent2 4 3 2 8 2" xfId="34986" xr:uid="{00000000-0005-0000-0000-000025130000}"/>
    <cellStyle name="20% - Accent2 4 3 2 9" xfId="23685" xr:uid="{00000000-0005-0000-0000-000026130000}"/>
    <cellStyle name="20% - Accent2 4 3 3" xfId="1240" xr:uid="{00000000-0005-0000-0000-000027130000}"/>
    <cellStyle name="20% - Accent2 4 3 3 2" xfId="1609" xr:uid="{00000000-0005-0000-0000-000028130000}"/>
    <cellStyle name="20% - Accent2 4 3 3 2 2" xfId="3308" xr:uid="{00000000-0005-0000-0000-000029130000}"/>
    <cellStyle name="20% - Accent2 4 3 3 2 2 2" xfId="6280" xr:uid="{00000000-0005-0000-0000-00002A130000}"/>
    <cellStyle name="20% - Accent2 4 3 3 2 2 2 2" xfId="11930" xr:uid="{00000000-0005-0000-0000-00002B130000}"/>
    <cellStyle name="20% - Accent2 4 3 3 2 2 2 2 2" xfId="23231" xr:uid="{00000000-0005-0000-0000-00002C130000}"/>
    <cellStyle name="20% - Accent2 4 3 3 2 2 2 2 2 2" xfId="45833" xr:uid="{00000000-0005-0000-0000-00002D130000}"/>
    <cellStyle name="20% - Accent2 4 3 3 2 2 2 2 3" xfId="34532" xr:uid="{00000000-0005-0000-0000-00002E130000}"/>
    <cellStyle name="20% - Accent2 4 3 3 2 2 2 3" xfId="17581" xr:uid="{00000000-0005-0000-0000-00002F130000}"/>
    <cellStyle name="20% - Accent2 4 3 3 2 2 2 3 2" xfId="40183" xr:uid="{00000000-0005-0000-0000-000030130000}"/>
    <cellStyle name="20% - Accent2 4 3 3 2 2 2 4" xfId="28882" xr:uid="{00000000-0005-0000-0000-000031130000}"/>
    <cellStyle name="20% - Accent2 4 3 3 2 2 3" xfId="9098" xr:uid="{00000000-0005-0000-0000-000032130000}"/>
    <cellStyle name="20% - Accent2 4 3 3 2 2 3 2" xfId="20399" xr:uid="{00000000-0005-0000-0000-000033130000}"/>
    <cellStyle name="20% - Accent2 4 3 3 2 2 3 2 2" xfId="43001" xr:uid="{00000000-0005-0000-0000-000034130000}"/>
    <cellStyle name="20% - Accent2 4 3 3 2 2 3 3" xfId="31700" xr:uid="{00000000-0005-0000-0000-000035130000}"/>
    <cellStyle name="20% - Accent2 4 3 3 2 2 4" xfId="14749" xr:uid="{00000000-0005-0000-0000-000036130000}"/>
    <cellStyle name="20% - Accent2 4 3 3 2 2 4 2" xfId="37351" xr:uid="{00000000-0005-0000-0000-000037130000}"/>
    <cellStyle name="20% - Accent2 4 3 3 2 2 5" xfId="26050" xr:uid="{00000000-0005-0000-0000-000038130000}"/>
    <cellStyle name="20% - Accent2 4 3 3 2 3" xfId="5046" xr:uid="{00000000-0005-0000-0000-000039130000}"/>
    <cellStyle name="20% - Accent2 4 3 3 2 3 2" xfId="10696" xr:uid="{00000000-0005-0000-0000-00003A130000}"/>
    <cellStyle name="20% - Accent2 4 3 3 2 3 2 2" xfId="21997" xr:uid="{00000000-0005-0000-0000-00003B130000}"/>
    <cellStyle name="20% - Accent2 4 3 3 2 3 2 2 2" xfId="44599" xr:uid="{00000000-0005-0000-0000-00003C130000}"/>
    <cellStyle name="20% - Accent2 4 3 3 2 3 2 3" xfId="33298" xr:uid="{00000000-0005-0000-0000-00003D130000}"/>
    <cellStyle name="20% - Accent2 4 3 3 2 3 3" xfId="16347" xr:uid="{00000000-0005-0000-0000-00003E130000}"/>
    <cellStyle name="20% - Accent2 4 3 3 2 3 3 2" xfId="38949" xr:uid="{00000000-0005-0000-0000-00003F130000}"/>
    <cellStyle name="20% - Accent2 4 3 3 2 3 4" xfId="27648" xr:uid="{00000000-0005-0000-0000-000040130000}"/>
    <cellStyle name="20% - Accent2 4 3 3 2 4" xfId="7465" xr:uid="{00000000-0005-0000-0000-000041130000}"/>
    <cellStyle name="20% - Accent2 4 3 3 2 4 2" xfId="18766" xr:uid="{00000000-0005-0000-0000-000042130000}"/>
    <cellStyle name="20% - Accent2 4 3 3 2 4 2 2" xfId="41368" xr:uid="{00000000-0005-0000-0000-000043130000}"/>
    <cellStyle name="20% - Accent2 4 3 3 2 4 3" xfId="30067" xr:uid="{00000000-0005-0000-0000-000044130000}"/>
    <cellStyle name="20% - Accent2 4 3 3 2 5" xfId="13116" xr:uid="{00000000-0005-0000-0000-000045130000}"/>
    <cellStyle name="20% - Accent2 4 3 3 2 5 2" xfId="35718" xr:uid="{00000000-0005-0000-0000-000046130000}"/>
    <cellStyle name="20% - Accent2 4 3 3 2 6" xfId="24417" xr:uid="{00000000-0005-0000-0000-000047130000}"/>
    <cellStyle name="20% - Accent2 4 3 3 3" xfId="2637" xr:uid="{00000000-0005-0000-0000-000048130000}"/>
    <cellStyle name="20% - Accent2 4 3 3 3 2" xfId="5656" xr:uid="{00000000-0005-0000-0000-000049130000}"/>
    <cellStyle name="20% - Accent2 4 3 3 3 2 2" xfId="11306" xr:uid="{00000000-0005-0000-0000-00004A130000}"/>
    <cellStyle name="20% - Accent2 4 3 3 3 2 2 2" xfId="22607" xr:uid="{00000000-0005-0000-0000-00004B130000}"/>
    <cellStyle name="20% - Accent2 4 3 3 3 2 2 2 2" xfId="45209" xr:uid="{00000000-0005-0000-0000-00004C130000}"/>
    <cellStyle name="20% - Accent2 4 3 3 3 2 2 3" xfId="33908" xr:uid="{00000000-0005-0000-0000-00004D130000}"/>
    <cellStyle name="20% - Accent2 4 3 3 3 2 3" xfId="16957" xr:uid="{00000000-0005-0000-0000-00004E130000}"/>
    <cellStyle name="20% - Accent2 4 3 3 3 2 3 2" xfId="39559" xr:uid="{00000000-0005-0000-0000-00004F130000}"/>
    <cellStyle name="20% - Accent2 4 3 3 3 2 4" xfId="28258" xr:uid="{00000000-0005-0000-0000-000050130000}"/>
    <cellStyle name="20% - Accent2 4 3 3 3 3" xfId="8473" xr:uid="{00000000-0005-0000-0000-000051130000}"/>
    <cellStyle name="20% - Accent2 4 3 3 3 3 2" xfId="19774" xr:uid="{00000000-0005-0000-0000-000052130000}"/>
    <cellStyle name="20% - Accent2 4 3 3 3 3 2 2" xfId="42376" xr:uid="{00000000-0005-0000-0000-000053130000}"/>
    <cellStyle name="20% - Accent2 4 3 3 3 3 3" xfId="31075" xr:uid="{00000000-0005-0000-0000-000054130000}"/>
    <cellStyle name="20% - Accent2 4 3 3 3 4" xfId="14124" xr:uid="{00000000-0005-0000-0000-000055130000}"/>
    <cellStyle name="20% - Accent2 4 3 3 3 4 2" xfId="36726" xr:uid="{00000000-0005-0000-0000-000056130000}"/>
    <cellStyle name="20% - Accent2 4 3 3 3 5" xfId="25425" xr:uid="{00000000-0005-0000-0000-000057130000}"/>
    <cellStyle name="20% - Accent2 4 3 3 4" xfId="4422" xr:uid="{00000000-0005-0000-0000-000058130000}"/>
    <cellStyle name="20% - Accent2 4 3 3 4 2" xfId="10072" xr:uid="{00000000-0005-0000-0000-000059130000}"/>
    <cellStyle name="20% - Accent2 4 3 3 4 2 2" xfId="21373" xr:uid="{00000000-0005-0000-0000-00005A130000}"/>
    <cellStyle name="20% - Accent2 4 3 3 4 2 2 2" xfId="43975" xr:uid="{00000000-0005-0000-0000-00005B130000}"/>
    <cellStyle name="20% - Accent2 4 3 3 4 2 3" xfId="32674" xr:uid="{00000000-0005-0000-0000-00005C130000}"/>
    <cellStyle name="20% - Accent2 4 3 3 4 3" xfId="15723" xr:uid="{00000000-0005-0000-0000-00005D130000}"/>
    <cellStyle name="20% - Accent2 4 3 3 4 3 2" xfId="38325" xr:uid="{00000000-0005-0000-0000-00005E130000}"/>
    <cellStyle name="20% - Accent2 4 3 3 4 4" xfId="27024" xr:uid="{00000000-0005-0000-0000-00005F130000}"/>
    <cellStyle name="20% - Accent2 4 3 3 5" xfId="7219" xr:uid="{00000000-0005-0000-0000-000060130000}"/>
    <cellStyle name="20% - Accent2 4 3 3 5 2" xfId="18520" xr:uid="{00000000-0005-0000-0000-000061130000}"/>
    <cellStyle name="20% - Accent2 4 3 3 5 2 2" xfId="41122" xr:uid="{00000000-0005-0000-0000-000062130000}"/>
    <cellStyle name="20% - Accent2 4 3 3 5 3" xfId="29821" xr:uid="{00000000-0005-0000-0000-000063130000}"/>
    <cellStyle name="20% - Accent2 4 3 3 6" xfId="12870" xr:uid="{00000000-0005-0000-0000-000064130000}"/>
    <cellStyle name="20% - Accent2 4 3 3 6 2" xfId="35472" xr:uid="{00000000-0005-0000-0000-000065130000}"/>
    <cellStyle name="20% - Accent2 4 3 3 7" xfId="24171" xr:uid="{00000000-0005-0000-0000-000066130000}"/>
    <cellStyle name="20% - Accent2 4 3 4" xfId="931" xr:uid="{00000000-0005-0000-0000-000067130000}"/>
    <cellStyle name="20% - Accent2 4 3 4 2" xfId="3001" xr:uid="{00000000-0005-0000-0000-000068130000}"/>
    <cellStyle name="20% - Accent2 4 3 4 2 2" xfId="5973" xr:uid="{00000000-0005-0000-0000-000069130000}"/>
    <cellStyle name="20% - Accent2 4 3 4 2 2 2" xfId="11623" xr:uid="{00000000-0005-0000-0000-00006A130000}"/>
    <cellStyle name="20% - Accent2 4 3 4 2 2 2 2" xfId="22924" xr:uid="{00000000-0005-0000-0000-00006B130000}"/>
    <cellStyle name="20% - Accent2 4 3 4 2 2 2 2 2" xfId="45526" xr:uid="{00000000-0005-0000-0000-00006C130000}"/>
    <cellStyle name="20% - Accent2 4 3 4 2 2 2 3" xfId="34225" xr:uid="{00000000-0005-0000-0000-00006D130000}"/>
    <cellStyle name="20% - Accent2 4 3 4 2 2 3" xfId="17274" xr:uid="{00000000-0005-0000-0000-00006E130000}"/>
    <cellStyle name="20% - Accent2 4 3 4 2 2 3 2" xfId="39876" xr:uid="{00000000-0005-0000-0000-00006F130000}"/>
    <cellStyle name="20% - Accent2 4 3 4 2 2 4" xfId="28575" xr:uid="{00000000-0005-0000-0000-000070130000}"/>
    <cellStyle name="20% - Accent2 4 3 4 2 3" xfId="8791" xr:uid="{00000000-0005-0000-0000-000071130000}"/>
    <cellStyle name="20% - Accent2 4 3 4 2 3 2" xfId="20092" xr:uid="{00000000-0005-0000-0000-000072130000}"/>
    <cellStyle name="20% - Accent2 4 3 4 2 3 2 2" xfId="42694" xr:uid="{00000000-0005-0000-0000-000073130000}"/>
    <cellStyle name="20% - Accent2 4 3 4 2 3 3" xfId="31393" xr:uid="{00000000-0005-0000-0000-000074130000}"/>
    <cellStyle name="20% - Accent2 4 3 4 2 4" xfId="14442" xr:uid="{00000000-0005-0000-0000-000075130000}"/>
    <cellStyle name="20% - Accent2 4 3 4 2 4 2" xfId="37044" xr:uid="{00000000-0005-0000-0000-000076130000}"/>
    <cellStyle name="20% - Accent2 4 3 4 2 5" xfId="25743" xr:uid="{00000000-0005-0000-0000-000077130000}"/>
    <cellStyle name="20% - Accent2 4 3 4 3" xfId="4739" xr:uid="{00000000-0005-0000-0000-000078130000}"/>
    <cellStyle name="20% - Accent2 4 3 4 3 2" xfId="10389" xr:uid="{00000000-0005-0000-0000-000079130000}"/>
    <cellStyle name="20% - Accent2 4 3 4 3 2 2" xfId="21690" xr:uid="{00000000-0005-0000-0000-00007A130000}"/>
    <cellStyle name="20% - Accent2 4 3 4 3 2 2 2" xfId="44292" xr:uid="{00000000-0005-0000-0000-00007B130000}"/>
    <cellStyle name="20% - Accent2 4 3 4 3 2 3" xfId="32991" xr:uid="{00000000-0005-0000-0000-00007C130000}"/>
    <cellStyle name="20% - Accent2 4 3 4 3 3" xfId="16040" xr:uid="{00000000-0005-0000-0000-00007D130000}"/>
    <cellStyle name="20% - Accent2 4 3 4 3 3 2" xfId="38642" xr:uid="{00000000-0005-0000-0000-00007E130000}"/>
    <cellStyle name="20% - Accent2 4 3 4 3 4" xfId="27341" xr:uid="{00000000-0005-0000-0000-00007F130000}"/>
    <cellStyle name="20% - Accent2 4 3 4 4" xfId="6926" xr:uid="{00000000-0005-0000-0000-000080130000}"/>
    <cellStyle name="20% - Accent2 4 3 4 4 2" xfId="18227" xr:uid="{00000000-0005-0000-0000-000081130000}"/>
    <cellStyle name="20% - Accent2 4 3 4 4 2 2" xfId="40829" xr:uid="{00000000-0005-0000-0000-000082130000}"/>
    <cellStyle name="20% - Accent2 4 3 4 4 3" xfId="29528" xr:uid="{00000000-0005-0000-0000-000083130000}"/>
    <cellStyle name="20% - Accent2 4 3 4 5" xfId="12577" xr:uid="{00000000-0005-0000-0000-000084130000}"/>
    <cellStyle name="20% - Accent2 4 3 4 5 2" xfId="35179" xr:uid="{00000000-0005-0000-0000-000085130000}"/>
    <cellStyle name="20% - Accent2 4 3 4 6" xfId="23878" xr:uid="{00000000-0005-0000-0000-000086130000}"/>
    <cellStyle name="20% - Accent2 4 3 5" xfId="1606" xr:uid="{00000000-0005-0000-0000-000087130000}"/>
    <cellStyle name="20% - Accent2 4 3 5 2" xfId="3580" xr:uid="{00000000-0005-0000-0000-000088130000}"/>
    <cellStyle name="20% - Accent2 4 3 5 2 2" xfId="9306" xr:uid="{00000000-0005-0000-0000-000089130000}"/>
    <cellStyle name="20% - Accent2 4 3 5 2 2 2" xfId="20607" xr:uid="{00000000-0005-0000-0000-00008A130000}"/>
    <cellStyle name="20% - Accent2 4 3 5 2 2 2 2" xfId="43209" xr:uid="{00000000-0005-0000-0000-00008B130000}"/>
    <cellStyle name="20% - Accent2 4 3 5 2 2 3" xfId="31908" xr:uid="{00000000-0005-0000-0000-00008C130000}"/>
    <cellStyle name="20% - Accent2 4 3 5 2 3" xfId="14957" xr:uid="{00000000-0005-0000-0000-00008D130000}"/>
    <cellStyle name="20% - Accent2 4 3 5 2 3 2" xfId="37559" xr:uid="{00000000-0005-0000-0000-00008E130000}"/>
    <cellStyle name="20% - Accent2 4 3 5 2 4" xfId="26258" xr:uid="{00000000-0005-0000-0000-00008F130000}"/>
    <cellStyle name="20% - Accent2 4 3 5 3" xfId="5349" xr:uid="{00000000-0005-0000-0000-000090130000}"/>
    <cellStyle name="20% - Accent2 4 3 5 3 2" xfId="10999" xr:uid="{00000000-0005-0000-0000-000091130000}"/>
    <cellStyle name="20% - Accent2 4 3 5 3 2 2" xfId="22300" xr:uid="{00000000-0005-0000-0000-000092130000}"/>
    <cellStyle name="20% - Accent2 4 3 5 3 2 2 2" xfId="44902" xr:uid="{00000000-0005-0000-0000-000093130000}"/>
    <cellStyle name="20% - Accent2 4 3 5 3 2 3" xfId="33601" xr:uid="{00000000-0005-0000-0000-000094130000}"/>
    <cellStyle name="20% - Accent2 4 3 5 3 3" xfId="16650" xr:uid="{00000000-0005-0000-0000-000095130000}"/>
    <cellStyle name="20% - Accent2 4 3 5 3 3 2" xfId="39252" xr:uid="{00000000-0005-0000-0000-000096130000}"/>
    <cellStyle name="20% - Accent2 4 3 5 3 4" xfId="27951" xr:uid="{00000000-0005-0000-0000-000097130000}"/>
    <cellStyle name="20% - Accent2 4 3 5 4" xfId="7462" xr:uid="{00000000-0005-0000-0000-000098130000}"/>
    <cellStyle name="20% - Accent2 4 3 5 4 2" xfId="18763" xr:uid="{00000000-0005-0000-0000-000099130000}"/>
    <cellStyle name="20% - Accent2 4 3 5 4 2 2" xfId="41365" xr:uid="{00000000-0005-0000-0000-00009A130000}"/>
    <cellStyle name="20% - Accent2 4 3 5 4 3" xfId="30064" xr:uid="{00000000-0005-0000-0000-00009B130000}"/>
    <cellStyle name="20% - Accent2 4 3 5 5" xfId="13113" xr:uid="{00000000-0005-0000-0000-00009C130000}"/>
    <cellStyle name="20% - Accent2 4 3 5 5 2" xfId="35715" xr:uid="{00000000-0005-0000-0000-00009D130000}"/>
    <cellStyle name="20% - Accent2 4 3 5 6" xfId="24414" xr:uid="{00000000-0005-0000-0000-00009E130000}"/>
    <cellStyle name="20% - Accent2 4 3 6" xfId="2328" xr:uid="{00000000-0005-0000-0000-00009F130000}"/>
    <cellStyle name="20% - Accent2 4 3 6 2" xfId="8164" xr:uid="{00000000-0005-0000-0000-0000A0130000}"/>
    <cellStyle name="20% - Accent2 4 3 6 2 2" xfId="19465" xr:uid="{00000000-0005-0000-0000-0000A1130000}"/>
    <cellStyle name="20% - Accent2 4 3 6 2 2 2" xfId="42067" xr:uid="{00000000-0005-0000-0000-0000A2130000}"/>
    <cellStyle name="20% - Accent2 4 3 6 2 3" xfId="30766" xr:uid="{00000000-0005-0000-0000-0000A3130000}"/>
    <cellStyle name="20% - Accent2 4 3 6 3" xfId="13815" xr:uid="{00000000-0005-0000-0000-0000A4130000}"/>
    <cellStyle name="20% - Accent2 4 3 6 3 2" xfId="36417" xr:uid="{00000000-0005-0000-0000-0000A5130000}"/>
    <cellStyle name="20% - Accent2 4 3 6 4" xfId="25116" xr:uid="{00000000-0005-0000-0000-0000A6130000}"/>
    <cellStyle name="20% - Accent2 4 3 7" xfId="4115" xr:uid="{00000000-0005-0000-0000-0000A7130000}"/>
    <cellStyle name="20% - Accent2 4 3 7 2" xfId="9765" xr:uid="{00000000-0005-0000-0000-0000A8130000}"/>
    <cellStyle name="20% - Accent2 4 3 7 2 2" xfId="21066" xr:uid="{00000000-0005-0000-0000-0000A9130000}"/>
    <cellStyle name="20% - Accent2 4 3 7 2 2 2" xfId="43668" xr:uid="{00000000-0005-0000-0000-0000AA130000}"/>
    <cellStyle name="20% - Accent2 4 3 7 2 3" xfId="32367" xr:uid="{00000000-0005-0000-0000-0000AB130000}"/>
    <cellStyle name="20% - Accent2 4 3 7 3" xfId="15416" xr:uid="{00000000-0005-0000-0000-0000AC130000}"/>
    <cellStyle name="20% - Accent2 4 3 7 3 2" xfId="38018" xr:uid="{00000000-0005-0000-0000-0000AD130000}"/>
    <cellStyle name="20% - Accent2 4 3 7 4" xfId="26717" xr:uid="{00000000-0005-0000-0000-0000AE130000}"/>
    <cellStyle name="20% - Accent2 4 3 8" xfId="6566" xr:uid="{00000000-0005-0000-0000-0000AF130000}"/>
    <cellStyle name="20% - Accent2 4 3 8 2" xfId="17867" xr:uid="{00000000-0005-0000-0000-0000B0130000}"/>
    <cellStyle name="20% - Accent2 4 3 8 2 2" xfId="40469" xr:uid="{00000000-0005-0000-0000-0000B1130000}"/>
    <cellStyle name="20% - Accent2 4 3 8 3" xfId="29168" xr:uid="{00000000-0005-0000-0000-0000B2130000}"/>
    <cellStyle name="20% - Accent2 4 3 9" xfId="12217" xr:uid="{00000000-0005-0000-0000-0000B3130000}"/>
    <cellStyle name="20% - Accent2 4 3 9 2" xfId="34819" xr:uid="{00000000-0005-0000-0000-0000B4130000}"/>
    <cellStyle name="20% - Accent2 4 4" xfId="570" xr:uid="{00000000-0005-0000-0000-0000B5130000}"/>
    <cellStyle name="20% - Accent2 4 4 2" xfId="1144" xr:uid="{00000000-0005-0000-0000-0000B6130000}"/>
    <cellStyle name="20% - Accent2 4 4 2 2" xfId="1611" xr:uid="{00000000-0005-0000-0000-0000B7130000}"/>
    <cellStyle name="20% - Accent2 4 4 2 2 2" xfId="3212" xr:uid="{00000000-0005-0000-0000-0000B8130000}"/>
    <cellStyle name="20% - Accent2 4 4 2 2 2 2" xfId="6184" xr:uid="{00000000-0005-0000-0000-0000B9130000}"/>
    <cellStyle name="20% - Accent2 4 4 2 2 2 2 2" xfId="11834" xr:uid="{00000000-0005-0000-0000-0000BA130000}"/>
    <cellStyle name="20% - Accent2 4 4 2 2 2 2 2 2" xfId="23135" xr:uid="{00000000-0005-0000-0000-0000BB130000}"/>
    <cellStyle name="20% - Accent2 4 4 2 2 2 2 2 2 2" xfId="45737" xr:uid="{00000000-0005-0000-0000-0000BC130000}"/>
    <cellStyle name="20% - Accent2 4 4 2 2 2 2 2 3" xfId="34436" xr:uid="{00000000-0005-0000-0000-0000BD130000}"/>
    <cellStyle name="20% - Accent2 4 4 2 2 2 2 3" xfId="17485" xr:uid="{00000000-0005-0000-0000-0000BE130000}"/>
    <cellStyle name="20% - Accent2 4 4 2 2 2 2 3 2" xfId="40087" xr:uid="{00000000-0005-0000-0000-0000BF130000}"/>
    <cellStyle name="20% - Accent2 4 4 2 2 2 2 4" xfId="28786" xr:uid="{00000000-0005-0000-0000-0000C0130000}"/>
    <cellStyle name="20% - Accent2 4 4 2 2 2 3" xfId="9002" xr:uid="{00000000-0005-0000-0000-0000C1130000}"/>
    <cellStyle name="20% - Accent2 4 4 2 2 2 3 2" xfId="20303" xr:uid="{00000000-0005-0000-0000-0000C2130000}"/>
    <cellStyle name="20% - Accent2 4 4 2 2 2 3 2 2" xfId="42905" xr:uid="{00000000-0005-0000-0000-0000C3130000}"/>
    <cellStyle name="20% - Accent2 4 4 2 2 2 3 3" xfId="31604" xr:uid="{00000000-0005-0000-0000-0000C4130000}"/>
    <cellStyle name="20% - Accent2 4 4 2 2 2 4" xfId="14653" xr:uid="{00000000-0005-0000-0000-0000C5130000}"/>
    <cellStyle name="20% - Accent2 4 4 2 2 2 4 2" xfId="37255" xr:uid="{00000000-0005-0000-0000-0000C6130000}"/>
    <cellStyle name="20% - Accent2 4 4 2 2 2 5" xfId="25954" xr:uid="{00000000-0005-0000-0000-0000C7130000}"/>
    <cellStyle name="20% - Accent2 4 4 2 2 3" xfId="4950" xr:uid="{00000000-0005-0000-0000-0000C8130000}"/>
    <cellStyle name="20% - Accent2 4 4 2 2 3 2" xfId="10600" xr:uid="{00000000-0005-0000-0000-0000C9130000}"/>
    <cellStyle name="20% - Accent2 4 4 2 2 3 2 2" xfId="21901" xr:uid="{00000000-0005-0000-0000-0000CA130000}"/>
    <cellStyle name="20% - Accent2 4 4 2 2 3 2 2 2" xfId="44503" xr:uid="{00000000-0005-0000-0000-0000CB130000}"/>
    <cellStyle name="20% - Accent2 4 4 2 2 3 2 3" xfId="33202" xr:uid="{00000000-0005-0000-0000-0000CC130000}"/>
    <cellStyle name="20% - Accent2 4 4 2 2 3 3" xfId="16251" xr:uid="{00000000-0005-0000-0000-0000CD130000}"/>
    <cellStyle name="20% - Accent2 4 4 2 2 3 3 2" xfId="38853" xr:uid="{00000000-0005-0000-0000-0000CE130000}"/>
    <cellStyle name="20% - Accent2 4 4 2 2 3 4" xfId="27552" xr:uid="{00000000-0005-0000-0000-0000CF130000}"/>
    <cellStyle name="20% - Accent2 4 4 2 2 4" xfId="7467" xr:uid="{00000000-0005-0000-0000-0000D0130000}"/>
    <cellStyle name="20% - Accent2 4 4 2 2 4 2" xfId="18768" xr:uid="{00000000-0005-0000-0000-0000D1130000}"/>
    <cellStyle name="20% - Accent2 4 4 2 2 4 2 2" xfId="41370" xr:uid="{00000000-0005-0000-0000-0000D2130000}"/>
    <cellStyle name="20% - Accent2 4 4 2 2 4 3" xfId="30069" xr:uid="{00000000-0005-0000-0000-0000D3130000}"/>
    <cellStyle name="20% - Accent2 4 4 2 2 5" xfId="13118" xr:uid="{00000000-0005-0000-0000-0000D4130000}"/>
    <cellStyle name="20% - Accent2 4 4 2 2 5 2" xfId="35720" xr:uid="{00000000-0005-0000-0000-0000D5130000}"/>
    <cellStyle name="20% - Accent2 4 4 2 2 6" xfId="24419" xr:uid="{00000000-0005-0000-0000-0000D6130000}"/>
    <cellStyle name="20% - Accent2 4 4 2 3" xfId="2541" xr:uid="{00000000-0005-0000-0000-0000D7130000}"/>
    <cellStyle name="20% - Accent2 4 4 2 3 2" xfId="5560" xr:uid="{00000000-0005-0000-0000-0000D8130000}"/>
    <cellStyle name="20% - Accent2 4 4 2 3 2 2" xfId="11210" xr:uid="{00000000-0005-0000-0000-0000D9130000}"/>
    <cellStyle name="20% - Accent2 4 4 2 3 2 2 2" xfId="22511" xr:uid="{00000000-0005-0000-0000-0000DA130000}"/>
    <cellStyle name="20% - Accent2 4 4 2 3 2 2 2 2" xfId="45113" xr:uid="{00000000-0005-0000-0000-0000DB130000}"/>
    <cellStyle name="20% - Accent2 4 4 2 3 2 2 3" xfId="33812" xr:uid="{00000000-0005-0000-0000-0000DC130000}"/>
    <cellStyle name="20% - Accent2 4 4 2 3 2 3" xfId="16861" xr:uid="{00000000-0005-0000-0000-0000DD130000}"/>
    <cellStyle name="20% - Accent2 4 4 2 3 2 3 2" xfId="39463" xr:uid="{00000000-0005-0000-0000-0000DE130000}"/>
    <cellStyle name="20% - Accent2 4 4 2 3 2 4" xfId="28162" xr:uid="{00000000-0005-0000-0000-0000DF130000}"/>
    <cellStyle name="20% - Accent2 4 4 2 3 3" xfId="8377" xr:uid="{00000000-0005-0000-0000-0000E0130000}"/>
    <cellStyle name="20% - Accent2 4 4 2 3 3 2" xfId="19678" xr:uid="{00000000-0005-0000-0000-0000E1130000}"/>
    <cellStyle name="20% - Accent2 4 4 2 3 3 2 2" xfId="42280" xr:uid="{00000000-0005-0000-0000-0000E2130000}"/>
    <cellStyle name="20% - Accent2 4 4 2 3 3 3" xfId="30979" xr:uid="{00000000-0005-0000-0000-0000E3130000}"/>
    <cellStyle name="20% - Accent2 4 4 2 3 4" xfId="14028" xr:uid="{00000000-0005-0000-0000-0000E4130000}"/>
    <cellStyle name="20% - Accent2 4 4 2 3 4 2" xfId="36630" xr:uid="{00000000-0005-0000-0000-0000E5130000}"/>
    <cellStyle name="20% - Accent2 4 4 2 3 5" xfId="25329" xr:uid="{00000000-0005-0000-0000-0000E6130000}"/>
    <cellStyle name="20% - Accent2 4 4 2 4" xfId="4326" xr:uid="{00000000-0005-0000-0000-0000E7130000}"/>
    <cellStyle name="20% - Accent2 4 4 2 4 2" xfId="9976" xr:uid="{00000000-0005-0000-0000-0000E8130000}"/>
    <cellStyle name="20% - Accent2 4 4 2 4 2 2" xfId="21277" xr:uid="{00000000-0005-0000-0000-0000E9130000}"/>
    <cellStyle name="20% - Accent2 4 4 2 4 2 2 2" xfId="43879" xr:uid="{00000000-0005-0000-0000-0000EA130000}"/>
    <cellStyle name="20% - Accent2 4 4 2 4 2 3" xfId="32578" xr:uid="{00000000-0005-0000-0000-0000EB130000}"/>
    <cellStyle name="20% - Accent2 4 4 2 4 3" xfId="15627" xr:uid="{00000000-0005-0000-0000-0000EC130000}"/>
    <cellStyle name="20% - Accent2 4 4 2 4 3 2" xfId="38229" xr:uid="{00000000-0005-0000-0000-0000ED130000}"/>
    <cellStyle name="20% - Accent2 4 4 2 4 4" xfId="26928" xr:uid="{00000000-0005-0000-0000-0000EE130000}"/>
    <cellStyle name="20% - Accent2 4 4 2 5" xfId="7123" xr:uid="{00000000-0005-0000-0000-0000EF130000}"/>
    <cellStyle name="20% - Accent2 4 4 2 5 2" xfId="18424" xr:uid="{00000000-0005-0000-0000-0000F0130000}"/>
    <cellStyle name="20% - Accent2 4 4 2 5 2 2" xfId="41026" xr:uid="{00000000-0005-0000-0000-0000F1130000}"/>
    <cellStyle name="20% - Accent2 4 4 2 5 3" xfId="29725" xr:uid="{00000000-0005-0000-0000-0000F2130000}"/>
    <cellStyle name="20% - Accent2 4 4 2 6" xfId="12774" xr:uid="{00000000-0005-0000-0000-0000F3130000}"/>
    <cellStyle name="20% - Accent2 4 4 2 6 2" xfId="35376" xr:uid="{00000000-0005-0000-0000-0000F4130000}"/>
    <cellStyle name="20% - Accent2 4 4 2 7" xfId="24075" xr:uid="{00000000-0005-0000-0000-0000F5130000}"/>
    <cellStyle name="20% - Accent2 4 4 3" xfId="818" xr:uid="{00000000-0005-0000-0000-0000F6130000}"/>
    <cellStyle name="20% - Accent2 4 4 3 2" xfId="2905" xr:uid="{00000000-0005-0000-0000-0000F7130000}"/>
    <cellStyle name="20% - Accent2 4 4 3 2 2" xfId="5877" xr:uid="{00000000-0005-0000-0000-0000F8130000}"/>
    <cellStyle name="20% - Accent2 4 4 3 2 2 2" xfId="11527" xr:uid="{00000000-0005-0000-0000-0000F9130000}"/>
    <cellStyle name="20% - Accent2 4 4 3 2 2 2 2" xfId="22828" xr:uid="{00000000-0005-0000-0000-0000FA130000}"/>
    <cellStyle name="20% - Accent2 4 4 3 2 2 2 2 2" xfId="45430" xr:uid="{00000000-0005-0000-0000-0000FB130000}"/>
    <cellStyle name="20% - Accent2 4 4 3 2 2 2 3" xfId="34129" xr:uid="{00000000-0005-0000-0000-0000FC130000}"/>
    <cellStyle name="20% - Accent2 4 4 3 2 2 3" xfId="17178" xr:uid="{00000000-0005-0000-0000-0000FD130000}"/>
    <cellStyle name="20% - Accent2 4 4 3 2 2 3 2" xfId="39780" xr:uid="{00000000-0005-0000-0000-0000FE130000}"/>
    <cellStyle name="20% - Accent2 4 4 3 2 2 4" xfId="28479" xr:uid="{00000000-0005-0000-0000-0000FF130000}"/>
    <cellStyle name="20% - Accent2 4 4 3 2 3" xfId="8695" xr:uid="{00000000-0005-0000-0000-000000140000}"/>
    <cellStyle name="20% - Accent2 4 4 3 2 3 2" xfId="19996" xr:uid="{00000000-0005-0000-0000-000001140000}"/>
    <cellStyle name="20% - Accent2 4 4 3 2 3 2 2" xfId="42598" xr:uid="{00000000-0005-0000-0000-000002140000}"/>
    <cellStyle name="20% - Accent2 4 4 3 2 3 3" xfId="31297" xr:uid="{00000000-0005-0000-0000-000003140000}"/>
    <cellStyle name="20% - Accent2 4 4 3 2 4" xfId="14346" xr:uid="{00000000-0005-0000-0000-000004140000}"/>
    <cellStyle name="20% - Accent2 4 4 3 2 4 2" xfId="36948" xr:uid="{00000000-0005-0000-0000-000005140000}"/>
    <cellStyle name="20% - Accent2 4 4 3 2 5" xfId="25647" xr:uid="{00000000-0005-0000-0000-000006140000}"/>
    <cellStyle name="20% - Accent2 4 4 3 3" xfId="4643" xr:uid="{00000000-0005-0000-0000-000007140000}"/>
    <cellStyle name="20% - Accent2 4 4 3 3 2" xfId="10293" xr:uid="{00000000-0005-0000-0000-000008140000}"/>
    <cellStyle name="20% - Accent2 4 4 3 3 2 2" xfId="21594" xr:uid="{00000000-0005-0000-0000-000009140000}"/>
    <cellStyle name="20% - Accent2 4 4 3 3 2 2 2" xfId="44196" xr:uid="{00000000-0005-0000-0000-00000A140000}"/>
    <cellStyle name="20% - Accent2 4 4 3 3 2 3" xfId="32895" xr:uid="{00000000-0005-0000-0000-00000B140000}"/>
    <cellStyle name="20% - Accent2 4 4 3 3 3" xfId="15944" xr:uid="{00000000-0005-0000-0000-00000C140000}"/>
    <cellStyle name="20% - Accent2 4 4 3 3 3 2" xfId="38546" xr:uid="{00000000-0005-0000-0000-00000D140000}"/>
    <cellStyle name="20% - Accent2 4 4 3 3 4" xfId="27245" xr:uid="{00000000-0005-0000-0000-00000E140000}"/>
    <cellStyle name="20% - Accent2 4 4 3 4" xfId="6826" xr:uid="{00000000-0005-0000-0000-00000F140000}"/>
    <cellStyle name="20% - Accent2 4 4 3 4 2" xfId="18127" xr:uid="{00000000-0005-0000-0000-000010140000}"/>
    <cellStyle name="20% - Accent2 4 4 3 4 2 2" xfId="40729" xr:uid="{00000000-0005-0000-0000-000011140000}"/>
    <cellStyle name="20% - Accent2 4 4 3 4 3" xfId="29428" xr:uid="{00000000-0005-0000-0000-000012140000}"/>
    <cellStyle name="20% - Accent2 4 4 3 5" xfId="12477" xr:uid="{00000000-0005-0000-0000-000013140000}"/>
    <cellStyle name="20% - Accent2 4 4 3 5 2" xfId="35079" xr:uid="{00000000-0005-0000-0000-000014140000}"/>
    <cellStyle name="20% - Accent2 4 4 3 6" xfId="23778" xr:uid="{00000000-0005-0000-0000-000015140000}"/>
    <cellStyle name="20% - Accent2 4 4 4" xfId="1610" xr:uid="{00000000-0005-0000-0000-000016140000}"/>
    <cellStyle name="20% - Accent2 4 4 4 2" xfId="3546" xr:uid="{00000000-0005-0000-0000-000017140000}"/>
    <cellStyle name="20% - Accent2 4 4 4 2 2" xfId="9292" xr:uid="{00000000-0005-0000-0000-000018140000}"/>
    <cellStyle name="20% - Accent2 4 4 4 2 2 2" xfId="20593" xr:uid="{00000000-0005-0000-0000-000019140000}"/>
    <cellStyle name="20% - Accent2 4 4 4 2 2 2 2" xfId="43195" xr:uid="{00000000-0005-0000-0000-00001A140000}"/>
    <cellStyle name="20% - Accent2 4 4 4 2 2 3" xfId="31894" xr:uid="{00000000-0005-0000-0000-00001B140000}"/>
    <cellStyle name="20% - Accent2 4 4 4 2 3" xfId="14943" xr:uid="{00000000-0005-0000-0000-00001C140000}"/>
    <cellStyle name="20% - Accent2 4 4 4 2 3 2" xfId="37545" xr:uid="{00000000-0005-0000-0000-00001D140000}"/>
    <cellStyle name="20% - Accent2 4 4 4 2 4" xfId="26244" xr:uid="{00000000-0005-0000-0000-00001E140000}"/>
    <cellStyle name="20% - Accent2 4 4 4 3" xfId="5253" xr:uid="{00000000-0005-0000-0000-00001F140000}"/>
    <cellStyle name="20% - Accent2 4 4 4 3 2" xfId="10903" xr:uid="{00000000-0005-0000-0000-000020140000}"/>
    <cellStyle name="20% - Accent2 4 4 4 3 2 2" xfId="22204" xr:uid="{00000000-0005-0000-0000-000021140000}"/>
    <cellStyle name="20% - Accent2 4 4 4 3 2 2 2" xfId="44806" xr:uid="{00000000-0005-0000-0000-000022140000}"/>
    <cellStyle name="20% - Accent2 4 4 4 3 2 3" xfId="33505" xr:uid="{00000000-0005-0000-0000-000023140000}"/>
    <cellStyle name="20% - Accent2 4 4 4 3 3" xfId="16554" xr:uid="{00000000-0005-0000-0000-000024140000}"/>
    <cellStyle name="20% - Accent2 4 4 4 3 3 2" xfId="39156" xr:uid="{00000000-0005-0000-0000-000025140000}"/>
    <cellStyle name="20% - Accent2 4 4 4 3 4" xfId="27855" xr:uid="{00000000-0005-0000-0000-000026140000}"/>
    <cellStyle name="20% - Accent2 4 4 4 4" xfId="7466" xr:uid="{00000000-0005-0000-0000-000027140000}"/>
    <cellStyle name="20% - Accent2 4 4 4 4 2" xfId="18767" xr:uid="{00000000-0005-0000-0000-000028140000}"/>
    <cellStyle name="20% - Accent2 4 4 4 4 2 2" xfId="41369" xr:uid="{00000000-0005-0000-0000-000029140000}"/>
    <cellStyle name="20% - Accent2 4 4 4 4 3" xfId="30068" xr:uid="{00000000-0005-0000-0000-00002A140000}"/>
    <cellStyle name="20% - Accent2 4 4 4 5" xfId="13117" xr:uid="{00000000-0005-0000-0000-00002B140000}"/>
    <cellStyle name="20% - Accent2 4 4 4 5 2" xfId="35719" xr:uid="{00000000-0005-0000-0000-00002C140000}"/>
    <cellStyle name="20% - Accent2 4 4 4 6" xfId="24418" xr:uid="{00000000-0005-0000-0000-00002D140000}"/>
    <cellStyle name="20% - Accent2 4 4 5" xfId="2225" xr:uid="{00000000-0005-0000-0000-00002E140000}"/>
    <cellStyle name="20% - Accent2 4 4 5 2" xfId="8067" xr:uid="{00000000-0005-0000-0000-00002F140000}"/>
    <cellStyle name="20% - Accent2 4 4 5 2 2" xfId="19368" xr:uid="{00000000-0005-0000-0000-000030140000}"/>
    <cellStyle name="20% - Accent2 4 4 5 2 2 2" xfId="41970" xr:uid="{00000000-0005-0000-0000-000031140000}"/>
    <cellStyle name="20% - Accent2 4 4 5 2 3" xfId="30669" xr:uid="{00000000-0005-0000-0000-000032140000}"/>
    <cellStyle name="20% - Accent2 4 4 5 3" xfId="13718" xr:uid="{00000000-0005-0000-0000-000033140000}"/>
    <cellStyle name="20% - Accent2 4 4 5 3 2" xfId="36320" xr:uid="{00000000-0005-0000-0000-000034140000}"/>
    <cellStyle name="20% - Accent2 4 4 5 4" xfId="25019" xr:uid="{00000000-0005-0000-0000-000035140000}"/>
    <cellStyle name="20% - Accent2 4 4 6" xfId="4019" xr:uid="{00000000-0005-0000-0000-000036140000}"/>
    <cellStyle name="20% - Accent2 4 4 6 2" xfId="9669" xr:uid="{00000000-0005-0000-0000-000037140000}"/>
    <cellStyle name="20% - Accent2 4 4 6 2 2" xfId="20970" xr:uid="{00000000-0005-0000-0000-000038140000}"/>
    <cellStyle name="20% - Accent2 4 4 6 2 2 2" xfId="43572" xr:uid="{00000000-0005-0000-0000-000039140000}"/>
    <cellStyle name="20% - Accent2 4 4 6 2 3" xfId="32271" xr:uid="{00000000-0005-0000-0000-00003A140000}"/>
    <cellStyle name="20% - Accent2 4 4 6 3" xfId="15320" xr:uid="{00000000-0005-0000-0000-00003B140000}"/>
    <cellStyle name="20% - Accent2 4 4 6 3 2" xfId="37922" xr:uid="{00000000-0005-0000-0000-00003C140000}"/>
    <cellStyle name="20% - Accent2 4 4 6 4" xfId="26621" xr:uid="{00000000-0005-0000-0000-00003D140000}"/>
    <cellStyle name="20% - Accent2 4 4 7" xfId="6637" xr:uid="{00000000-0005-0000-0000-00003E140000}"/>
    <cellStyle name="20% - Accent2 4 4 7 2" xfId="17938" xr:uid="{00000000-0005-0000-0000-00003F140000}"/>
    <cellStyle name="20% - Accent2 4 4 7 2 2" xfId="40540" xr:uid="{00000000-0005-0000-0000-000040140000}"/>
    <cellStyle name="20% - Accent2 4 4 7 3" xfId="29239" xr:uid="{00000000-0005-0000-0000-000041140000}"/>
    <cellStyle name="20% - Accent2 4 4 8" xfId="12288" xr:uid="{00000000-0005-0000-0000-000042140000}"/>
    <cellStyle name="20% - Accent2 4 4 8 2" xfId="34890" xr:uid="{00000000-0005-0000-0000-000043140000}"/>
    <cellStyle name="20% - Accent2 4 4 9" xfId="23589" xr:uid="{00000000-0005-0000-0000-000044140000}"/>
    <cellStyle name="20% - Accent2 4 5" xfId="514" xr:uid="{00000000-0005-0000-0000-000045140000}"/>
    <cellStyle name="20% - Accent2 4 5 2" xfId="1283" xr:uid="{00000000-0005-0000-0000-000046140000}"/>
    <cellStyle name="20% - Accent2 4 5 2 2" xfId="1613" xr:uid="{00000000-0005-0000-0000-000047140000}"/>
    <cellStyle name="20% - Accent2 4 5 2 2 2" xfId="3352" xr:uid="{00000000-0005-0000-0000-000048140000}"/>
    <cellStyle name="20% - Accent2 4 5 2 2 2 2" xfId="6324" xr:uid="{00000000-0005-0000-0000-000049140000}"/>
    <cellStyle name="20% - Accent2 4 5 2 2 2 2 2" xfId="11974" xr:uid="{00000000-0005-0000-0000-00004A140000}"/>
    <cellStyle name="20% - Accent2 4 5 2 2 2 2 2 2" xfId="23275" xr:uid="{00000000-0005-0000-0000-00004B140000}"/>
    <cellStyle name="20% - Accent2 4 5 2 2 2 2 2 2 2" xfId="45877" xr:uid="{00000000-0005-0000-0000-00004C140000}"/>
    <cellStyle name="20% - Accent2 4 5 2 2 2 2 2 3" xfId="34576" xr:uid="{00000000-0005-0000-0000-00004D140000}"/>
    <cellStyle name="20% - Accent2 4 5 2 2 2 2 3" xfId="17625" xr:uid="{00000000-0005-0000-0000-00004E140000}"/>
    <cellStyle name="20% - Accent2 4 5 2 2 2 2 3 2" xfId="40227" xr:uid="{00000000-0005-0000-0000-00004F140000}"/>
    <cellStyle name="20% - Accent2 4 5 2 2 2 2 4" xfId="28926" xr:uid="{00000000-0005-0000-0000-000050140000}"/>
    <cellStyle name="20% - Accent2 4 5 2 2 2 3" xfId="9142" xr:uid="{00000000-0005-0000-0000-000051140000}"/>
    <cellStyle name="20% - Accent2 4 5 2 2 2 3 2" xfId="20443" xr:uid="{00000000-0005-0000-0000-000052140000}"/>
    <cellStyle name="20% - Accent2 4 5 2 2 2 3 2 2" xfId="43045" xr:uid="{00000000-0005-0000-0000-000053140000}"/>
    <cellStyle name="20% - Accent2 4 5 2 2 2 3 3" xfId="31744" xr:uid="{00000000-0005-0000-0000-000054140000}"/>
    <cellStyle name="20% - Accent2 4 5 2 2 2 4" xfId="14793" xr:uid="{00000000-0005-0000-0000-000055140000}"/>
    <cellStyle name="20% - Accent2 4 5 2 2 2 4 2" xfId="37395" xr:uid="{00000000-0005-0000-0000-000056140000}"/>
    <cellStyle name="20% - Accent2 4 5 2 2 2 5" xfId="26094" xr:uid="{00000000-0005-0000-0000-000057140000}"/>
    <cellStyle name="20% - Accent2 4 5 2 2 3" xfId="5090" xr:uid="{00000000-0005-0000-0000-000058140000}"/>
    <cellStyle name="20% - Accent2 4 5 2 2 3 2" xfId="10740" xr:uid="{00000000-0005-0000-0000-000059140000}"/>
    <cellStyle name="20% - Accent2 4 5 2 2 3 2 2" xfId="22041" xr:uid="{00000000-0005-0000-0000-00005A140000}"/>
    <cellStyle name="20% - Accent2 4 5 2 2 3 2 2 2" xfId="44643" xr:uid="{00000000-0005-0000-0000-00005B140000}"/>
    <cellStyle name="20% - Accent2 4 5 2 2 3 2 3" xfId="33342" xr:uid="{00000000-0005-0000-0000-00005C140000}"/>
    <cellStyle name="20% - Accent2 4 5 2 2 3 3" xfId="16391" xr:uid="{00000000-0005-0000-0000-00005D140000}"/>
    <cellStyle name="20% - Accent2 4 5 2 2 3 3 2" xfId="38993" xr:uid="{00000000-0005-0000-0000-00005E140000}"/>
    <cellStyle name="20% - Accent2 4 5 2 2 3 4" xfId="27692" xr:uid="{00000000-0005-0000-0000-00005F140000}"/>
    <cellStyle name="20% - Accent2 4 5 2 2 4" xfId="7469" xr:uid="{00000000-0005-0000-0000-000060140000}"/>
    <cellStyle name="20% - Accent2 4 5 2 2 4 2" xfId="18770" xr:uid="{00000000-0005-0000-0000-000061140000}"/>
    <cellStyle name="20% - Accent2 4 5 2 2 4 2 2" xfId="41372" xr:uid="{00000000-0005-0000-0000-000062140000}"/>
    <cellStyle name="20% - Accent2 4 5 2 2 4 3" xfId="30071" xr:uid="{00000000-0005-0000-0000-000063140000}"/>
    <cellStyle name="20% - Accent2 4 5 2 2 5" xfId="13120" xr:uid="{00000000-0005-0000-0000-000064140000}"/>
    <cellStyle name="20% - Accent2 4 5 2 2 5 2" xfId="35722" xr:uid="{00000000-0005-0000-0000-000065140000}"/>
    <cellStyle name="20% - Accent2 4 5 2 2 6" xfId="24421" xr:uid="{00000000-0005-0000-0000-000066140000}"/>
    <cellStyle name="20% - Accent2 4 5 2 3" xfId="2681" xr:uid="{00000000-0005-0000-0000-000067140000}"/>
    <cellStyle name="20% - Accent2 4 5 2 3 2" xfId="5700" xr:uid="{00000000-0005-0000-0000-000068140000}"/>
    <cellStyle name="20% - Accent2 4 5 2 3 2 2" xfId="11350" xr:uid="{00000000-0005-0000-0000-000069140000}"/>
    <cellStyle name="20% - Accent2 4 5 2 3 2 2 2" xfId="22651" xr:uid="{00000000-0005-0000-0000-00006A140000}"/>
    <cellStyle name="20% - Accent2 4 5 2 3 2 2 2 2" xfId="45253" xr:uid="{00000000-0005-0000-0000-00006B140000}"/>
    <cellStyle name="20% - Accent2 4 5 2 3 2 2 3" xfId="33952" xr:uid="{00000000-0005-0000-0000-00006C140000}"/>
    <cellStyle name="20% - Accent2 4 5 2 3 2 3" xfId="17001" xr:uid="{00000000-0005-0000-0000-00006D140000}"/>
    <cellStyle name="20% - Accent2 4 5 2 3 2 3 2" xfId="39603" xr:uid="{00000000-0005-0000-0000-00006E140000}"/>
    <cellStyle name="20% - Accent2 4 5 2 3 2 4" xfId="28302" xr:uid="{00000000-0005-0000-0000-00006F140000}"/>
    <cellStyle name="20% - Accent2 4 5 2 3 3" xfId="8517" xr:uid="{00000000-0005-0000-0000-000070140000}"/>
    <cellStyle name="20% - Accent2 4 5 2 3 3 2" xfId="19818" xr:uid="{00000000-0005-0000-0000-000071140000}"/>
    <cellStyle name="20% - Accent2 4 5 2 3 3 2 2" xfId="42420" xr:uid="{00000000-0005-0000-0000-000072140000}"/>
    <cellStyle name="20% - Accent2 4 5 2 3 3 3" xfId="31119" xr:uid="{00000000-0005-0000-0000-000073140000}"/>
    <cellStyle name="20% - Accent2 4 5 2 3 4" xfId="14168" xr:uid="{00000000-0005-0000-0000-000074140000}"/>
    <cellStyle name="20% - Accent2 4 5 2 3 4 2" xfId="36770" xr:uid="{00000000-0005-0000-0000-000075140000}"/>
    <cellStyle name="20% - Accent2 4 5 2 3 5" xfId="25469" xr:uid="{00000000-0005-0000-0000-000076140000}"/>
    <cellStyle name="20% - Accent2 4 5 2 4" xfId="4466" xr:uid="{00000000-0005-0000-0000-000077140000}"/>
    <cellStyle name="20% - Accent2 4 5 2 4 2" xfId="10116" xr:uid="{00000000-0005-0000-0000-000078140000}"/>
    <cellStyle name="20% - Accent2 4 5 2 4 2 2" xfId="21417" xr:uid="{00000000-0005-0000-0000-000079140000}"/>
    <cellStyle name="20% - Accent2 4 5 2 4 2 2 2" xfId="44019" xr:uid="{00000000-0005-0000-0000-00007A140000}"/>
    <cellStyle name="20% - Accent2 4 5 2 4 2 3" xfId="32718" xr:uid="{00000000-0005-0000-0000-00007B140000}"/>
    <cellStyle name="20% - Accent2 4 5 2 4 3" xfId="15767" xr:uid="{00000000-0005-0000-0000-00007C140000}"/>
    <cellStyle name="20% - Accent2 4 5 2 4 3 2" xfId="38369" xr:uid="{00000000-0005-0000-0000-00007D140000}"/>
    <cellStyle name="20% - Accent2 4 5 2 4 4" xfId="27068" xr:uid="{00000000-0005-0000-0000-00007E140000}"/>
    <cellStyle name="20% - Accent2 4 5 2 5" xfId="7262" xr:uid="{00000000-0005-0000-0000-00007F140000}"/>
    <cellStyle name="20% - Accent2 4 5 2 5 2" xfId="18563" xr:uid="{00000000-0005-0000-0000-000080140000}"/>
    <cellStyle name="20% - Accent2 4 5 2 5 2 2" xfId="41165" xr:uid="{00000000-0005-0000-0000-000081140000}"/>
    <cellStyle name="20% - Accent2 4 5 2 5 3" xfId="29864" xr:uid="{00000000-0005-0000-0000-000082140000}"/>
    <cellStyle name="20% - Accent2 4 5 2 6" xfId="12913" xr:uid="{00000000-0005-0000-0000-000083140000}"/>
    <cellStyle name="20% - Accent2 4 5 2 6 2" xfId="35515" xr:uid="{00000000-0005-0000-0000-000084140000}"/>
    <cellStyle name="20% - Accent2 4 5 2 7" xfId="24214" xr:uid="{00000000-0005-0000-0000-000085140000}"/>
    <cellStyle name="20% - Accent2 4 5 3" xfId="981" xr:uid="{00000000-0005-0000-0000-000086140000}"/>
    <cellStyle name="20% - Accent2 4 5 3 2" xfId="3044" xr:uid="{00000000-0005-0000-0000-000087140000}"/>
    <cellStyle name="20% - Accent2 4 5 3 2 2" xfId="6016" xr:uid="{00000000-0005-0000-0000-000088140000}"/>
    <cellStyle name="20% - Accent2 4 5 3 2 2 2" xfId="11666" xr:uid="{00000000-0005-0000-0000-000089140000}"/>
    <cellStyle name="20% - Accent2 4 5 3 2 2 2 2" xfId="22967" xr:uid="{00000000-0005-0000-0000-00008A140000}"/>
    <cellStyle name="20% - Accent2 4 5 3 2 2 2 2 2" xfId="45569" xr:uid="{00000000-0005-0000-0000-00008B140000}"/>
    <cellStyle name="20% - Accent2 4 5 3 2 2 2 3" xfId="34268" xr:uid="{00000000-0005-0000-0000-00008C140000}"/>
    <cellStyle name="20% - Accent2 4 5 3 2 2 3" xfId="17317" xr:uid="{00000000-0005-0000-0000-00008D140000}"/>
    <cellStyle name="20% - Accent2 4 5 3 2 2 3 2" xfId="39919" xr:uid="{00000000-0005-0000-0000-00008E140000}"/>
    <cellStyle name="20% - Accent2 4 5 3 2 2 4" xfId="28618" xr:uid="{00000000-0005-0000-0000-00008F140000}"/>
    <cellStyle name="20% - Accent2 4 5 3 2 3" xfId="8834" xr:uid="{00000000-0005-0000-0000-000090140000}"/>
    <cellStyle name="20% - Accent2 4 5 3 2 3 2" xfId="20135" xr:uid="{00000000-0005-0000-0000-000091140000}"/>
    <cellStyle name="20% - Accent2 4 5 3 2 3 2 2" xfId="42737" xr:uid="{00000000-0005-0000-0000-000092140000}"/>
    <cellStyle name="20% - Accent2 4 5 3 2 3 3" xfId="31436" xr:uid="{00000000-0005-0000-0000-000093140000}"/>
    <cellStyle name="20% - Accent2 4 5 3 2 4" xfId="14485" xr:uid="{00000000-0005-0000-0000-000094140000}"/>
    <cellStyle name="20% - Accent2 4 5 3 2 4 2" xfId="37087" xr:uid="{00000000-0005-0000-0000-000095140000}"/>
    <cellStyle name="20% - Accent2 4 5 3 2 5" xfId="25786" xr:uid="{00000000-0005-0000-0000-000096140000}"/>
    <cellStyle name="20% - Accent2 4 5 3 3" xfId="4782" xr:uid="{00000000-0005-0000-0000-000097140000}"/>
    <cellStyle name="20% - Accent2 4 5 3 3 2" xfId="10432" xr:uid="{00000000-0005-0000-0000-000098140000}"/>
    <cellStyle name="20% - Accent2 4 5 3 3 2 2" xfId="21733" xr:uid="{00000000-0005-0000-0000-000099140000}"/>
    <cellStyle name="20% - Accent2 4 5 3 3 2 2 2" xfId="44335" xr:uid="{00000000-0005-0000-0000-00009A140000}"/>
    <cellStyle name="20% - Accent2 4 5 3 3 2 3" xfId="33034" xr:uid="{00000000-0005-0000-0000-00009B140000}"/>
    <cellStyle name="20% - Accent2 4 5 3 3 3" xfId="16083" xr:uid="{00000000-0005-0000-0000-00009C140000}"/>
    <cellStyle name="20% - Accent2 4 5 3 3 3 2" xfId="38685" xr:uid="{00000000-0005-0000-0000-00009D140000}"/>
    <cellStyle name="20% - Accent2 4 5 3 3 4" xfId="27384" xr:uid="{00000000-0005-0000-0000-00009E140000}"/>
    <cellStyle name="20% - Accent2 4 5 3 4" xfId="6969" xr:uid="{00000000-0005-0000-0000-00009F140000}"/>
    <cellStyle name="20% - Accent2 4 5 3 4 2" xfId="18270" xr:uid="{00000000-0005-0000-0000-0000A0140000}"/>
    <cellStyle name="20% - Accent2 4 5 3 4 2 2" xfId="40872" xr:uid="{00000000-0005-0000-0000-0000A1140000}"/>
    <cellStyle name="20% - Accent2 4 5 3 4 3" xfId="29571" xr:uid="{00000000-0005-0000-0000-0000A2140000}"/>
    <cellStyle name="20% - Accent2 4 5 3 5" xfId="12620" xr:uid="{00000000-0005-0000-0000-0000A3140000}"/>
    <cellStyle name="20% - Accent2 4 5 3 5 2" xfId="35222" xr:uid="{00000000-0005-0000-0000-0000A4140000}"/>
    <cellStyle name="20% - Accent2 4 5 3 6" xfId="23921" xr:uid="{00000000-0005-0000-0000-0000A5140000}"/>
    <cellStyle name="20% - Accent2 4 5 4" xfId="1612" xr:uid="{00000000-0005-0000-0000-0000A6140000}"/>
    <cellStyle name="20% - Accent2 4 5 4 2" xfId="3516" xr:uid="{00000000-0005-0000-0000-0000A7140000}"/>
    <cellStyle name="20% - Accent2 4 5 4 2 2" xfId="9280" xr:uid="{00000000-0005-0000-0000-0000A8140000}"/>
    <cellStyle name="20% - Accent2 4 5 4 2 2 2" xfId="20581" xr:uid="{00000000-0005-0000-0000-0000A9140000}"/>
    <cellStyle name="20% - Accent2 4 5 4 2 2 2 2" xfId="43183" xr:uid="{00000000-0005-0000-0000-0000AA140000}"/>
    <cellStyle name="20% - Accent2 4 5 4 2 2 3" xfId="31882" xr:uid="{00000000-0005-0000-0000-0000AB140000}"/>
    <cellStyle name="20% - Accent2 4 5 4 2 3" xfId="14931" xr:uid="{00000000-0005-0000-0000-0000AC140000}"/>
    <cellStyle name="20% - Accent2 4 5 4 2 3 2" xfId="37533" xr:uid="{00000000-0005-0000-0000-0000AD140000}"/>
    <cellStyle name="20% - Accent2 4 5 4 2 4" xfId="26232" xr:uid="{00000000-0005-0000-0000-0000AE140000}"/>
    <cellStyle name="20% - Accent2 4 5 4 3" xfId="5392" xr:uid="{00000000-0005-0000-0000-0000AF140000}"/>
    <cellStyle name="20% - Accent2 4 5 4 3 2" xfId="11042" xr:uid="{00000000-0005-0000-0000-0000B0140000}"/>
    <cellStyle name="20% - Accent2 4 5 4 3 2 2" xfId="22343" xr:uid="{00000000-0005-0000-0000-0000B1140000}"/>
    <cellStyle name="20% - Accent2 4 5 4 3 2 2 2" xfId="44945" xr:uid="{00000000-0005-0000-0000-0000B2140000}"/>
    <cellStyle name="20% - Accent2 4 5 4 3 2 3" xfId="33644" xr:uid="{00000000-0005-0000-0000-0000B3140000}"/>
    <cellStyle name="20% - Accent2 4 5 4 3 3" xfId="16693" xr:uid="{00000000-0005-0000-0000-0000B4140000}"/>
    <cellStyle name="20% - Accent2 4 5 4 3 3 2" xfId="39295" xr:uid="{00000000-0005-0000-0000-0000B5140000}"/>
    <cellStyle name="20% - Accent2 4 5 4 3 4" xfId="27994" xr:uid="{00000000-0005-0000-0000-0000B6140000}"/>
    <cellStyle name="20% - Accent2 4 5 4 4" xfId="7468" xr:uid="{00000000-0005-0000-0000-0000B7140000}"/>
    <cellStyle name="20% - Accent2 4 5 4 4 2" xfId="18769" xr:uid="{00000000-0005-0000-0000-0000B8140000}"/>
    <cellStyle name="20% - Accent2 4 5 4 4 2 2" xfId="41371" xr:uid="{00000000-0005-0000-0000-0000B9140000}"/>
    <cellStyle name="20% - Accent2 4 5 4 4 3" xfId="30070" xr:uid="{00000000-0005-0000-0000-0000BA140000}"/>
    <cellStyle name="20% - Accent2 4 5 4 5" xfId="13119" xr:uid="{00000000-0005-0000-0000-0000BB140000}"/>
    <cellStyle name="20% - Accent2 4 5 4 5 2" xfId="35721" xr:uid="{00000000-0005-0000-0000-0000BC140000}"/>
    <cellStyle name="20% - Accent2 4 5 4 6" xfId="24420" xr:uid="{00000000-0005-0000-0000-0000BD140000}"/>
    <cellStyle name="20% - Accent2 4 5 5" xfId="2373" xr:uid="{00000000-0005-0000-0000-0000BE140000}"/>
    <cellStyle name="20% - Accent2 4 5 5 2" xfId="8209" xr:uid="{00000000-0005-0000-0000-0000BF140000}"/>
    <cellStyle name="20% - Accent2 4 5 5 2 2" xfId="19510" xr:uid="{00000000-0005-0000-0000-0000C0140000}"/>
    <cellStyle name="20% - Accent2 4 5 5 2 2 2" xfId="42112" xr:uid="{00000000-0005-0000-0000-0000C1140000}"/>
    <cellStyle name="20% - Accent2 4 5 5 2 3" xfId="30811" xr:uid="{00000000-0005-0000-0000-0000C2140000}"/>
    <cellStyle name="20% - Accent2 4 5 5 3" xfId="13860" xr:uid="{00000000-0005-0000-0000-0000C3140000}"/>
    <cellStyle name="20% - Accent2 4 5 5 3 2" xfId="36462" xr:uid="{00000000-0005-0000-0000-0000C4140000}"/>
    <cellStyle name="20% - Accent2 4 5 5 4" xfId="25161" xr:uid="{00000000-0005-0000-0000-0000C5140000}"/>
    <cellStyle name="20% - Accent2 4 5 6" xfId="4158" xr:uid="{00000000-0005-0000-0000-0000C6140000}"/>
    <cellStyle name="20% - Accent2 4 5 6 2" xfId="9808" xr:uid="{00000000-0005-0000-0000-0000C7140000}"/>
    <cellStyle name="20% - Accent2 4 5 6 2 2" xfId="21109" xr:uid="{00000000-0005-0000-0000-0000C8140000}"/>
    <cellStyle name="20% - Accent2 4 5 6 2 2 2" xfId="43711" xr:uid="{00000000-0005-0000-0000-0000C9140000}"/>
    <cellStyle name="20% - Accent2 4 5 6 2 3" xfId="32410" xr:uid="{00000000-0005-0000-0000-0000CA140000}"/>
    <cellStyle name="20% - Accent2 4 5 6 3" xfId="15459" xr:uid="{00000000-0005-0000-0000-0000CB140000}"/>
    <cellStyle name="20% - Accent2 4 5 6 3 2" xfId="38061" xr:uid="{00000000-0005-0000-0000-0000CC140000}"/>
    <cellStyle name="20% - Accent2 4 5 6 4" xfId="26760" xr:uid="{00000000-0005-0000-0000-0000CD140000}"/>
    <cellStyle name="20% - Accent2 4 5 7" xfId="6609" xr:uid="{00000000-0005-0000-0000-0000CE140000}"/>
    <cellStyle name="20% - Accent2 4 5 7 2" xfId="17910" xr:uid="{00000000-0005-0000-0000-0000CF140000}"/>
    <cellStyle name="20% - Accent2 4 5 7 2 2" xfId="40512" xr:uid="{00000000-0005-0000-0000-0000D0140000}"/>
    <cellStyle name="20% - Accent2 4 5 7 3" xfId="29211" xr:uid="{00000000-0005-0000-0000-0000D1140000}"/>
    <cellStyle name="20% - Accent2 4 5 8" xfId="12260" xr:uid="{00000000-0005-0000-0000-0000D2140000}"/>
    <cellStyle name="20% - Accent2 4 5 8 2" xfId="34862" xr:uid="{00000000-0005-0000-0000-0000D3140000}"/>
    <cellStyle name="20% - Accent2 4 5 9" xfId="23561" xr:uid="{00000000-0005-0000-0000-0000D4140000}"/>
    <cellStyle name="20% - Accent2 4 6" xfId="1116" xr:uid="{00000000-0005-0000-0000-0000D5140000}"/>
    <cellStyle name="20% - Accent2 4 6 2" xfId="1614" xr:uid="{00000000-0005-0000-0000-0000D6140000}"/>
    <cellStyle name="20% - Accent2 4 6 2 2" xfId="3183" xr:uid="{00000000-0005-0000-0000-0000D7140000}"/>
    <cellStyle name="20% - Accent2 4 6 2 2 2" xfId="6155" xr:uid="{00000000-0005-0000-0000-0000D8140000}"/>
    <cellStyle name="20% - Accent2 4 6 2 2 2 2" xfId="11805" xr:uid="{00000000-0005-0000-0000-0000D9140000}"/>
    <cellStyle name="20% - Accent2 4 6 2 2 2 2 2" xfId="23106" xr:uid="{00000000-0005-0000-0000-0000DA140000}"/>
    <cellStyle name="20% - Accent2 4 6 2 2 2 2 2 2" xfId="45708" xr:uid="{00000000-0005-0000-0000-0000DB140000}"/>
    <cellStyle name="20% - Accent2 4 6 2 2 2 2 3" xfId="34407" xr:uid="{00000000-0005-0000-0000-0000DC140000}"/>
    <cellStyle name="20% - Accent2 4 6 2 2 2 3" xfId="17456" xr:uid="{00000000-0005-0000-0000-0000DD140000}"/>
    <cellStyle name="20% - Accent2 4 6 2 2 2 3 2" xfId="40058" xr:uid="{00000000-0005-0000-0000-0000DE140000}"/>
    <cellStyle name="20% - Accent2 4 6 2 2 2 4" xfId="28757" xr:uid="{00000000-0005-0000-0000-0000DF140000}"/>
    <cellStyle name="20% - Accent2 4 6 2 2 3" xfId="8973" xr:uid="{00000000-0005-0000-0000-0000E0140000}"/>
    <cellStyle name="20% - Accent2 4 6 2 2 3 2" xfId="20274" xr:uid="{00000000-0005-0000-0000-0000E1140000}"/>
    <cellStyle name="20% - Accent2 4 6 2 2 3 2 2" xfId="42876" xr:uid="{00000000-0005-0000-0000-0000E2140000}"/>
    <cellStyle name="20% - Accent2 4 6 2 2 3 3" xfId="31575" xr:uid="{00000000-0005-0000-0000-0000E3140000}"/>
    <cellStyle name="20% - Accent2 4 6 2 2 4" xfId="14624" xr:uid="{00000000-0005-0000-0000-0000E4140000}"/>
    <cellStyle name="20% - Accent2 4 6 2 2 4 2" xfId="37226" xr:uid="{00000000-0005-0000-0000-0000E5140000}"/>
    <cellStyle name="20% - Accent2 4 6 2 2 5" xfId="25925" xr:uid="{00000000-0005-0000-0000-0000E6140000}"/>
    <cellStyle name="20% - Accent2 4 6 2 3" xfId="4921" xr:uid="{00000000-0005-0000-0000-0000E7140000}"/>
    <cellStyle name="20% - Accent2 4 6 2 3 2" xfId="10571" xr:uid="{00000000-0005-0000-0000-0000E8140000}"/>
    <cellStyle name="20% - Accent2 4 6 2 3 2 2" xfId="21872" xr:uid="{00000000-0005-0000-0000-0000E9140000}"/>
    <cellStyle name="20% - Accent2 4 6 2 3 2 2 2" xfId="44474" xr:uid="{00000000-0005-0000-0000-0000EA140000}"/>
    <cellStyle name="20% - Accent2 4 6 2 3 2 3" xfId="33173" xr:uid="{00000000-0005-0000-0000-0000EB140000}"/>
    <cellStyle name="20% - Accent2 4 6 2 3 3" xfId="16222" xr:uid="{00000000-0005-0000-0000-0000EC140000}"/>
    <cellStyle name="20% - Accent2 4 6 2 3 3 2" xfId="38824" xr:uid="{00000000-0005-0000-0000-0000ED140000}"/>
    <cellStyle name="20% - Accent2 4 6 2 3 4" xfId="27523" xr:uid="{00000000-0005-0000-0000-0000EE140000}"/>
    <cellStyle name="20% - Accent2 4 6 2 4" xfId="7470" xr:uid="{00000000-0005-0000-0000-0000EF140000}"/>
    <cellStyle name="20% - Accent2 4 6 2 4 2" xfId="18771" xr:uid="{00000000-0005-0000-0000-0000F0140000}"/>
    <cellStyle name="20% - Accent2 4 6 2 4 2 2" xfId="41373" xr:uid="{00000000-0005-0000-0000-0000F1140000}"/>
    <cellStyle name="20% - Accent2 4 6 2 4 3" xfId="30072" xr:uid="{00000000-0005-0000-0000-0000F2140000}"/>
    <cellStyle name="20% - Accent2 4 6 2 5" xfId="13121" xr:uid="{00000000-0005-0000-0000-0000F3140000}"/>
    <cellStyle name="20% - Accent2 4 6 2 5 2" xfId="35723" xr:uid="{00000000-0005-0000-0000-0000F4140000}"/>
    <cellStyle name="20% - Accent2 4 6 2 6" xfId="24422" xr:uid="{00000000-0005-0000-0000-0000F5140000}"/>
    <cellStyle name="20% - Accent2 4 6 3" xfId="2512" xr:uid="{00000000-0005-0000-0000-0000F6140000}"/>
    <cellStyle name="20% - Accent2 4 6 3 2" xfId="5531" xr:uid="{00000000-0005-0000-0000-0000F7140000}"/>
    <cellStyle name="20% - Accent2 4 6 3 2 2" xfId="11181" xr:uid="{00000000-0005-0000-0000-0000F8140000}"/>
    <cellStyle name="20% - Accent2 4 6 3 2 2 2" xfId="22482" xr:uid="{00000000-0005-0000-0000-0000F9140000}"/>
    <cellStyle name="20% - Accent2 4 6 3 2 2 2 2" xfId="45084" xr:uid="{00000000-0005-0000-0000-0000FA140000}"/>
    <cellStyle name="20% - Accent2 4 6 3 2 2 3" xfId="33783" xr:uid="{00000000-0005-0000-0000-0000FB140000}"/>
    <cellStyle name="20% - Accent2 4 6 3 2 3" xfId="16832" xr:uid="{00000000-0005-0000-0000-0000FC140000}"/>
    <cellStyle name="20% - Accent2 4 6 3 2 3 2" xfId="39434" xr:uid="{00000000-0005-0000-0000-0000FD140000}"/>
    <cellStyle name="20% - Accent2 4 6 3 2 4" xfId="28133" xr:uid="{00000000-0005-0000-0000-0000FE140000}"/>
    <cellStyle name="20% - Accent2 4 6 3 3" xfId="8348" xr:uid="{00000000-0005-0000-0000-0000FF140000}"/>
    <cellStyle name="20% - Accent2 4 6 3 3 2" xfId="19649" xr:uid="{00000000-0005-0000-0000-000000150000}"/>
    <cellStyle name="20% - Accent2 4 6 3 3 2 2" xfId="42251" xr:uid="{00000000-0005-0000-0000-000001150000}"/>
    <cellStyle name="20% - Accent2 4 6 3 3 3" xfId="30950" xr:uid="{00000000-0005-0000-0000-000002150000}"/>
    <cellStyle name="20% - Accent2 4 6 3 4" xfId="13999" xr:uid="{00000000-0005-0000-0000-000003150000}"/>
    <cellStyle name="20% - Accent2 4 6 3 4 2" xfId="36601" xr:uid="{00000000-0005-0000-0000-000004150000}"/>
    <cellStyle name="20% - Accent2 4 6 3 5" xfId="25300" xr:uid="{00000000-0005-0000-0000-000005150000}"/>
    <cellStyle name="20% - Accent2 4 6 4" xfId="4297" xr:uid="{00000000-0005-0000-0000-000006150000}"/>
    <cellStyle name="20% - Accent2 4 6 4 2" xfId="9947" xr:uid="{00000000-0005-0000-0000-000007150000}"/>
    <cellStyle name="20% - Accent2 4 6 4 2 2" xfId="21248" xr:uid="{00000000-0005-0000-0000-000008150000}"/>
    <cellStyle name="20% - Accent2 4 6 4 2 2 2" xfId="43850" xr:uid="{00000000-0005-0000-0000-000009150000}"/>
    <cellStyle name="20% - Accent2 4 6 4 2 3" xfId="32549" xr:uid="{00000000-0005-0000-0000-00000A150000}"/>
    <cellStyle name="20% - Accent2 4 6 4 3" xfId="15598" xr:uid="{00000000-0005-0000-0000-00000B150000}"/>
    <cellStyle name="20% - Accent2 4 6 4 3 2" xfId="38200" xr:uid="{00000000-0005-0000-0000-00000C150000}"/>
    <cellStyle name="20% - Accent2 4 6 4 4" xfId="26899" xr:uid="{00000000-0005-0000-0000-00000D150000}"/>
    <cellStyle name="20% - Accent2 4 6 5" xfId="7095" xr:uid="{00000000-0005-0000-0000-00000E150000}"/>
    <cellStyle name="20% - Accent2 4 6 5 2" xfId="18396" xr:uid="{00000000-0005-0000-0000-00000F150000}"/>
    <cellStyle name="20% - Accent2 4 6 5 2 2" xfId="40998" xr:uid="{00000000-0005-0000-0000-000010150000}"/>
    <cellStyle name="20% - Accent2 4 6 5 3" xfId="29697" xr:uid="{00000000-0005-0000-0000-000011150000}"/>
    <cellStyle name="20% - Accent2 4 6 6" xfId="12746" xr:uid="{00000000-0005-0000-0000-000012150000}"/>
    <cellStyle name="20% - Accent2 4 6 6 2" xfId="35348" xr:uid="{00000000-0005-0000-0000-000013150000}"/>
    <cellStyle name="20% - Accent2 4 6 7" xfId="24047" xr:uid="{00000000-0005-0000-0000-000014150000}"/>
    <cellStyle name="20% - Accent2 4 7" xfId="780" xr:uid="{00000000-0005-0000-0000-000015150000}"/>
    <cellStyle name="20% - Accent2 4 7 2" xfId="2877" xr:uid="{00000000-0005-0000-0000-000016150000}"/>
    <cellStyle name="20% - Accent2 4 7 2 2" xfId="5849" xr:uid="{00000000-0005-0000-0000-000017150000}"/>
    <cellStyle name="20% - Accent2 4 7 2 2 2" xfId="11499" xr:uid="{00000000-0005-0000-0000-000018150000}"/>
    <cellStyle name="20% - Accent2 4 7 2 2 2 2" xfId="22800" xr:uid="{00000000-0005-0000-0000-000019150000}"/>
    <cellStyle name="20% - Accent2 4 7 2 2 2 2 2" xfId="45402" xr:uid="{00000000-0005-0000-0000-00001A150000}"/>
    <cellStyle name="20% - Accent2 4 7 2 2 2 3" xfId="34101" xr:uid="{00000000-0005-0000-0000-00001B150000}"/>
    <cellStyle name="20% - Accent2 4 7 2 2 3" xfId="17150" xr:uid="{00000000-0005-0000-0000-00001C150000}"/>
    <cellStyle name="20% - Accent2 4 7 2 2 3 2" xfId="39752" xr:uid="{00000000-0005-0000-0000-00001D150000}"/>
    <cellStyle name="20% - Accent2 4 7 2 2 4" xfId="28451" xr:uid="{00000000-0005-0000-0000-00001E150000}"/>
    <cellStyle name="20% - Accent2 4 7 2 3" xfId="8667" xr:uid="{00000000-0005-0000-0000-00001F150000}"/>
    <cellStyle name="20% - Accent2 4 7 2 3 2" xfId="19968" xr:uid="{00000000-0005-0000-0000-000020150000}"/>
    <cellStyle name="20% - Accent2 4 7 2 3 2 2" xfId="42570" xr:uid="{00000000-0005-0000-0000-000021150000}"/>
    <cellStyle name="20% - Accent2 4 7 2 3 3" xfId="31269" xr:uid="{00000000-0005-0000-0000-000022150000}"/>
    <cellStyle name="20% - Accent2 4 7 2 4" xfId="14318" xr:uid="{00000000-0005-0000-0000-000023150000}"/>
    <cellStyle name="20% - Accent2 4 7 2 4 2" xfId="36920" xr:uid="{00000000-0005-0000-0000-000024150000}"/>
    <cellStyle name="20% - Accent2 4 7 2 5" xfId="25619" xr:uid="{00000000-0005-0000-0000-000025150000}"/>
    <cellStyle name="20% - Accent2 4 7 3" xfId="4615" xr:uid="{00000000-0005-0000-0000-000026150000}"/>
    <cellStyle name="20% - Accent2 4 7 3 2" xfId="10265" xr:uid="{00000000-0005-0000-0000-000027150000}"/>
    <cellStyle name="20% - Accent2 4 7 3 2 2" xfId="21566" xr:uid="{00000000-0005-0000-0000-000028150000}"/>
    <cellStyle name="20% - Accent2 4 7 3 2 2 2" xfId="44168" xr:uid="{00000000-0005-0000-0000-000029150000}"/>
    <cellStyle name="20% - Accent2 4 7 3 2 3" xfId="32867" xr:uid="{00000000-0005-0000-0000-00002A150000}"/>
    <cellStyle name="20% - Accent2 4 7 3 3" xfId="15916" xr:uid="{00000000-0005-0000-0000-00002B150000}"/>
    <cellStyle name="20% - Accent2 4 7 3 3 2" xfId="38518" xr:uid="{00000000-0005-0000-0000-00002C150000}"/>
    <cellStyle name="20% - Accent2 4 7 3 4" xfId="27217" xr:uid="{00000000-0005-0000-0000-00002D150000}"/>
    <cellStyle name="20% - Accent2 4 7 4" xfId="6797" xr:uid="{00000000-0005-0000-0000-00002E150000}"/>
    <cellStyle name="20% - Accent2 4 7 4 2" xfId="18098" xr:uid="{00000000-0005-0000-0000-00002F150000}"/>
    <cellStyle name="20% - Accent2 4 7 4 2 2" xfId="40700" xr:uid="{00000000-0005-0000-0000-000030150000}"/>
    <cellStyle name="20% - Accent2 4 7 4 3" xfId="29399" xr:uid="{00000000-0005-0000-0000-000031150000}"/>
    <cellStyle name="20% - Accent2 4 7 5" xfId="12448" xr:uid="{00000000-0005-0000-0000-000032150000}"/>
    <cellStyle name="20% - Accent2 4 7 5 2" xfId="35050" xr:uid="{00000000-0005-0000-0000-000033150000}"/>
    <cellStyle name="20% - Accent2 4 7 6" xfId="23749" xr:uid="{00000000-0005-0000-0000-000034150000}"/>
    <cellStyle name="20% - Accent2 4 8" xfId="1601" xr:uid="{00000000-0005-0000-0000-000035150000}"/>
    <cellStyle name="20% - Accent2 4 8 2" xfId="3529" xr:uid="{00000000-0005-0000-0000-000036150000}"/>
    <cellStyle name="20% - Accent2 4 8 2 2" xfId="9284" xr:uid="{00000000-0005-0000-0000-000037150000}"/>
    <cellStyle name="20% - Accent2 4 8 2 2 2" xfId="20585" xr:uid="{00000000-0005-0000-0000-000038150000}"/>
    <cellStyle name="20% - Accent2 4 8 2 2 2 2" xfId="43187" xr:uid="{00000000-0005-0000-0000-000039150000}"/>
    <cellStyle name="20% - Accent2 4 8 2 2 3" xfId="31886" xr:uid="{00000000-0005-0000-0000-00003A150000}"/>
    <cellStyle name="20% - Accent2 4 8 2 3" xfId="14935" xr:uid="{00000000-0005-0000-0000-00003B150000}"/>
    <cellStyle name="20% - Accent2 4 8 2 3 2" xfId="37537" xr:uid="{00000000-0005-0000-0000-00003C150000}"/>
    <cellStyle name="20% - Accent2 4 8 2 4" xfId="26236" xr:uid="{00000000-0005-0000-0000-00003D150000}"/>
    <cellStyle name="20% - Accent2 4 8 3" xfId="5225" xr:uid="{00000000-0005-0000-0000-00003E150000}"/>
    <cellStyle name="20% - Accent2 4 8 3 2" xfId="10875" xr:uid="{00000000-0005-0000-0000-00003F150000}"/>
    <cellStyle name="20% - Accent2 4 8 3 2 2" xfId="22176" xr:uid="{00000000-0005-0000-0000-000040150000}"/>
    <cellStyle name="20% - Accent2 4 8 3 2 2 2" xfId="44778" xr:uid="{00000000-0005-0000-0000-000041150000}"/>
    <cellStyle name="20% - Accent2 4 8 3 2 3" xfId="33477" xr:uid="{00000000-0005-0000-0000-000042150000}"/>
    <cellStyle name="20% - Accent2 4 8 3 3" xfId="16526" xr:uid="{00000000-0005-0000-0000-000043150000}"/>
    <cellStyle name="20% - Accent2 4 8 3 3 2" xfId="39128" xr:uid="{00000000-0005-0000-0000-000044150000}"/>
    <cellStyle name="20% - Accent2 4 8 3 4" xfId="27827" xr:uid="{00000000-0005-0000-0000-000045150000}"/>
    <cellStyle name="20% - Accent2 4 8 4" xfId="7457" xr:uid="{00000000-0005-0000-0000-000046150000}"/>
    <cellStyle name="20% - Accent2 4 8 4 2" xfId="18758" xr:uid="{00000000-0005-0000-0000-000047150000}"/>
    <cellStyle name="20% - Accent2 4 8 4 2 2" xfId="41360" xr:uid="{00000000-0005-0000-0000-000048150000}"/>
    <cellStyle name="20% - Accent2 4 8 4 3" xfId="30059" xr:uid="{00000000-0005-0000-0000-000049150000}"/>
    <cellStyle name="20% - Accent2 4 8 5" xfId="13108" xr:uid="{00000000-0005-0000-0000-00004A150000}"/>
    <cellStyle name="20% - Accent2 4 8 5 2" xfId="35710" xr:uid="{00000000-0005-0000-0000-00004B150000}"/>
    <cellStyle name="20% - Accent2 4 8 6" xfId="24409" xr:uid="{00000000-0005-0000-0000-00004C150000}"/>
    <cellStyle name="20% - Accent2 4 9" xfId="2196" xr:uid="{00000000-0005-0000-0000-00004D150000}"/>
    <cellStyle name="20% - Accent2 4 9 2" xfId="8039" xr:uid="{00000000-0005-0000-0000-00004E150000}"/>
    <cellStyle name="20% - Accent2 4 9 2 2" xfId="19340" xr:uid="{00000000-0005-0000-0000-00004F150000}"/>
    <cellStyle name="20% - Accent2 4 9 2 2 2" xfId="41942" xr:uid="{00000000-0005-0000-0000-000050150000}"/>
    <cellStyle name="20% - Accent2 4 9 2 3" xfId="30641" xr:uid="{00000000-0005-0000-0000-000051150000}"/>
    <cellStyle name="20% - Accent2 4 9 3" xfId="13690" xr:uid="{00000000-0005-0000-0000-000052150000}"/>
    <cellStyle name="20% - Accent2 4 9 3 2" xfId="36292" xr:uid="{00000000-0005-0000-0000-000053150000}"/>
    <cellStyle name="20% - Accent2 4 9 4" xfId="24991" xr:uid="{00000000-0005-0000-0000-000054150000}"/>
    <cellStyle name="20% - Accent2 5" xfId="267" xr:uid="{00000000-0005-0000-0000-000055150000}"/>
    <cellStyle name="20% - Accent2 5 10" xfId="12133" xr:uid="{00000000-0005-0000-0000-000056150000}"/>
    <cellStyle name="20% - Accent2 5 10 2" xfId="34735" xr:uid="{00000000-0005-0000-0000-000057150000}"/>
    <cellStyle name="20% - Accent2 5 11" xfId="23434" xr:uid="{00000000-0005-0000-0000-000058150000}"/>
    <cellStyle name="20% - Accent2 5 2" xfId="435" xr:uid="{00000000-0005-0000-0000-000059150000}"/>
    <cellStyle name="20% - Accent2 5 2 10" xfId="23530" xr:uid="{00000000-0005-0000-0000-00005A150000}"/>
    <cellStyle name="20% - Accent2 5 2 2" xfId="680" xr:uid="{00000000-0005-0000-0000-00005B150000}"/>
    <cellStyle name="20% - Accent2 5 2 2 2" xfId="1390" xr:uid="{00000000-0005-0000-0000-00005C150000}"/>
    <cellStyle name="20% - Accent2 5 2 2 2 2" xfId="1618" xr:uid="{00000000-0005-0000-0000-00005D150000}"/>
    <cellStyle name="20% - Accent2 5 2 2 2 2 2" xfId="3459" xr:uid="{00000000-0005-0000-0000-00005E150000}"/>
    <cellStyle name="20% - Accent2 5 2 2 2 2 2 2" xfId="6431" xr:uid="{00000000-0005-0000-0000-00005F150000}"/>
    <cellStyle name="20% - Accent2 5 2 2 2 2 2 2 2" xfId="12081" xr:uid="{00000000-0005-0000-0000-000060150000}"/>
    <cellStyle name="20% - Accent2 5 2 2 2 2 2 2 2 2" xfId="23382" xr:uid="{00000000-0005-0000-0000-000061150000}"/>
    <cellStyle name="20% - Accent2 5 2 2 2 2 2 2 2 2 2" xfId="45984" xr:uid="{00000000-0005-0000-0000-000062150000}"/>
    <cellStyle name="20% - Accent2 5 2 2 2 2 2 2 2 3" xfId="34683" xr:uid="{00000000-0005-0000-0000-000063150000}"/>
    <cellStyle name="20% - Accent2 5 2 2 2 2 2 2 3" xfId="17732" xr:uid="{00000000-0005-0000-0000-000064150000}"/>
    <cellStyle name="20% - Accent2 5 2 2 2 2 2 2 3 2" xfId="40334" xr:uid="{00000000-0005-0000-0000-000065150000}"/>
    <cellStyle name="20% - Accent2 5 2 2 2 2 2 2 4" xfId="29033" xr:uid="{00000000-0005-0000-0000-000066150000}"/>
    <cellStyle name="20% - Accent2 5 2 2 2 2 2 3" xfId="9249" xr:uid="{00000000-0005-0000-0000-000067150000}"/>
    <cellStyle name="20% - Accent2 5 2 2 2 2 2 3 2" xfId="20550" xr:uid="{00000000-0005-0000-0000-000068150000}"/>
    <cellStyle name="20% - Accent2 5 2 2 2 2 2 3 2 2" xfId="43152" xr:uid="{00000000-0005-0000-0000-000069150000}"/>
    <cellStyle name="20% - Accent2 5 2 2 2 2 2 3 3" xfId="31851" xr:uid="{00000000-0005-0000-0000-00006A150000}"/>
    <cellStyle name="20% - Accent2 5 2 2 2 2 2 4" xfId="14900" xr:uid="{00000000-0005-0000-0000-00006B150000}"/>
    <cellStyle name="20% - Accent2 5 2 2 2 2 2 4 2" xfId="37502" xr:uid="{00000000-0005-0000-0000-00006C150000}"/>
    <cellStyle name="20% - Accent2 5 2 2 2 2 2 5" xfId="26201" xr:uid="{00000000-0005-0000-0000-00006D150000}"/>
    <cellStyle name="20% - Accent2 5 2 2 2 2 3" xfId="5197" xr:uid="{00000000-0005-0000-0000-00006E150000}"/>
    <cellStyle name="20% - Accent2 5 2 2 2 2 3 2" xfId="10847" xr:uid="{00000000-0005-0000-0000-00006F150000}"/>
    <cellStyle name="20% - Accent2 5 2 2 2 2 3 2 2" xfId="22148" xr:uid="{00000000-0005-0000-0000-000070150000}"/>
    <cellStyle name="20% - Accent2 5 2 2 2 2 3 2 2 2" xfId="44750" xr:uid="{00000000-0005-0000-0000-000071150000}"/>
    <cellStyle name="20% - Accent2 5 2 2 2 2 3 2 3" xfId="33449" xr:uid="{00000000-0005-0000-0000-000072150000}"/>
    <cellStyle name="20% - Accent2 5 2 2 2 2 3 3" xfId="16498" xr:uid="{00000000-0005-0000-0000-000073150000}"/>
    <cellStyle name="20% - Accent2 5 2 2 2 2 3 3 2" xfId="39100" xr:uid="{00000000-0005-0000-0000-000074150000}"/>
    <cellStyle name="20% - Accent2 5 2 2 2 2 3 4" xfId="27799" xr:uid="{00000000-0005-0000-0000-000075150000}"/>
    <cellStyle name="20% - Accent2 5 2 2 2 2 4" xfId="7474" xr:uid="{00000000-0005-0000-0000-000076150000}"/>
    <cellStyle name="20% - Accent2 5 2 2 2 2 4 2" xfId="18775" xr:uid="{00000000-0005-0000-0000-000077150000}"/>
    <cellStyle name="20% - Accent2 5 2 2 2 2 4 2 2" xfId="41377" xr:uid="{00000000-0005-0000-0000-000078150000}"/>
    <cellStyle name="20% - Accent2 5 2 2 2 2 4 3" xfId="30076" xr:uid="{00000000-0005-0000-0000-000079150000}"/>
    <cellStyle name="20% - Accent2 5 2 2 2 2 5" xfId="13125" xr:uid="{00000000-0005-0000-0000-00007A150000}"/>
    <cellStyle name="20% - Accent2 5 2 2 2 2 5 2" xfId="35727" xr:uid="{00000000-0005-0000-0000-00007B150000}"/>
    <cellStyle name="20% - Accent2 5 2 2 2 2 6" xfId="24426" xr:uid="{00000000-0005-0000-0000-00007C150000}"/>
    <cellStyle name="20% - Accent2 5 2 2 2 3" xfId="2788" xr:uid="{00000000-0005-0000-0000-00007D150000}"/>
    <cellStyle name="20% - Accent2 5 2 2 2 3 2" xfId="5807" xr:uid="{00000000-0005-0000-0000-00007E150000}"/>
    <cellStyle name="20% - Accent2 5 2 2 2 3 2 2" xfId="11457" xr:uid="{00000000-0005-0000-0000-00007F150000}"/>
    <cellStyle name="20% - Accent2 5 2 2 2 3 2 2 2" xfId="22758" xr:uid="{00000000-0005-0000-0000-000080150000}"/>
    <cellStyle name="20% - Accent2 5 2 2 2 3 2 2 2 2" xfId="45360" xr:uid="{00000000-0005-0000-0000-000081150000}"/>
    <cellStyle name="20% - Accent2 5 2 2 2 3 2 2 3" xfId="34059" xr:uid="{00000000-0005-0000-0000-000082150000}"/>
    <cellStyle name="20% - Accent2 5 2 2 2 3 2 3" xfId="17108" xr:uid="{00000000-0005-0000-0000-000083150000}"/>
    <cellStyle name="20% - Accent2 5 2 2 2 3 2 3 2" xfId="39710" xr:uid="{00000000-0005-0000-0000-000084150000}"/>
    <cellStyle name="20% - Accent2 5 2 2 2 3 2 4" xfId="28409" xr:uid="{00000000-0005-0000-0000-000085150000}"/>
    <cellStyle name="20% - Accent2 5 2 2 2 3 3" xfId="8624" xr:uid="{00000000-0005-0000-0000-000086150000}"/>
    <cellStyle name="20% - Accent2 5 2 2 2 3 3 2" xfId="19925" xr:uid="{00000000-0005-0000-0000-000087150000}"/>
    <cellStyle name="20% - Accent2 5 2 2 2 3 3 2 2" xfId="42527" xr:uid="{00000000-0005-0000-0000-000088150000}"/>
    <cellStyle name="20% - Accent2 5 2 2 2 3 3 3" xfId="31226" xr:uid="{00000000-0005-0000-0000-000089150000}"/>
    <cellStyle name="20% - Accent2 5 2 2 2 3 4" xfId="14275" xr:uid="{00000000-0005-0000-0000-00008A150000}"/>
    <cellStyle name="20% - Accent2 5 2 2 2 3 4 2" xfId="36877" xr:uid="{00000000-0005-0000-0000-00008B150000}"/>
    <cellStyle name="20% - Accent2 5 2 2 2 3 5" xfId="25576" xr:uid="{00000000-0005-0000-0000-00008C150000}"/>
    <cellStyle name="20% - Accent2 5 2 2 2 4" xfId="4573" xr:uid="{00000000-0005-0000-0000-00008D150000}"/>
    <cellStyle name="20% - Accent2 5 2 2 2 4 2" xfId="10223" xr:uid="{00000000-0005-0000-0000-00008E150000}"/>
    <cellStyle name="20% - Accent2 5 2 2 2 4 2 2" xfId="21524" xr:uid="{00000000-0005-0000-0000-00008F150000}"/>
    <cellStyle name="20% - Accent2 5 2 2 2 4 2 2 2" xfId="44126" xr:uid="{00000000-0005-0000-0000-000090150000}"/>
    <cellStyle name="20% - Accent2 5 2 2 2 4 2 3" xfId="32825" xr:uid="{00000000-0005-0000-0000-000091150000}"/>
    <cellStyle name="20% - Accent2 5 2 2 2 4 3" xfId="15874" xr:uid="{00000000-0005-0000-0000-000092150000}"/>
    <cellStyle name="20% - Accent2 5 2 2 2 4 3 2" xfId="38476" xr:uid="{00000000-0005-0000-0000-000093150000}"/>
    <cellStyle name="20% - Accent2 5 2 2 2 4 4" xfId="27175" xr:uid="{00000000-0005-0000-0000-000094150000}"/>
    <cellStyle name="20% - Accent2 5 2 2 2 5" xfId="7369" xr:uid="{00000000-0005-0000-0000-000095150000}"/>
    <cellStyle name="20% - Accent2 5 2 2 2 5 2" xfId="18670" xr:uid="{00000000-0005-0000-0000-000096150000}"/>
    <cellStyle name="20% - Accent2 5 2 2 2 5 2 2" xfId="41272" xr:uid="{00000000-0005-0000-0000-000097150000}"/>
    <cellStyle name="20% - Accent2 5 2 2 2 5 3" xfId="29971" xr:uid="{00000000-0005-0000-0000-000098150000}"/>
    <cellStyle name="20% - Accent2 5 2 2 2 6" xfId="13020" xr:uid="{00000000-0005-0000-0000-000099150000}"/>
    <cellStyle name="20% - Accent2 5 2 2 2 6 2" xfId="35622" xr:uid="{00000000-0005-0000-0000-00009A150000}"/>
    <cellStyle name="20% - Accent2 5 2 2 2 7" xfId="24321" xr:uid="{00000000-0005-0000-0000-00009B150000}"/>
    <cellStyle name="20% - Accent2 5 2 2 3" xfId="1088" xr:uid="{00000000-0005-0000-0000-00009C150000}"/>
    <cellStyle name="20% - Accent2 5 2 2 3 2" xfId="3151" xr:uid="{00000000-0005-0000-0000-00009D150000}"/>
    <cellStyle name="20% - Accent2 5 2 2 3 2 2" xfId="6123" xr:uid="{00000000-0005-0000-0000-00009E150000}"/>
    <cellStyle name="20% - Accent2 5 2 2 3 2 2 2" xfId="11773" xr:uid="{00000000-0005-0000-0000-00009F150000}"/>
    <cellStyle name="20% - Accent2 5 2 2 3 2 2 2 2" xfId="23074" xr:uid="{00000000-0005-0000-0000-0000A0150000}"/>
    <cellStyle name="20% - Accent2 5 2 2 3 2 2 2 2 2" xfId="45676" xr:uid="{00000000-0005-0000-0000-0000A1150000}"/>
    <cellStyle name="20% - Accent2 5 2 2 3 2 2 2 3" xfId="34375" xr:uid="{00000000-0005-0000-0000-0000A2150000}"/>
    <cellStyle name="20% - Accent2 5 2 2 3 2 2 3" xfId="17424" xr:uid="{00000000-0005-0000-0000-0000A3150000}"/>
    <cellStyle name="20% - Accent2 5 2 2 3 2 2 3 2" xfId="40026" xr:uid="{00000000-0005-0000-0000-0000A4150000}"/>
    <cellStyle name="20% - Accent2 5 2 2 3 2 2 4" xfId="28725" xr:uid="{00000000-0005-0000-0000-0000A5150000}"/>
    <cellStyle name="20% - Accent2 5 2 2 3 2 3" xfId="8941" xr:uid="{00000000-0005-0000-0000-0000A6150000}"/>
    <cellStyle name="20% - Accent2 5 2 2 3 2 3 2" xfId="20242" xr:uid="{00000000-0005-0000-0000-0000A7150000}"/>
    <cellStyle name="20% - Accent2 5 2 2 3 2 3 2 2" xfId="42844" xr:uid="{00000000-0005-0000-0000-0000A8150000}"/>
    <cellStyle name="20% - Accent2 5 2 2 3 2 3 3" xfId="31543" xr:uid="{00000000-0005-0000-0000-0000A9150000}"/>
    <cellStyle name="20% - Accent2 5 2 2 3 2 4" xfId="14592" xr:uid="{00000000-0005-0000-0000-0000AA150000}"/>
    <cellStyle name="20% - Accent2 5 2 2 3 2 4 2" xfId="37194" xr:uid="{00000000-0005-0000-0000-0000AB150000}"/>
    <cellStyle name="20% - Accent2 5 2 2 3 2 5" xfId="25893" xr:uid="{00000000-0005-0000-0000-0000AC150000}"/>
    <cellStyle name="20% - Accent2 5 2 2 3 3" xfId="4889" xr:uid="{00000000-0005-0000-0000-0000AD150000}"/>
    <cellStyle name="20% - Accent2 5 2 2 3 3 2" xfId="10539" xr:uid="{00000000-0005-0000-0000-0000AE150000}"/>
    <cellStyle name="20% - Accent2 5 2 2 3 3 2 2" xfId="21840" xr:uid="{00000000-0005-0000-0000-0000AF150000}"/>
    <cellStyle name="20% - Accent2 5 2 2 3 3 2 2 2" xfId="44442" xr:uid="{00000000-0005-0000-0000-0000B0150000}"/>
    <cellStyle name="20% - Accent2 5 2 2 3 3 2 3" xfId="33141" xr:uid="{00000000-0005-0000-0000-0000B1150000}"/>
    <cellStyle name="20% - Accent2 5 2 2 3 3 3" xfId="16190" xr:uid="{00000000-0005-0000-0000-0000B2150000}"/>
    <cellStyle name="20% - Accent2 5 2 2 3 3 3 2" xfId="38792" xr:uid="{00000000-0005-0000-0000-0000B3150000}"/>
    <cellStyle name="20% - Accent2 5 2 2 3 3 4" xfId="27491" xr:uid="{00000000-0005-0000-0000-0000B4150000}"/>
    <cellStyle name="20% - Accent2 5 2 2 3 4" xfId="7076" xr:uid="{00000000-0005-0000-0000-0000B5150000}"/>
    <cellStyle name="20% - Accent2 5 2 2 3 4 2" xfId="18377" xr:uid="{00000000-0005-0000-0000-0000B6150000}"/>
    <cellStyle name="20% - Accent2 5 2 2 3 4 2 2" xfId="40979" xr:uid="{00000000-0005-0000-0000-0000B7150000}"/>
    <cellStyle name="20% - Accent2 5 2 2 3 4 3" xfId="29678" xr:uid="{00000000-0005-0000-0000-0000B8150000}"/>
    <cellStyle name="20% - Accent2 5 2 2 3 5" xfId="12727" xr:uid="{00000000-0005-0000-0000-0000B9150000}"/>
    <cellStyle name="20% - Accent2 5 2 2 3 5 2" xfId="35329" xr:uid="{00000000-0005-0000-0000-0000BA150000}"/>
    <cellStyle name="20% - Accent2 5 2 2 3 6" xfId="24028" xr:uid="{00000000-0005-0000-0000-0000BB150000}"/>
    <cellStyle name="20% - Accent2 5 2 2 4" xfId="1617" xr:uid="{00000000-0005-0000-0000-0000BC150000}"/>
    <cellStyle name="20% - Accent2 5 2 2 4 2" xfId="3602" xr:uid="{00000000-0005-0000-0000-0000BD150000}"/>
    <cellStyle name="20% - Accent2 5 2 2 4 2 2" xfId="9316" xr:uid="{00000000-0005-0000-0000-0000BE150000}"/>
    <cellStyle name="20% - Accent2 5 2 2 4 2 2 2" xfId="20617" xr:uid="{00000000-0005-0000-0000-0000BF150000}"/>
    <cellStyle name="20% - Accent2 5 2 2 4 2 2 2 2" xfId="43219" xr:uid="{00000000-0005-0000-0000-0000C0150000}"/>
    <cellStyle name="20% - Accent2 5 2 2 4 2 2 3" xfId="31918" xr:uid="{00000000-0005-0000-0000-0000C1150000}"/>
    <cellStyle name="20% - Accent2 5 2 2 4 2 3" xfId="14967" xr:uid="{00000000-0005-0000-0000-0000C2150000}"/>
    <cellStyle name="20% - Accent2 5 2 2 4 2 3 2" xfId="37569" xr:uid="{00000000-0005-0000-0000-0000C3150000}"/>
    <cellStyle name="20% - Accent2 5 2 2 4 2 4" xfId="26268" xr:uid="{00000000-0005-0000-0000-0000C4150000}"/>
    <cellStyle name="20% - Accent2 5 2 2 4 3" xfId="5499" xr:uid="{00000000-0005-0000-0000-0000C5150000}"/>
    <cellStyle name="20% - Accent2 5 2 2 4 3 2" xfId="11149" xr:uid="{00000000-0005-0000-0000-0000C6150000}"/>
    <cellStyle name="20% - Accent2 5 2 2 4 3 2 2" xfId="22450" xr:uid="{00000000-0005-0000-0000-0000C7150000}"/>
    <cellStyle name="20% - Accent2 5 2 2 4 3 2 2 2" xfId="45052" xr:uid="{00000000-0005-0000-0000-0000C8150000}"/>
    <cellStyle name="20% - Accent2 5 2 2 4 3 2 3" xfId="33751" xr:uid="{00000000-0005-0000-0000-0000C9150000}"/>
    <cellStyle name="20% - Accent2 5 2 2 4 3 3" xfId="16800" xr:uid="{00000000-0005-0000-0000-0000CA150000}"/>
    <cellStyle name="20% - Accent2 5 2 2 4 3 3 2" xfId="39402" xr:uid="{00000000-0005-0000-0000-0000CB150000}"/>
    <cellStyle name="20% - Accent2 5 2 2 4 3 4" xfId="28101" xr:uid="{00000000-0005-0000-0000-0000CC150000}"/>
    <cellStyle name="20% - Accent2 5 2 2 4 4" xfId="7473" xr:uid="{00000000-0005-0000-0000-0000CD150000}"/>
    <cellStyle name="20% - Accent2 5 2 2 4 4 2" xfId="18774" xr:uid="{00000000-0005-0000-0000-0000CE150000}"/>
    <cellStyle name="20% - Accent2 5 2 2 4 4 2 2" xfId="41376" xr:uid="{00000000-0005-0000-0000-0000CF150000}"/>
    <cellStyle name="20% - Accent2 5 2 2 4 4 3" xfId="30075" xr:uid="{00000000-0005-0000-0000-0000D0150000}"/>
    <cellStyle name="20% - Accent2 5 2 2 4 5" xfId="13124" xr:uid="{00000000-0005-0000-0000-0000D1150000}"/>
    <cellStyle name="20% - Accent2 5 2 2 4 5 2" xfId="35726" xr:uid="{00000000-0005-0000-0000-0000D2150000}"/>
    <cellStyle name="20% - Accent2 5 2 2 4 6" xfId="24425" xr:uid="{00000000-0005-0000-0000-0000D3150000}"/>
    <cellStyle name="20% - Accent2 5 2 2 5" xfId="2480" xr:uid="{00000000-0005-0000-0000-0000D4150000}"/>
    <cellStyle name="20% - Accent2 5 2 2 5 2" xfId="8316" xr:uid="{00000000-0005-0000-0000-0000D5150000}"/>
    <cellStyle name="20% - Accent2 5 2 2 5 2 2" xfId="19617" xr:uid="{00000000-0005-0000-0000-0000D6150000}"/>
    <cellStyle name="20% - Accent2 5 2 2 5 2 2 2" xfId="42219" xr:uid="{00000000-0005-0000-0000-0000D7150000}"/>
    <cellStyle name="20% - Accent2 5 2 2 5 2 3" xfId="30918" xr:uid="{00000000-0005-0000-0000-0000D8150000}"/>
    <cellStyle name="20% - Accent2 5 2 2 5 3" xfId="13967" xr:uid="{00000000-0005-0000-0000-0000D9150000}"/>
    <cellStyle name="20% - Accent2 5 2 2 5 3 2" xfId="36569" xr:uid="{00000000-0005-0000-0000-0000DA150000}"/>
    <cellStyle name="20% - Accent2 5 2 2 5 4" xfId="25268" xr:uid="{00000000-0005-0000-0000-0000DB150000}"/>
    <cellStyle name="20% - Accent2 5 2 2 6" xfId="4265" xr:uid="{00000000-0005-0000-0000-0000DC150000}"/>
    <cellStyle name="20% - Accent2 5 2 2 6 2" xfId="9915" xr:uid="{00000000-0005-0000-0000-0000DD150000}"/>
    <cellStyle name="20% - Accent2 5 2 2 6 2 2" xfId="21216" xr:uid="{00000000-0005-0000-0000-0000DE150000}"/>
    <cellStyle name="20% - Accent2 5 2 2 6 2 2 2" xfId="43818" xr:uid="{00000000-0005-0000-0000-0000DF150000}"/>
    <cellStyle name="20% - Accent2 5 2 2 6 2 3" xfId="32517" xr:uid="{00000000-0005-0000-0000-0000E0150000}"/>
    <cellStyle name="20% - Accent2 5 2 2 6 3" xfId="15566" xr:uid="{00000000-0005-0000-0000-0000E1150000}"/>
    <cellStyle name="20% - Accent2 5 2 2 6 3 2" xfId="38168" xr:uid="{00000000-0005-0000-0000-0000E2150000}"/>
    <cellStyle name="20% - Accent2 5 2 2 6 4" xfId="26867" xr:uid="{00000000-0005-0000-0000-0000E3150000}"/>
    <cellStyle name="20% - Accent2 5 2 2 7" xfId="6745" xr:uid="{00000000-0005-0000-0000-0000E4150000}"/>
    <cellStyle name="20% - Accent2 5 2 2 7 2" xfId="18046" xr:uid="{00000000-0005-0000-0000-0000E5150000}"/>
    <cellStyle name="20% - Accent2 5 2 2 7 2 2" xfId="40648" xr:uid="{00000000-0005-0000-0000-0000E6150000}"/>
    <cellStyle name="20% - Accent2 5 2 2 7 3" xfId="29347" xr:uid="{00000000-0005-0000-0000-0000E7150000}"/>
    <cellStyle name="20% - Accent2 5 2 2 8" xfId="12396" xr:uid="{00000000-0005-0000-0000-0000E8150000}"/>
    <cellStyle name="20% - Accent2 5 2 2 8 2" xfId="34998" xr:uid="{00000000-0005-0000-0000-0000E9150000}"/>
    <cellStyle name="20% - Accent2 5 2 2 9" xfId="23697" xr:uid="{00000000-0005-0000-0000-0000EA150000}"/>
    <cellStyle name="20% - Accent2 5 2 3" xfId="1252" xr:uid="{00000000-0005-0000-0000-0000EB150000}"/>
    <cellStyle name="20% - Accent2 5 2 3 2" xfId="1619" xr:uid="{00000000-0005-0000-0000-0000EC150000}"/>
    <cellStyle name="20% - Accent2 5 2 3 2 2" xfId="3320" xr:uid="{00000000-0005-0000-0000-0000ED150000}"/>
    <cellStyle name="20% - Accent2 5 2 3 2 2 2" xfId="6292" xr:uid="{00000000-0005-0000-0000-0000EE150000}"/>
    <cellStyle name="20% - Accent2 5 2 3 2 2 2 2" xfId="11942" xr:uid="{00000000-0005-0000-0000-0000EF150000}"/>
    <cellStyle name="20% - Accent2 5 2 3 2 2 2 2 2" xfId="23243" xr:uid="{00000000-0005-0000-0000-0000F0150000}"/>
    <cellStyle name="20% - Accent2 5 2 3 2 2 2 2 2 2" xfId="45845" xr:uid="{00000000-0005-0000-0000-0000F1150000}"/>
    <cellStyle name="20% - Accent2 5 2 3 2 2 2 2 3" xfId="34544" xr:uid="{00000000-0005-0000-0000-0000F2150000}"/>
    <cellStyle name="20% - Accent2 5 2 3 2 2 2 3" xfId="17593" xr:uid="{00000000-0005-0000-0000-0000F3150000}"/>
    <cellStyle name="20% - Accent2 5 2 3 2 2 2 3 2" xfId="40195" xr:uid="{00000000-0005-0000-0000-0000F4150000}"/>
    <cellStyle name="20% - Accent2 5 2 3 2 2 2 4" xfId="28894" xr:uid="{00000000-0005-0000-0000-0000F5150000}"/>
    <cellStyle name="20% - Accent2 5 2 3 2 2 3" xfId="9110" xr:uid="{00000000-0005-0000-0000-0000F6150000}"/>
    <cellStyle name="20% - Accent2 5 2 3 2 2 3 2" xfId="20411" xr:uid="{00000000-0005-0000-0000-0000F7150000}"/>
    <cellStyle name="20% - Accent2 5 2 3 2 2 3 2 2" xfId="43013" xr:uid="{00000000-0005-0000-0000-0000F8150000}"/>
    <cellStyle name="20% - Accent2 5 2 3 2 2 3 3" xfId="31712" xr:uid="{00000000-0005-0000-0000-0000F9150000}"/>
    <cellStyle name="20% - Accent2 5 2 3 2 2 4" xfId="14761" xr:uid="{00000000-0005-0000-0000-0000FA150000}"/>
    <cellStyle name="20% - Accent2 5 2 3 2 2 4 2" xfId="37363" xr:uid="{00000000-0005-0000-0000-0000FB150000}"/>
    <cellStyle name="20% - Accent2 5 2 3 2 2 5" xfId="26062" xr:uid="{00000000-0005-0000-0000-0000FC150000}"/>
    <cellStyle name="20% - Accent2 5 2 3 2 3" xfId="5058" xr:uid="{00000000-0005-0000-0000-0000FD150000}"/>
    <cellStyle name="20% - Accent2 5 2 3 2 3 2" xfId="10708" xr:uid="{00000000-0005-0000-0000-0000FE150000}"/>
    <cellStyle name="20% - Accent2 5 2 3 2 3 2 2" xfId="22009" xr:uid="{00000000-0005-0000-0000-0000FF150000}"/>
    <cellStyle name="20% - Accent2 5 2 3 2 3 2 2 2" xfId="44611" xr:uid="{00000000-0005-0000-0000-000000160000}"/>
    <cellStyle name="20% - Accent2 5 2 3 2 3 2 3" xfId="33310" xr:uid="{00000000-0005-0000-0000-000001160000}"/>
    <cellStyle name="20% - Accent2 5 2 3 2 3 3" xfId="16359" xr:uid="{00000000-0005-0000-0000-000002160000}"/>
    <cellStyle name="20% - Accent2 5 2 3 2 3 3 2" xfId="38961" xr:uid="{00000000-0005-0000-0000-000003160000}"/>
    <cellStyle name="20% - Accent2 5 2 3 2 3 4" xfId="27660" xr:uid="{00000000-0005-0000-0000-000004160000}"/>
    <cellStyle name="20% - Accent2 5 2 3 2 4" xfId="7475" xr:uid="{00000000-0005-0000-0000-000005160000}"/>
    <cellStyle name="20% - Accent2 5 2 3 2 4 2" xfId="18776" xr:uid="{00000000-0005-0000-0000-000006160000}"/>
    <cellStyle name="20% - Accent2 5 2 3 2 4 2 2" xfId="41378" xr:uid="{00000000-0005-0000-0000-000007160000}"/>
    <cellStyle name="20% - Accent2 5 2 3 2 4 3" xfId="30077" xr:uid="{00000000-0005-0000-0000-000008160000}"/>
    <cellStyle name="20% - Accent2 5 2 3 2 5" xfId="13126" xr:uid="{00000000-0005-0000-0000-000009160000}"/>
    <cellStyle name="20% - Accent2 5 2 3 2 5 2" xfId="35728" xr:uid="{00000000-0005-0000-0000-00000A160000}"/>
    <cellStyle name="20% - Accent2 5 2 3 2 6" xfId="24427" xr:uid="{00000000-0005-0000-0000-00000B160000}"/>
    <cellStyle name="20% - Accent2 5 2 3 3" xfId="2649" xr:uid="{00000000-0005-0000-0000-00000C160000}"/>
    <cellStyle name="20% - Accent2 5 2 3 3 2" xfId="5668" xr:uid="{00000000-0005-0000-0000-00000D160000}"/>
    <cellStyle name="20% - Accent2 5 2 3 3 2 2" xfId="11318" xr:uid="{00000000-0005-0000-0000-00000E160000}"/>
    <cellStyle name="20% - Accent2 5 2 3 3 2 2 2" xfId="22619" xr:uid="{00000000-0005-0000-0000-00000F160000}"/>
    <cellStyle name="20% - Accent2 5 2 3 3 2 2 2 2" xfId="45221" xr:uid="{00000000-0005-0000-0000-000010160000}"/>
    <cellStyle name="20% - Accent2 5 2 3 3 2 2 3" xfId="33920" xr:uid="{00000000-0005-0000-0000-000011160000}"/>
    <cellStyle name="20% - Accent2 5 2 3 3 2 3" xfId="16969" xr:uid="{00000000-0005-0000-0000-000012160000}"/>
    <cellStyle name="20% - Accent2 5 2 3 3 2 3 2" xfId="39571" xr:uid="{00000000-0005-0000-0000-000013160000}"/>
    <cellStyle name="20% - Accent2 5 2 3 3 2 4" xfId="28270" xr:uid="{00000000-0005-0000-0000-000014160000}"/>
    <cellStyle name="20% - Accent2 5 2 3 3 3" xfId="8485" xr:uid="{00000000-0005-0000-0000-000015160000}"/>
    <cellStyle name="20% - Accent2 5 2 3 3 3 2" xfId="19786" xr:uid="{00000000-0005-0000-0000-000016160000}"/>
    <cellStyle name="20% - Accent2 5 2 3 3 3 2 2" xfId="42388" xr:uid="{00000000-0005-0000-0000-000017160000}"/>
    <cellStyle name="20% - Accent2 5 2 3 3 3 3" xfId="31087" xr:uid="{00000000-0005-0000-0000-000018160000}"/>
    <cellStyle name="20% - Accent2 5 2 3 3 4" xfId="14136" xr:uid="{00000000-0005-0000-0000-000019160000}"/>
    <cellStyle name="20% - Accent2 5 2 3 3 4 2" xfId="36738" xr:uid="{00000000-0005-0000-0000-00001A160000}"/>
    <cellStyle name="20% - Accent2 5 2 3 3 5" xfId="25437" xr:uid="{00000000-0005-0000-0000-00001B160000}"/>
    <cellStyle name="20% - Accent2 5 2 3 4" xfId="4434" xr:uid="{00000000-0005-0000-0000-00001C160000}"/>
    <cellStyle name="20% - Accent2 5 2 3 4 2" xfId="10084" xr:uid="{00000000-0005-0000-0000-00001D160000}"/>
    <cellStyle name="20% - Accent2 5 2 3 4 2 2" xfId="21385" xr:uid="{00000000-0005-0000-0000-00001E160000}"/>
    <cellStyle name="20% - Accent2 5 2 3 4 2 2 2" xfId="43987" xr:uid="{00000000-0005-0000-0000-00001F160000}"/>
    <cellStyle name="20% - Accent2 5 2 3 4 2 3" xfId="32686" xr:uid="{00000000-0005-0000-0000-000020160000}"/>
    <cellStyle name="20% - Accent2 5 2 3 4 3" xfId="15735" xr:uid="{00000000-0005-0000-0000-000021160000}"/>
    <cellStyle name="20% - Accent2 5 2 3 4 3 2" xfId="38337" xr:uid="{00000000-0005-0000-0000-000022160000}"/>
    <cellStyle name="20% - Accent2 5 2 3 4 4" xfId="27036" xr:uid="{00000000-0005-0000-0000-000023160000}"/>
    <cellStyle name="20% - Accent2 5 2 3 5" xfId="7231" xr:uid="{00000000-0005-0000-0000-000024160000}"/>
    <cellStyle name="20% - Accent2 5 2 3 5 2" xfId="18532" xr:uid="{00000000-0005-0000-0000-000025160000}"/>
    <cellStyle name="20% - Accent2 5 2 3 5 2 2" xfId="41134" xr:uid="{00000000-0005-0000-0000-000026160000}"/>
    <cellStyle name="20% - Accent2 5 2 3 5 3" xfId="29833" xr:uid="{00000000-0005-0000-0000-000027160000}"/>
    <cellStyle name="20% - Accent2 5 2 3 6" xfId="12882" xr:uid="{00000000-0005-0000-0000-000028160000}"/>
    <cellStyle name="20% - Accent2 5 2 3 6 2" xfId="35484" xr:uid="{00000000-0005-0000-0000-000029160000}"/>
    <cellStyle name="20% - Accent2 5 2 3 7" xfId="24183" xr:uid="{00000000-0005-0000-0000-00002A160000}"/>
    <cellStyle name="20% - Accent2 5 2 4" xfId="943" xr:uid="{00000000-0005-0000-0000-00002B160000}"/>
    <cellStyle name="20% - Accent2 5 2 4 2" xfId="3013" xr:uid="{00000000-0005-0000-0000-00002C160000}"/>
    <cellStyle name="20% - Accent2 5 2 4 2 2" xfId="5985" xr:uid="{00000000-0005-0000-0000-00002D160000}"/>
    <cellStyle name="20% - Accent2 5 2 4 2 2 2" xfId="11635" xr:uid="{00000000-0005-0000-0000-00002E160000}"/>
    <cellStyle name="20% - Accent2 5 2 4 2 2 2 2" xfId="22936" xr:uid="{00000000-0005-0000-0000-00002F160000}"/>
    <cellStyle name="20% - Accent2 5 2 4 2 2 2 2 2" xfId="45538" xr:uid="{00000000-0005-0000-0000-000030160000}"/>
    <cellStyle name="20% - Accent2 5 2 4 2 2 2 3" xfId="34237" xr:uid="{00000000-0005-0000-0000-000031160000}"/>
    <cellStyle name="20% - Accent2 5 2 4 2 2 3" xfId="17286" xr:uid="{00000000-0005-0000-0000-000032160000}"/>
    <cellStyle name="20% - Accent2 5 2 4 2 2 3 2" xfId="39888" xr:uid="{00000000-0005-0000-0000-000033160000}"/>
    <cellStyle name="20% - Accent2 5 2 4 2 2 4" xfId="28587" xr:uid="{00000000-0005-0000-0000-000034160000}"/>
    <cellStyle name="20% - Accent2 5 2 4 2 3" xfId="8803" xr:uid="{00000000-0005-0000-0000-000035160000}"/>
    <cellStyle name="20% - Accent2 5 2 4 2 3 2" xfId="20104" xr:uid="{00000000-0005-0000-0000-000036160000}"/>
    <cellStyle name="20% - Accent2 5 2 4 2 3 2 2" xfId="42706" xr:uid="{00000000-0005-0000-0000-000037160000}"/>
    <cellStyle name="20% - Accent2 5 2 4 2 3 3" xfId="31405" xr:uid="{00000000-0005-0000-0000-000038160000}"/>
    <cellStyle name="20% - Accent2 5 2 4 2 4" xfId="14454" xr:uid="{00000000-0005-0000-0000-000039160000}"/>
    <cellStyle name="20% - Accent2 5 2 4 2 4 2" xfId="37056" xr:uid="{00000000-0005-0000-0000-00003A160000}"/>
    <cellStyle name="20% - Accent2 5 2 4 2 5" xfId="25755" xr:uid="{00000000-0005-0000-0000-00003B160000}"/>
    <cellStyle name="20% - Accent2 5 2 4 3" xfId="4751" xr:uid="{00000000-0005-0000-0000-00003C160000}"/>
    <cellStyle name="20% - Accent2 5 2 4 3 2" xfId="10401" xr:uid="{00000000-0005-0000-0000-00003D160000}"/>
    <cellStyle name="20% - Accent2 5 2 4 3 2 2" xfId="21702" xr:uid="{00000000-0005-0000-0000-00003E160000}"/>
    <cellStyle name="20% - Accent2 5 2 4 3 2 2 2" xfId="44304" xr:uid="{00000000-0005-0000-0000-00003F160000}"/>
    <cellStyle name="20% - Accent2 5 2 4 3 2 3" xfId="33003" xr:uid="{00000000-0005-0000-0000-000040160000}"/>
    <cellStyle name="20% - Accent2 5 2 4 3 3" xfId="16052" xr:uid="{00000000-0005-0000-0000-000041160000}"/>
    <cellStyle name="20% - Accent2 5 2 4 3 3 2" xfId="38654" xr:uid="{00000000-0005-0000-0000-000042160000}"/>
    <cellStyle name="20% - Accent2 5 2 4 3 4" xfId="27353" xr:uid="{00000000-0005-0000-0000-000043160000}"/>
    <cellStyle name="20% - Accent2 5 2 4 4" xfId="6938" xr:uid="{00000000-0005-0000-0000-000044160000}"/>
    <cellStyle name="20% - Accent2 5 2 4 4 2" xfId="18239" xr:uid="{00000000-0005-0000-0000-000045160000}"/>
    <cellStyle name="20% - Accent2 5 2 4 4 2 2" xfId="40841" xr:uid="{00000000-0005-0000-0000-000046160000}"/>
    <cellStyle name="20% - Accent2 5 2 4 4 3" xfId="29540" xr:uid="{00000000-0005-0000-0000-000047160000}"/>
    <cellStyle name="20% - Accent2 5 2 4 5" xfId="12589" xr:uid="{00000000-0005-0000-0000-000048160000}"/>
    <cellStyle name="20% - Accent2 5 2 4 5 2" xfId="35191" xr:uid="{00000000-0005-0000-0000-000049160000}"/>
    <cellStyle name="20% - Accent2 5 2 4 6" xfId="23890" xr:uid="{00000000-0005-0000-0000-00004A160000}"/>
    <cellStyle name="20% - Accent2 5 2 5" xfId="1616" xr:uid="{00000000-0005-0000-0000-00004B160000}"/>
    <cellStyle name="20% - Accent2 5 2 5 2" xfId="3601" xr:uid="{00000000-0005-0000-0000-00004C160000}"/>
    <cellStyle name="20% - Accent2 5 2 5 2 2" xfId="9315" xr:uid="{00000000-0005-0000-0000-00004D160000}"/>
    <cellStyle name="20% - Accent2 5 2 5 2 2 2" xfId="20616" xr:uid="{00000000-0005-0000-0000-00004E160000}"/>
    <cellStyle name="20% - Accent2 5 2 5 2 2 2 2" xfId="43218" xr:uid="{00000000-0005-0000-0000-00004F160000}"/>
    <cellStyle name="20% - Accent2 5 2 5 2 2 3" xfId="31917" xr:uid="{00000000-0005-0000-0000-000050160000}"/>
    <cellStyle name="20% - Accent2 5 2 5 2 3" xfId="14966" xr:uid="{00000000-0005-0000-0000-000051160000}"/>
    <cellStyle name="20% - Accent2 5 2 5 2 3 2" xfId="37568" xr:uid="{00000000-0005-0000-0000-000052160000}"/>
    <cellStyle name="20% - Accent2 5 2 5 2 4" xfId="26267" xr:uid="{00000000-0005-0000-0000-000053160000}"/>
    <cellStyle name="20% - Accent2 5 2 5 3" xfId="5361" xr:uid="{00000000-0005-0000-0000-000054160000}"/>
    <cellStyle name="20% - Accent2 5 2 5 3 2" xfId="11011" xr:uid="{00000000-0005-0000-0000-000055160000}"/>
    <cellStyle name="20% - Accent2 5 2 5 3 2 2" xfId="22312" xr:uid="{00000000-0005-0000-0000-000056160000}"/>
    <cellStyle name="20% - Accent2 5 2 5 3 2 2 2" xfId="44914" xr:uid="{00000000-0005-0000-0000-000057160000}"/>
    <cellStyle name="20% - Accent2 5 2 5 3 2 3" xfId="33613" xr:uid="{00000000-0005-0000-0000-000058160000}"/>
    <cellStyle name="20% - Accent2 5 2 5 3 3" xfId="16662" xr:uid="{00000000-0005-0000-0000-000059160000}"/>
    <cellStyle name="20% - Accent2 5 2 5 3 3 2" xfId="39264" xr:uid="{00000000-0005-0000-0000-00005A160000}"/>
    <cellStyle name="20% - Accent2 5 2 5 3 4" xfId="27963" xr:uid="{00000000-0005-0000-0000-00005B160000}"/>
    <cellStyle name="20% - Accent2 5 2 5 4" xfId="7472" xr:uid="{00000000-0005-0000-0000-00005C160000}"/>
    <cellStyle name="20% - Accent2 5 2 5 4 2" xfId="18773" xr:uid="{00000000-0005-0000-0000-00005D160000}"/>
    <cellStyle name="20% - Accent2 5 2 5 4 2 2" xfId="41375" xr:uid="{00000000-0005-0000-0000-00005E160000}"/>
    <cellStyle name="20% - Accent2 5 2 5 4 3" xfId="30074" xr:uid="{00000000-0005-0000-0000-00005F160000}"/>
    <cellStyle name="20% - Accent2 5 2 5 5" xfId="13123" xr:uid="{00000000-0005-0000-0000-000060160000}"/>
    <cellStyle name="20% - Accent2 5 2 5 5 2" xfId="35725" xr:uid="{00000000-0005-0000-0000-000061160000}"/>
    <cellStyle name="20% - Accent2 5 2 5 6" xfId="24424" xr:uid="{00000000-0005-0000-0000-000062160000}"/>
    <cellStyle name="20% - Accent2 5 2 6" xfId="2340" xr:uid="{00000000-0005-0000-0000-000063160000}"/>
    <cellStyle name="20% - Accent2 5 2 6 2" xfId="8176" xr:uid="{00000000-0005-0000-0000-000064160000}"/>
    <cellStyle name="20% - Accent2 5 2 6 2 2" xfId="19477" xr:uid="{00000000-0005-0000-0000-000065160000}"/>
    <cellStyle name="20% - Accent2 5 2 6 2 2 2" xfId="42079" xr:uid="{00000000-0005-0000-0000-000066160000}"/>
    <cellStyle name="20% - Accent2 5 2 6 2 3" xfId="30778" xr:uid="{00000000-0005-0000-0000-000067160000}"/>
    <cellStyle name="20% - Accent2 5 2 6 3" xfId="13827" xr:uid="{00000000-0005-0000-0000-000068160000}"/>
    <cellStyle name="20% - Accent2 5 2 6 3 2" xfId="36429" xr:uid="{00000000-0005-0000-0000-000069160000}"/>
    <cellStyle name="20% - Accent2 5 2 6 4" xfId="25128" xr:uid="{00000000-0005-0000-0000-00006A160000}"/>
    <cellStyle name="20% - Accent2 5 2 7" xfId="4127" xr:uid="{00000000-0005-0000-0000-00006B160000}"/>
    <cellStyle name="20% - Accent2 5 2 7 2" xfId="9777" xr:uid="{00000000-0005-0000-0000-00006C160000}"/>
    <cellStyle name="20% - Accent2 5 2 7 2 2" xfId="21078" xr:uid="{00000000-0005-0000-0000-00006D160000}"/>
    <cellStyle name="20% - Accent2 5 2 7 2 2 2" xfId="43680" xr:uid="{00000000-0005-0000-0000-00006E160000}"/>
    <cellStyle name="20% - Accent2 5 2 7 2 3" xfId="32379" xr:uid="{00000000-0005-0000-0000-00006F160000}"/>
    <cellStyle name="20% - Accent2 5 2 7 3" xfId="15428" xr:uid="{00000000-0005-0000-0000-000070160000}"/>
    <cellStyle name="20% - Accent2 5 2 7 3 2" xfId="38030" xr:uid="{00000000-0005-0000-0000-000071160000}"/>
    <cellStyle name="20% - Accent2 5 2 7 4" xfId="26729" xr:uid="{00000000-0005-0000-0000-000072160000}"/>
    <cellStyle name="20% - Accent2 5 2 8" xfId="6578" xr:uid="{00000000-0005-0000-0000-000073160000}"/>
    <cellStyle name="20% - Accent2 5 2 8 2" xfId="17879" xr:uid="{00000000-0005-0000-0000-000074160000}"/>
    <cellStyle name="20% - Accent2 5 2 8 2 2" xfId="40481" xr:uid="{00000000-0005-0000-0000-000075160000}"/>
    <cellStyle name="20% - Accent2 5 2 8 3" xfId="29180" xr:uid="{00000000-0005-0000-0000-000076160000}"/>
    <cellStyle name="20% - Accent2 5 2 9" xfId="12229" xr:uid="{00000000-0005-0000-0000-000077160000}"/>
    <cellStyle name="20% - Accent2 5 2 9 2" xfId="34831" xr:uid="{00000000-0005-0000-0000-000078160000}"/>
    <cellStyle name="20% - Accent2 5 3" xfId="583" xr:uid="{00000000-0005-0000-0000-000079160000}"/>
    <cellStyle name="20% - Accent2 5 3 2" xfId="1296" xr:uid="{00000000-0005-0000-0000-00007A160000}"/>
    <cellStyle name="20% - Accent2 5 3 2 2" xfId="1621" xr:uid="{00000000-0005-0000-0000-00007B160000}"/>
    <cellStyle name="20% - Accent2 5 3 2 2 2" xfId="3365" xr:uid="{00000000-0005-0000-0000-00007C160000}"/>
    <cellStyle name="20% - Accent2 5 3 2 2 2 2" xfId="6337" xr:uid="{00000000-0005-0000-0000-00007D160000}"/>
    <cellStyle name="20% - Accent2 5 3 2 2 2 2 2" xfId="11987" xr:uid="{00000000-0005-0000-0000-00007E160000}"/>
    <cellStyle name="20% - Accent2 5 3 2 2 2 2 2 2" xfId="23288" xr:uid="{00000000-0005-0000-0000-00007F160000}"/>
    <cellStyle name="20% - Accent2 5 3 2 2 2 2 2 2 2" xfId="45890" xr:uid="{00000000-0005-0000-0000-000080160000}"/>
    <cellStyle name="20% - Accent2 5 3 2 2 2 2 2 3" xfId="34589" xr:uid="{00000000-0005-0000-0000-000081160000}"/>
    <cellStyle name="20% - Accent2 5 3 2 2 2 2 3" xfId="17638" xr:uid="{00000000-0005-0000-0000-000082160000}"/>
    <cellStyle name="20% - Accent2 5 3 2 2 2 2 3 2" xfId="40240" xr:uid="{00000000-0005-0000-0000-000083160000}"/>
    <cellStyle name="20% - Accent2 5 3 2 2 2 2 4" xfId="28939" xr:uid="{00000000-0005-0000-0000-000084160000}"/>
    <cellStyle name="20% - Accent2 5 3 2 2 2 3" xfId="9155" xr:uid="{00000000-0005-0000-0000-000085160000}"/>
    <cellStyle name="20% - Accent2 5 3 2 2 2 3 2" xfId="20456" xr:uid="{00000000-0005-0000-0000-000086160000}"/>
    <cellStyle name="20% - Accent2 5 3 2 2 2 3 2 2" xfId="43058" xr:uid="{00000000-0005-0000-0000-000087160000}"/>
    <cellStyle name="20% - Accent2 5 3 2 2 2 3 3" xfId="31757" xr:uid="{00000000-0005-0000-0000-000088160000}"/>
    <cellStyle name="20% - Accent2 5 3 2 2 2 4" xfId="14806" xr:uid="{00000000-0005-0000-0000-000089160000}"/>
    <cellStyle name="20% - Accent2 5 3 2 2 2 4 2" xfId="37408" xr:uid="{00000000-0005-0000-0000-00008A160000}"/>
    <cellStyle name="20% - Accent2 5 3 2 2 2 5" xfId="26107" xr:uid="{00000000-0005-0000-0000-00008B160000}"/>
    <cellStyle name="20% - Accent2 5 3 2 2 3" xfId="5103" xr:uid="{00000000-0005-0000-0000-00008C160000}"/>
    <cellStyle name="20% - Accent2 5 3 2 2 3 2" xfId="10753" xr:uid="{00000000-0005-0000-0000-00008D160000}"/>
    <cellStyle name="20% - Accent2 5 3 2 2 3 2 2" xfId="22054" xr:uid="{00000000-0005-0000-0000-00008E160000}"/>
    <cellStyle name="20% - Accent2 5 3 2 2 3 2 2 2" xfId="44656" xr:uid="{00000000-0005-0000-0000-00008F160000}"/>
    <cellStyle name="20% - Accent2 5 3 2 2 3 2 3" xfId="33355" xr:uid="{00000000-0005-0000-0000-000090160000}"/>
    <cellStyle name="20% - Accent2 5 3 2 2 3 3" xfId="16404" xr:uid="{00000000-0005-0000-0000-000091160000}"/>
    <cellStyle name="20% - Accent2 5 3 2 2 3 3 2" xfId="39006" xr:uid="{00000000-0005-0000-0000-000092160000}"/>
    <cellStyle name="20% - Accent2 5 3 2 2 3 4" xfId="27705" xr:uid="{00000000-0005-0000-0000-000093160000}"/>
    <cellStyle name="20% - Accent2 5 3 2 2 4" xfId="7477" xr:uid="{00000000-0005-0000-0000-000094160000}"/>
    <cellStyle name="20% - Accent2 5 3 2 2 4 2" xfId="18778" xr:uid="{00000000-0005-0000-0000-000095160000}"/>
    <cellStyle name="20% - Accent2 5 3 2 2 4 2 2" xfId="41380" xr:uid="{00000000-0005-0000-0000-000096160000}"/>
    <cellStyle name="20% - Accent2 5 3 2 2 4 3" xfId="30079" xr:uid="{00000000-0005-0000-0000-000097160000}"/>
    <cellStyle name="20% - Accent2 5 3 2 2 5" xfId="13128" xr:uid="{00000000-0005-0000-0000-000098160000}"/>
    <cellStyle name="20% - Accent2 5 3 2 2 5 2" xfId="35730" xr:uid="{00000000-0005-0000-0000-000099160000}"/>
    <cellStyle name="20% - Accent2 5 3 2 2 6" xfId="24429" xr:uid="{00000000-0005-0000-0000-00009A160000}"/>
    <cellStyle name="20% - Accent2 5 3 2 3" xfId="2694" xr:uid="{00000000-0005-0000-0000-00009B160000}"/>
    <cellStyle name="20% - Accent2 5 3 2 3 2" xfId="5713" xr:uid="{00000000-0005-0000-0000-00009C160000}"/>
    <cellStyle name="20% - Accent2 5 3 2 3 2 2" xfId="11363" xr:uid="{00000000-0005-0000-0000-00009D160000}"/>
    <cellStyle name="20% - Accent2 5 3 2 3 2 2 2" xfId="22664" xr:uid="{00000000-0005-0000-0000-00009E160000}"/>
    <cellStyle name="20% - Accent2 5 3 2 3 2 2 2 2" xfId="45266" xr:uid="{00000000-0005-0000-0000-00009F160000}"/>
    <cellStyle name="20% - Accent2 5 3 2 3 2 2 3" xfId="33965" xr:uid="{00000000-0005-0000-0000-0000A0160000}"/>
    <cellStyle name="20% - Accent2 5 3 2 3 2 3" xfId="17014" xr:uid="{00000000-0005-0000-0000-0000A1160000}"/>
    <cellStyle name="20% - Accent2 5 3 2 3 2 3 2" xfId="39616" xr:uid="{00000000-0005-0000-0000-0000A2160000}"/>
    <cellStyle name="20% - Accent2 5 3 2 3 2 4" xfId="28315" xr:uid="{00000000-0005-0000-0000-0000A3160000}"/>
    <cellStyle name="20% - Accent2 5 3 2 3 3" xfId="8530" xr:uid="{00000000-0005-0000-0000-0000A4160000}"/>
    <cellStyle name="20% - Accent2 5 3 2 3 3 2" xfId="19831" xr:uid="{00000000-0005-0000-0000-0000A5160000}"/>
    <cellStyle name="20% - Accent2 5 3 2 3 3 2 2" xfId="42433" xr:uid="{00000000-0005-0000-0000-0000A6160000}"/>
    <cellStyle name="20% - Accent2 5 3 2 3 3 3" xfId="31132" xr:uid="{00000000-0005-0000-0000-0000A7160000}"/>
    <cellStyle name="20% - Accent2 5 3 2 3 4" xfId="14181" xr:uid="{00000000-0005-0000-0000-0000A8160000}"/>
    <cellStyle name="20% - Accent2 5 3 2 3 4 2" xfId="36783" xr:uid="{00000000-0005-0000-0000-0000A9160000}"/>
    <cellStyle name="20% - Accent2 5 3 2 3 5" xfId="25482" xr:uid="{00000000-0005-0000-0000-0000AA160000}"/>
    <cellStyle name="20% - Accent2 5 3 2 4" xfId="4479" xr:uid="{00000000-0005-0000-0000-0000AB160000}"/>
    <cellStyle name="20% - Accent2 5 3 2 4 2" xfId="10129" xr:uid="{00000000-0005-0000-0000-0000AC160000}"/>
    <cellStyle name="20% - Accent2 5 3 2 4 2 2" xfId="21430" xr:uid="{00000000-0005-0000-0000-0000AD160000}"/>
    <cellStyle name="20% - Accent2 5 3 2 4 2 2 2" xfId="44032" xr:uid="{00000000-0005-0000-0000-0000AE160000}"/>
    <cellStyle name="20% - Accent2 5 3 2 4 2 3" xfId="32731" xr:uid="{00000000-0005-0000-0000-0000AF160000}"/>
    <cellStyle name="20% - Accent2 5 3 2 4 3" xfId="15780" xr:uid="{00000000-0005-0000-0000-0000B0160000}"/>
    <cellStyle name="20% - Accent2 5 3 2 4 3 2" xfId="38382" xr:uid="{00000000-0005-0000-0000-0000B1160000}"/>
    <cellStyle name="20% - Accent2 5 3 2 4 4" xfId="27081" xr:uid="{00000000-0005-0000-0000-0000B2160000}"/>
    <cellStyle name="20% - Accent2 5 3 2 5" xfId="7275" xr:uid="{00000000-0005-0000-0000-0000B3160000}"/>
    <cellStyle name="20% - Accent2 5 3 2 5 2" xfId="18576" xr:uid="{00000000-0005-0000-0000-0000B4160000}"/>
    <cellStyle name="20% - Accent2 5 3 2 5 2 2" xfId="41178" xr:uid="{00000000-0005-0000-0000-0000B5160000}"/>
    <cellStyle name="20% - Accent2 5 3 2 5 3" xfId="29877" xr:uid="{00000000-0005-0000-0000-0000B6160000}"/>
    <cellStyle name="20% - Accent2 5 3 2 6" xfId="12926" xr:uid="{00000000-0005-0000-0000-0000B7160000}"/>
    <cellStyle name="20% - Accent2 5 3 2 6 2" xfId="35528" xr:uid="{00000000-0005-0000-0000-0000B8160000}"/>
    <cellStyle name="20% - Accent2 5 3 2 7" xfId="24227" xr:uid="{00000000-0005-0000-0000-0000B9160000}"/>
    <cellStyle name="20% - Accent2 5 3 3" xfId="994" xr:uid="{00000000-0005-0000-0000-0000BA160000}"/>
    <cellStyle name="20% - Accent2 5 3 3 2" xfId="3057" xr:uid="{00000000-0005-0000-0000-0000BB160000}"/>
    <cellStyle name="20% - Accent2 5 3 3 2 2" xfId="6029" xr:uid="{00000000-0005-0000-0000-0000BC160000}"/>
    <cellStyle name="20% - Accent2 5 3 3 2 2 2" xfId="11679" xr:uid="{00000000-0005-0000-0000-0000BD160000}"/>
    <cellStyle name="20% - Accent2 5 3 3 2 2 2 2" xfId="22980" xr:uid="{00000000-0005-0000-0000-0000BE160000}"/>
    <cellStyle name="20% - Accent2 5 3 3 2 2 2 2 2" xfId="45582" xr:uid="{00000000-0005-0000-0000-0000BF160000}"/>
    <cellStyle name="20% - Accent2 5 3 3 2 2 2 3" xfId="34281" xr:uid="{00000000-0005-0000-0000-0000C0160000}"/>
    <cellStyle name="20% - Accent2 5 3 3 2 2 3" xfId="17330" xr:uid="{00000000-0005-0000-0000-0000C1160000}"/>
    <cellStyle name="20% - Accent2 5 3 3 2 2 3 2" xfId="39932" xr:uid="{00000000-0005-0000-0000-0000C2160000}"/>
    <cellStyle name="20% - Accent2 5 3 3 2 2 4" xfId="28631" xr:uid="{00000000-0005-0000-0000-0000C3160000}"/>
    <cellStyle name="20% - Accent2 5 3 3 2 3" xfId="8847" xr:uid="{00000000-0005-0000-0000-0000C4160000}"/>
    <cellStyle name="20% - Accent2 5 3 3 2 3 2" xfId="20148" xr:uid="{00000000-0005-0000-0000-0000C5160000}"/>
    <cellStyle name="20% - Accent2 5 3 3 2 3 2 2" xfId="42750" xr:uid="{00000000-0005-0000-0000-0000C6160000}"/>
    <cellStyle name="20% - Accent2 5 3 3 2 3 3" xfId="31449" xr:uid="{00000000-0005-0000-0000-0000C7160000}"/>
    <cellStyle name="20% - Accent2 5 3 3 2 4" xfId="14498" xr:uid="{00000000-0005-0000-0000-0000C8160000}"/>
    <cellStyle name="20% - Accent2 5 3 3 2 4 2" xfId="37100" xr:uid="{00000000-0005-0000-0000-0000C9160000}"/>
    <cellStyle name="20% - Accent2 5 3 3 2 5" xfId="25799" xr:uid="{00000000-0005-0000-0000-0000CA160000}"/>
    <cellStyle name="20% - Accent2 5 3 3 3" xfId="4795" xr:uid="{00000000-0005-0000-0000-0000CB160000}"/>
    <cellStyle name="20% - Accent2 5 3 3 3 2" xfId="10445" xr:uid="{00000000-0005-0000-0000-0000CC160000}"/>
    <cellStyle name="20% - Accent2 5 3 3 3 2 2" xfId="21746" xr:uid="{00000000-0005-0000-0000-0000CD160000}"/>
    <cellStyle name="20% - Accent2 5 3 3 3 2 2 2" xfId="44348" xr:uid="{00000000-0005-0000-0000-0000CE160000}"/>
    <cellStyle name="20% - Accent2 5 3 3 3 2 3" xfId="33047" xr:uid="{00000000-0005-0000-0000-0000CF160000}"/>
    <cellStyle name="20% - Accent2 5 3 3 3 3" xfId="16096" xr:uid="{00000000-0005-0000-0000-0000D0160000}"/>
    <cellStyle name="20% - Accent2 5 3 3 3 3 2" xfId="38698" xr:uid="{00000000-0005-0000-0000-0000D1160000}"/>
    <cellStyle name="20% - Accent2 5 3 3 3 4" xfId="27397" xr:uid="{00000000-0005-0000-0000-0000D2160000}"/>
    <cellStyle name="20% - Accent2 5 3 3 4" xfId="6982" xr:uid="{00000000-0005-0000-0000-0000D3160000}"/>
    <cellStyle name="20% - Accent2 5 3 3 4 2" xfId="18283" xr:uid="{00000000-0005-0000-0000-0000D4160000}"/>
    <cellStyle name="20% - Accent2 5 3 3 4 2 2" xfId="40885" xr:uid="{00000000-0005-0000-0000-0000D5160000}"/>
    <cellStyle name="20% - Accent2 5 3 3 4 3" xfId="29584" xr:uid="{00000000-0005-0000-0000-0000D6160000}"/>
    <cellStyle name="20% - Accent2 5 3 3 5" xfId="12633" xr:uid="{00000000-0005-0000-0000-0000D7160000}"/>
    <cellStyle name="20% - Accent2 5 3 3 5 2" xfId="35235" xr:uid="{00000000-0005-0000-0000-0000D8160000}"/>
    <cellStyle name="20% - Accent2 5 3 3 6" xfId="23934" xr:uid="{00000000-0005-0000-0000-0000D9160000}"/>
    <cellStyle name="20% - Accent2 5 3 4" xfId="1620" xr:uid="{00000000-0005-0000-0000-0000DA160000}"/>
    <cellStyle name="20% - Accent2 5 3 4 2" xfId="3603" xr:uid="{00000000-0005-0000-0000-0000DB160000}"/>
    <cellStyle name="20% - Accent2 5 3 4 2 2" xfId="9317" xr:uid="{00000000-0005-0000-0000-0000DC160000}"/>
    <cellStyle name="20% - Accent2 5 3 4 2 2 2" xfId="20618" xr:uid="{00000000-0005-0000-0000-0000DD160000}"/>
    <cellStyle name="20% - Accent2 5 3 4 2 2 2 2" xfId="43220" xr:uid="{00000000-0005-0000-0000-0000DE160000}"/>
    <cellStyle name="20% - Accent2 5 3 4 2 2 3" xfId="31919" xr:uid="{00000000-0005-0000-0000-0000DF160000}"/>
    <cellStyle name="20% - Accent2 5 3 4 2 3" xfId="14968" xr:uid="{00000000-0005-0000-0000-0000E0160000}"/>
    <cellStyle name="20% - Accent2 5 3 4 2 3 2" xfId="37570" xr:uid="{00000000-0005-0000-0000-0000E1160000}"/>
    <cellStyle name="20% - Accent2 5 3 4 2 4" xfId="26269" xr:uid="{00000000-0005-0000-0000-0000E2160000}"/>
    <cellStyle name="20% - Accent2 5 3 4 3" xfId="5405" xr:uid="{00000000-0005-0000-0000-0000E3160000}"/>
    <cellStyle name="20% - Accent2 5 3 4 3 2" xfId="11055" xr:uid="{00000000-0005-0000-0000-0000E4160000}"/>
    <cellStyle name="20% - Accent2 5 3 4 3 2 2" xfId="22356" xr:uid="{00000000-0005-0000-0000-0000E5160000}"/>
    <cellStyle name="20% - Accent2 5 3 4 3 2 2 2" xfId="44958" xr:uid="{00000000-0005-0000-0000-0000E6160000}"/>
    <cellStyle name="20% - Accent2 5 3 4 3 2 3" xfId="33657" xr:uid="{00000000-0005-0000-0000-0000E7160000}"/>
    <cellStyle name="20% - Accent2 5 3 4 3 3" xfId="16706" xr:uid="{00000000-0005-0000-0000-0000E8160000}"/>
    <cellStyle name="20% - Accent2 5 3 4 3 3 2" xfId="39308" xr:uid="{00000000-0005-0000-0000-0000E9160000}"/>
    <cellStyle name="20% - Accent2 5 3 4 3 4" xfId="28007" xr:uid="{00000000-0005-0000-0000-0000EA160000}"/>
    <cellStyle name="20% - Accent2 5 3 4 4" xfId="7476" xr:uid="{00000000-0005-0000-0000-0000EB160000}"/>
    <cellStyle name="20% - Accent2 5 3 4 4 2" xfId="18777" xr:uid="{00000000-0005-0000-0000-0000EC160000}"/>
    <cellStyle name="20% - Accent2 5 3 4 4 2 2" xfId="41379" xr:uid="{00000000-0005-0000-0000-0000ED160000}"/>
    <cellStyle name="20% - Accent2 5 3 4 4 3" xfId="30078" xr:uid="{00000000-0005-0000-0000-0000EE160000}"/>
    <cellStyle name="20% - Accent2 5 3 4 5" xfId="13127" xr:uid="{00000000-0005-0000-0000-0000EF160000}"/>
    <cellStyle name="20% - Accent2 5 3 4 5 2" xfId="35729" xr:uid="{00000000-0005-0000-0000-0000F0160000}"/>
    <cellStyle name="20% - Accent2 5 3 4 6" xfId="24428" xr:uid="{00000000-0005-0000-0000-0000F1160000}"/>
    <cellStyle name="20% - Accent2 5 3 5" xfId="2386" xr:uid="{00000000-0005-0000-0000-0000F2160000}"/>
    <cellStyle name="20% - Accent2 5 3 5 2" xfId="8222" xr:uid="{00000000-0005-0000-0000-0000F3160000}"/>
    <cellStyle name="20% - Accent2 5 3 5 2 2" xfId="19523" xr:uid="{00000000-0005-0000-0000-0000F4160000}"/>
    <cellStyle name="20% - Accent2 5 3 5 2 2 2" xfId="42125" xr:uid="{00000000-0005-0000-0000-0000F5160000}"/>
    <cellStyle name="20% - Accent2 5 3 5 2 3" xfId="30824" xr:uid="{00000000-0005-0000-0000-0000F6160000}"/>
    <cellStyle name="20% - Accent2 5 3 5 3" xfId="13873" xr:uid="{00000000-0005-0000-0000-0000F7160000}"/>
    <cellStyle name="20% - Accent2 5 3 5 3 2" xfId="36475" xr:uid="{00000000-0005-0000-0000-0000F8160000}"/>
    <cellStyle name="20% - Accent2 5 3 5 4" xfId="25174" xr:uid="{00000000-0005-0000-0000-0000F9160000}"/>
    <cellStyle name="20% - Accent2 5 3 6" xfId="4171" xr:uid="{00000000-0005-0000-0000-0000FA160000}"/>
    <cellStyle name="20% - Accent2 5 3 6 2" xfId="9821" xr:uid="{00000000-0005-0000-0000-0000FB160000}"/>
    <cellStyle name="20% - Accent2 5 3 6 2 2" xfId="21122" xr:uid="{00000000-0005-0000-0000-0000FC160000}"/>
    <cellStyle name="20% - Accent2 5 3 6 2 2 2" xfId="43724" xr:uid="{00000000-0005-0000-0000-0000FD160000}"/>
    <cellStyle name="20% - Accent2 5 3 6 2 3" xfId="32423" xr:uid="{00000000-0005-0000-0000-0000FE160000}"/>
    <cellStyle name="20% - Accent2 5 3 6 3" xfId="15472" xr:uid="{00000000-0005-0000-0000-0000FF160000}"/>
    <cellStyle name="20% - Accent2 5 3 6 3 2" xfId="38074" xr:uid="{00000000-0005-0000-0000-000000170000}"/>
    <cellStyle name="20% - Accent2 5 3 6 4" xfId="26773" xr:uid="{00000000-0005-0000-0000-000001170000}"/>
    <cellStyle name="20% - Accent2 5 3 7" xfId="6649" xr:uid="{00000000-0005-0000-0000-000002170000}"/>
    <cellStyle name="20% - Accent2 5 3 7 2" xfId="17950" xr:uid="{00000000-0005-0000-0000-000003170000}"/>
    <cellStyle name="20% - Accent2 5 3 7 2 2" xfId="40552" xr:uid="{00000000-0005-0000-0000-000004170000}"/>
    <cellStyle name="20% - Accent2 5 3 7 3" xfId="29251" xr:uid="{00000000-0005-0000-0000-000005170000}"/>
    <cellStyle name="20% - Accent2 5 3 8" xfId="12300" xr:uid="{00000000-0005-0000-0000-000006170000}"/>
    <cellStyle name="20% - Accent2 5 3 8 2" xfId="34902" xr:uid="{00000000-0005-0000-0000-000007170000}"/>
    <cellStyle name="20% - Accent2 5 3 9" xfId="23601" xr:uid="{00000000-0005-0000-0000-000008170000}"/>
    <cellStyle name="20% - Accent2 5 4" xfId="1156" xr:uid="{00000000-0005-0000-0000-000009170000}"/>
    <cellStyle name="20% - Accent2 5 4 2" xfId="1622" xr:uid="{00000000-0005-0000-0000-00000A170000}"/>
    <cellStyle name="20% - Accent2 5 4 2 2" xfId="3224" xr:uid="{00000000-0005-0000-0000-00000B170000}"/>
    <cellStyle name="20% - Accent2 5 4 2 2 2" xfId="6196" xr:uid="{00000000-0005-0000-0000-00000C170000}"/>
    <cellStyle name="20% - Accent2 5 4 2 2 2 2" xfId="11846" xr:uid="{00000000-0005-0000-0000-00000D170000}"/>
    <cellStyle name="20% - Accent2 5 4 2 2 2 2 2" xfId="23147" xr:uid="{00000000-0005-0000-0000-00000E170000}"/>
    <cellStyle name="20% - Accent2 5 4 2 2 2 2 2 2" xfId="45749" xr:uid="{00000000-0005-0000-0000-00000F170000}"/>
    <cellStyle name="20% - Accent2 5 4 2 2 2 2 3" xfId="34448" xr:uid="{00000000-0005-0000-0000-000010170000}"/>
    <cellStyle name="20% - Accent2 5 4 2 2 2 3" xfId="17497" xr:uid="{00000000-0005-0000-0000-000011170000}"/>
    <cellStyle name="20% - Accent2 5 4 2 2 2 3 2" xfId="40099" xr:uid="{00000000-0005-0000-0000-000012170000}"/>
    <cellStyle name="20% - Accent2 5 4 2 2 2 4" xfId="28798" xr:uid="{00000000-0005-0000-0000-000013170000}"/>
    <cellStyle name="20% - Accent2 5 4 2 2 3" xfId="9014" xr:uid="{00000000-0005-0000-0000-000014170000}"/>
    <cellStyle name="20% - Accent2 5 4 2 2 3 2" xfId="20315" xr:uid="{00000000-0005-0000-0000-000015170000}"/>
    <cellStyle name="20% - Accent2 5 4 2 2 3 2 2" xfId="42917" xr:uid="{00000000-0005-0000-0000-000016170000}"/>
    <cellStyle name="20% - Accent2 5 4 2 2 3 3" xfId="31616" xr:uid="{00000000-0005-0000-0000-000017170000}"/>
    <cellStyle name="20% - Accent2 5 4 2 2 4" xfId="14665" xr:uid="{00000000-0005-0000-0000-000018170000}"/>
    <cellStyle name="20% - Accent2 5 4 2 2 4 2" xfId="37267" xr:uid="{00000000-0005-0000-0000-000019170000}"/>
    <cellStyle name="20% - Accent2 5 4 2 2 5" xfId="25966" xr:uid="{00000000-0005-0000-0000-00001A170000}"/>
    <cellStyle name="20% - Accent2 5 4 2 3" xfId="4962" xr:uid="{00000000-0005-0000-0000-00001B170000}"/>
    <cellStyle name="20% - Accent2 5 4 2 3 2" xfId="10612" xr:uid="{00000000-0005-0000-0000-00001C170000}"/>
    <cellStyle name="20% - Accent2 5 4 2 3 2 2" xfId="21913" xr:uid="{00000000-0005-0000-0000-00001D170000}"/>
    <cellStyle name="20% - Accent2 5 4 2 3 2 2 2" xfId="44515" xr:uid="{00000000-0005-0000-0000-00001E170000}"/>
    <cellStyle name="20% - Accent2 5 4 2 3 2 3" xfId="33214" xr:uid="{00000000-0005-0000-0000-00001F170000}"/>
    <cellStyle name="20% - Accent2 5 4 2 3 3" xfId="16263" xr:uid="{00000000-0005-0000-0000-000020170000}"/>
    <cellStyle name="20% - Accent2 5 4 2 3 3 2" xfId="38865" xr:uid="{00000000-0005-0000-0000-000021170000}"/>
    <cellStyle name="20% - Accent2 5 4 2 3 4" xfId="27564" xr:uid="{00000000-0005-0000-0000-000022170000}"/>
    <cellStyle name="20% - Accent2 5 4 2 4" xfId="7478" xr:uid="{00000000-0005-0000-0000-000023170000}"/>
    <cellStyle name="20% - Accent2 5 4 2 4 2" xfId="18779" xr:uid="{00000000-0005-0000-0000-000024170000}"/>
    <cellStyle name="20% - Accent2 5 4 2 4 2 2" xfId="41381" xr:uid="{00000000-0005-0000-0000-000025170000}"/>
    <cellStyle name="20% - Accent2 5 4 2 4 3" xfId="30080" xr:uid="{00000000-0005-0000-0000-000026170000}"/>
    <cellStyle name="20% - Accent2 5 4 2 5" xfId="13129" xr:uid="{00000000-0005-0000-0000-000027170000}"/>
    <cellStyle name="20% - Accent2 5 4 2 5 2" xfId="35731" xr:uid="{00000000-0005-0000-0000-000028170000}"/>
    <cellStyle name="20% - Accent2 5 4 2 6" xfId="24430" xr:uid="{00000000-0005-0000-0000-000029170000}"/>
    <cellStyle name="20% - Accent2 5 4 3" xfId="2553" xr:uid="{00000000-0005-0000-0000-00002A170000}"/>
    <cellStyle name="20% - Accent2 5 4 3 2" xfId="5572" xr:uid="{00000000-0005-0000-0000-00002B170000}"/>
    <cellStyle name="20% - Accent2 5 4 3 2 2" xfId="11222" xr:uid="{00000000-0005-0000-0000-00002C170000}"/>
    <cellStyle name="20% - Accent2 5 4 3 2 2 2" xfId="22523" xr:uid="{00000000-0005-0000-0000-00002D170000}"/>
    <cellStyle name="20% - Accent2 5 4 3 2 2 2 2" xfId="45125" xr:uid="{00000000-0005-0000-0000-00002E170000}"/>
    <cellStyle name="20% - Accent2 5 4 3 2 2 3" xfId="33824" xr:uid="{00000000-0005-0000-0000-00002F170000}"/>
    <cellStyle name="20% - Accent2 5 4 3 2 3" xfId="16873" xr:uid="{00000000-0005-0000-0000-000030170000}"/>
    <cellStyle name="20% - Accent2 5 4 3 2 3 2" xfId="39475" xr:uid="{00000000-0005-0000-0000-000031170000}"/>
    <cellStyle name="20% - Accent2 5 4 3 2 4" xfId="28174" xr:uid="{00000000-0005-0000-0000-000032170000}"/>
    <cellStyle name="20% - Accent2 5 4 3 3" xfId="8389" xr:uid="{00000000-0005-0000-0000-000033170000}"/>
    <cellStyle name="20% - Accent2 5 4 3 3 2" xfId="19690" xr:uid="{00000000-0005-0000-0000-000034170000}"/>
    <cellStyle name="20% - Accent2 5 4 3 3 2 2" xfId="42292" xr:uid="{00000000-0005-0000-0000-000035170000}"/>
    <cellStyle name="20% - Accent2 5 4 3 3 3" xfId="30991" xr:uid="{00000000-0005-0000-0000-000036170000}"/>
    <cellStyle name="20% - Accent2 5 4 3 4" xfId="14040" xr:uid="{00000000-0005-0000-0000-000037170000}"/>
    <cellStyle name="20% - Accent2 5 4 3 4 2" xfId="36642" xr:uid="{00000000-0005-0000-0000-000038170000}"/>
    <cellStyle name="20% - Accent2 5 4 3 5" xfId="25341" xr:uid="{00000000-0005-0000-0000-000039170000}"/>
    <cellStyle name="20% - Accent2 5 4 4" xfId="4338" xr:uid="{00000000-0005-0000-0000-00003A170000}"/>
    <cellStyle name="20% - Accent2 5 4 4 2" xfId="9988" xr:uid="{00000000-0005-0000-0000-00003B170000}"/>
    <cellStyle name="20% - Accent2 5 4 4 2 2" xfId="21289" xr:uid="{00000000-0005-0000-0000-00003C170000}"/>
    <cellStyle name="20% - Accent2 5 4 4 2 2 2" xfId="43891" xr:uid="{00000000-0005-0000-0000-00003D170000}"/>
    <cellStyle name="20% - Accent2 5 4 4 2 3" xfId="32590" xr:uid="{00000000-0005-0000-0000-00003E170000}"/>
    <cellStyle name="20% - Accent2 5 4 4 3" xfId="15639" xr:uid="{00000000-0005-0000-0000-00003F170000}"/>
    <cellStyle name="20% - Accent2 5 4 4 3 2" xfId="38241" xr:uid="{00000000-0005-0000-0000-000040170000}"/>
    <cellStyle name="20% - Accent2 5 4 4 4" xfId="26940" xr:uid="{00000000-0005-0000-0000-000041170000}"/>
    <cellStyle name="20% - Accent2 5 4 5" xfId="7135" xr:uid="{00000000-0005-0000-0000-000042170000}"/>
    <cellStyle name="20% - Accent2 5 4 5 2" xfId="18436" xr:uid="{00000000-0005-0000-0000-000043170000}"/>
    <cellStyle name="20% - Accent2 5 4 5 2 2" xfId="41038" xr:uid="{00000000-0005-0000-0000-000044170000}"/>
    <cellStyle name="20% - Accent2 5 4 5 3" xfId="29737" xr:uid="{00000000-0005-0000-0000-000045170000}"/>
    <cellStyle name="20% - Accent2 5 4 6" xfId="12786" xr:uid="{00000000-0005-0000-0000-000046170000}"/>
    <cellStyle name="20% - Accent2 5 4 6 2" xfId="35388" xr:uid="{00000000-0005-0000-0000-000047170000}"/>
    <cellStyle name="20% - Accent2 5 4 7" xfId="24087" xr:uid="{00000000-0005-0000-0000-000048170000}"/>
    <cellStyle name="20% - Accent2 5 5" xfId="835" xr:uid="{00000000-0005-0000-0000-000049170000}"/>
    <cellStyle name="20% - Accent2 5 5 2" xfId="2917" xr:uid="{00000000-0005-0000-0000-00004A170000}"/>
    <cellStyle name="20% - Accent2 5 5 2 2" xfId="5889" xr:uid="{00000000-0005-0000-0000-00004B170000}"/>
    <cellStyle name="20% - Accent2 5 5 2 2 2" xfId="11539" xr:uid="{00000000-0005-0000-0000-00004C170000}"/>
    <cellStyle name="20% - Accent2 5 5 2 2 2 2" xfId="22840" xr:uid="{00000000-0005-0000-0000-00004D170000}"/>
    <cellStyle name="20% - Accent2 5 5 2 2 2 2 2" xfId="45442" xr:uid="{00000000-0005-0000-0000-00004E170000}"/>
    <cellStyle name="20% - Accent2 5 5 2 2 2 3" xfId="34141" xr:uid="{00000000-0005-0000-0000-00004F170000}"/>
    <cellStyle name="20% - Accent2 5 5 2 2 3" xfId="17190" xr:uid="{00000000-0005-0000-0000-000050170000}"/>
    <cellStyle name="20% - Accent2 5 5 2 2 3 2" xfId="39792" xr:uid="{00000000-0005-0000-0000-000051170000}"/>
    <cellStyle name="20% - Accent2 5 5 2 2 4" xfId="28491" xr:uid="{00000000-0005-0000-0000-000052170000}"/>
    <cellStyle name="20% - Accent2 5 5 2 3" xfId="8707" xr:uid="{00000000-0005-0000-0000-000053170000}"/>
    <cellStyle name="20% - Accent2 5 5 2 3 2" xfId="20008" xr:uid="{00000000-0005-0000-0000-000054170000}"/>
    <cellStyle name="20% - Accent2 5 5 2 3 2 2" xfId="42610" xr:uid="{00000000-0005-0000-0000-000055170000}"/>
    <cellStyle name="20% - Accent2 5 5 2 3 3" xfId="31309" xr:uid="{00000000-0005-0000-0000-000056170000}"/>
    <cellStyle name="20% - Accent2 5 5 2 4" xfId="14358" xr:uid="{00000000-0005-0000-0000-000057170000}"/>
    <cellStyle name="20% - Accent2 5 5 2 4 2" xfId="36960" xr:uid="{00000000-0005-0000-0000-000058170000}"/>
    <cellStyle name="20% - Accent2 5 5 2 5" xfId="25659" xr:uid="{00000000-0005-0000-0000-000059170000}"/>
    <cellStyle name="20% - Accent2 5 5 3" xfId="4655" xr:uid="{00000000-0005-0000-0000-00005A170000}"/>
    <cellStyle name="20% - Accent2 5 5 3 2" xfId="10305" xr:uid="{00000000-0005-0000-0000-00005B170000}"/>
    <cellStyle name="20% - Accent2 5 5 3 2 2" xfId="21606" xr:uid="{00000000-0005-0000-0000-00005C170000}"/>
    <cellStyle name="20% - Accent2 5 5 3 2 2 2" xfId="44208" xr:uid="{00000000-0005-0000-0000-00005D170000}"/>
    <cellStyle name="20% - Accent2 5 5 3 2 3" xfId="32907" xr:uid="{00000000-0005-0000-0000-00005E170000}"/>
    <cellStyle name="20% - Accent2 5 5 3 3" xfId="15956" xr:uid="{00000000-0005-0000-0000-00005F170000}"/>
    <cellStyle name="20% - Accent2 5 5 3 3 2" xfId="38558" xr:uid="{00000000-0005-0000-0000-000060170000}"/>
    <cellStyle name="20% - Accent2 5 5 3 4" xfId="27257" xr:uid="{00000000-0005-0000-0000-000061170000}"/>
    <cellStyle name="20% - Accent2 5 5 4" xfId="6840" xr:uid="{00000000-0005-0000-0000-000062170000}"/>
    <cellStyle name="20% - Accent2 5 5 4 2" xfId="18141" xr:uid="{00000000-0005-0000-0000-000063170000}"/>
    <cellStyle name="20% - Accent2 5 5 4 2 2" xfId="40743" xr:uid="{00000000-0005-0000-0000-000064170000}"/>
    <cellStyle name="20% - Accent2 5 5 4 3" xfId="29442" xr:uid="{00000000-0005-0000-0000-000065170000}"/>
    <cellStyle name="20% - Accent2 5 5 5" xfId="12491" xr:uid="{00000000-0005-0000-0000-000066170000}"/>
    <cellStyle name="20% - Accent2 5 5 5 2" xfId="35093" xr:uid="{00000000-0005-0000-0000-000067170000}"/>
    <cellStyle name="20% - Accent2 5 5 6" xfId="23792" xr:uid="{00000000-0005-0000-0000-000068170000}"/>
    <cellStyle name="20% - Accent2 5 6" xfId="1615" xr:uid="{00000000-0005-0000-0000-000069170000}"/>
    <cellStyle name="20% - Accent2 5 6 2" xfId="3600" xr:uid="{00000000-0005-0000-0000-00006A170000}"/>
    <cellStyle name="20% - Accent2 5 6 2 2" xfId="9314" xr:uid="{00000000-0005-0000-0000-00006B170000}"/>
    <cellStyle name="20% - Accent2 5 6 2 2 2" xfId="20615" xr:uid="{00000000-0005-0000-0000-00006C170000}"/>
    <cellStyle name="20% - Accent2 5 6 2 2 2 2" xfId="43217" xr:uid="{00000000-0005-0000-0000-00006D170000}"/>
    <cellStyle name="20% - Accent2 5 6 2 2 3" xfId="31916" xr:uid="{00000000-0005-0000-0000-00006E170000}"/>
    <cellStyle name="20% - Accent2 5 6 2 3" xfId="14965" xr:uid="{00000000-0005-0000-0000-00006F170000}"/>
    <cellStyle name="20% - Accent2 5 6 2 3 2" xfId="37567" xr:uid="{00000000-0005-0000-0000-000070170000}"/>
    <cellStyle name="20% - Accent2 5 6 2 4" xfId="26266" xr:uid="{00000000-0005-0000-0000-000071170000}"/>
    <cellStyle name="20% - Accent2 5 6 3" xfId="5265" xr:uid="{00000000-0005-0000-0000-000072170000}"/>
    <cellStyle name="20% - Accent2 5 6 3 2" xfId="10915" xr:uid="{00000000-0005-0000-0000-000073170000}"/>
    <cellStyle name="20% - Accent2 5 6 3 2 2" xfId="22216" xr:uid="{00000000-0005-0000-0000-000074170000}"/>
    <cellStyle name="20% - Accent2 5 6 3 2 2 2" xfId="44818" xr:uid="{00000000-0005-0000-0000-000075170000}"/>
    <cellStyle name="20% - Accent2 5 6 3 2 3" xfId="33517" xr:uid="{00000000-0005-0000-0000-000076170000}"/>
    <cellStyle name="20% - Accent2 5 6 3 3" xfId="16566" xr:uid="{00000000-0005-0000-0000-000077170000}"/>
    <cellStyle name="20% - Accent2 5 6 3 3 2" xfId="39168" xr:uid="{00000000-0005-0000-0000-000078170000}"/>
    <cellStyle name="20% - Accent2 5 6 3 4" xfId="27867" xr:uid="{00000000-0005-0000-0000-000079170000}"/>
    <cellStyle name="20% - Accent2 5 6 4" xfId="7471" xr:uid="{00000000-0005-0000-0000-00007A170000}"/>
    <cellStyle name="20% - Accent2 5 6 4 2" xfId="18772" xr:uid="{00000000-0005-0000-0000-00007B170000}"/>
    <cellStyle name="20% - Accent2 5 6 4 2 2" xfId="41374" xr:uid="{00000000-0005-0000-0000-00007C170000}"/>
    <cellStyle name="20% - Accent2 5 6 4 3" xfId="30073" xr:uid="{00000000-0005-0000-0000-00007D170000}"/>
    <cellStyle name="20% - Accent2 5 6 5" xfId="13122" xr:uid="{00000000-0005-0000-0000-00007E170000}"/>
    <cellStyle name="20% - Accent2 5 6 5 2" xfId="35724" xr:uid="{00000000-0005-0000-0000-00007F170000}"/>
    <cellStyle name="20% - Accent2 5 6 6" xfId="24423" xr:uid="{00000000-0005-0000-0000-000080170000}"/>
    <cellStyle name="20% - Accent2 5 7" xfId="2238" xr:uid="{00000000-0005-0000-0000-000081170000}"/>
    <cellStyle name="20% - Accent2 5 7 2" xfId="8079" xr:uid="{00000000-0005-0000-0000-000082170000}"/>
    <cellStyle name="20% - Accent2 5 7 2 2" xfId="19380" xr:uid="{00000000-0005-0000-0000-000083170000}"/>
    <cellStyle name="20% - Accent2 5 7 2 2 2" xfId="41982" xr:uid="{00000000-0005-0000-0000-000084170000}"/>
    <cellStyle name="20% - Accent2 5 7 2 3" xfId="30681" xr:uid="{00000000-0005-0000-0000-000085170000}"/>
    <cellStyle name="20% - Accent2 5 7 3" xfId="13730" xr:uid="{00000000-0005-0000-0000-000086170000}"/>
    <cellStyle name="20% - Accent2 5 7 3 2" xfId="36332" xr:uid="{00000000-0005-0000-0000-000087170000}"/>
    <cellStyle name="20% - Accent2 5 7 4" xfId="25031" xr:uid="{00000000-0005-0000-0000-000088170000}"/>
    <cellStyle name="20% - Accent2 5 8" xfId="4031" xr:uid="{00000000-0005-0000-0000-000089170000}"/>
    <cellStyle name="20% - Accent2 5 8 2" xfId="9681" xr:uid="{00000000-0005-0000-0000-00008A170000}"/>
    <cellStyle name="20% - Accent2 5 8 2 2" xfId="20982" xr:uid="{00000000-0005-0000-0000-00008B170000}"/>
    <cellStyle name="20% - Accent2 5 8 2 2 2" xfId="43584" xr:uid="{00000000-0005-0000-0000-00008C170000}"/>
    <cellStyle name="20% - Accent2 5 8 2 3" xfId="32283" xr:uid="{00000000-0005-0000-0000-00008D170000}"/>
    <cellStyle name="20% - Accent2 5 8 3" xfId="15332" xr:uid="{00000000-0005-0000-0000-00008E170000}"/>
    <cellStyle name="20% - Accent2 5 8 3 2" xfId="37934" xr:uid="{00000000-0005-0000-0000-00008F170000}"/>
    <cellStyle name="20% - Accent2 5 8 4" xfId="26633" xr:uid="{00000000-0005-0000-0000-000090170000}"/>
    <cellStyle name="20% - Accent2 5 9" xfId="6482" xr:uid="{00000000-0005-0000-0000-000091170000}"/>
    <cellStyle name="20% - Accent2 5 9 2" xfId="17783" xr:uid="{00000000-0005-0000-0000-000092170000}"/>
    <cellStyle name="20% - Accent2 5 9 2 2" xfId="40385" xr:uid="{00000000-0005-0000-0000-000093170000}"/>
    <cellStyle name="20% - Accent2 5 9 3" xfId="29084" xr:uid="{00000000-0005-0000-0000-000094170000}"/>
    <cellStyle name="20% - Accent2 6" xfId="289" xr:uid="{00000000-0005-0000-0000-000095170000}"/>
    <cellStyle name="20% - Accent2 7" xfId="393" xr:uid="{00000000-0005-0000-0000-000096170000}"/>
    <cellStyle name="20% - Accent2 7 10" xfId="23488" xr:uid="{00000000-0005-0000-0000-000097170000}"/>
    <cellStyle name="20% - Accent2 7 2" xfId="638" xr:uid="{00000000-0005-0000-0000-000098170000}"/>
    <cellStyle name="20% - Accent2 7 2 2" xfId="1348" xr:uid="{00000000-0005-0000-0000-000099170000}"/>
    <cellStyle name="20% - Accent2 7 2 2 2" xfId="1625" xr:uid="{00000000-0005-0000-0000-00009A170000}"/>
    <cellStyle name="20% - Accent2 7 2 2 2 2" xfId="3417" xr:uid="{00000000-0005-0000-0000-00009B170000}"/>
    <cellStyle name="20% - Accent2 7 2 2 2 2 2" xfId="6389" xr:uid="{00000000-0005-0000-0000-00009C170000}"/>
    <cellStyle name="20% - Accent2 7 2 2 2 2 2 2" xfId="12039" xr:uid="{00000000-0005-0000-0000-00009D170000}"/>
    <cellStyle name="20% - Accent2 7 2 2 2 2 2 2 2" xfId="23340" xr:uid="{00000000-0005-0000-0000-00009E170000}"/>
    <cellStyle name="20% - Accent2 7 2 2 2 2 2 2 2 2" xfId="45942" xr:uid="{00000000-0005-0000-0000-00009F170000}"/>
    <cellStyle name="20% - Accent2 7 2 2 2 2 2 2 3" xfId="34641" xr:uid="{00000000-0005-0000-0000-0000A0170000}"/>
    <cellStyle name="20% - Accent2 7 2 2 2 2 2 3" xfId="17690" xr:uid="{00000000-0005-0000-0000-0000A1170000}"/>
    <cellStyle name="20% - Accent2 7 2 2 2 2 2 3 2" xfId="40292" xr:uid="{00000000-0005-0000-0000-0000A2170000}"/>
    <cellStyle name="20% - Accent2 7 2 2 2 2 2 4" xfId="28991" xr:uid="{00000000-0005-0000-0000-0000A3170000}"/>
    <cellStyle name="20% - Accent2 7 2 2 2 2 3" xfId="9207" xr:uid="{00000000-0005-0000-0000-0000A4170000}"/>
    <cellStyle name="20% - Accent2 7 2 2 2 2 3 2" xfId="20508" xr:uid="{00000000-0005-0000-0000-0000A5170000}"/>
    <cellStyle name="20% - Accent2 7 2 2 2 2 3 2 2" xfId="43110" xr:uid="{00000000-0005-0000-0000-0000A6170000}"/>
    <cellStyle name="20% - Accent2 7 2 2 2 2 3 3" xfId="31809" xr:uid="{00000000-0005-0000-0000-0000A7170000}"/>
    <cellStyle name="20% - Accent2 7 2 2 2 2 4" xfId="14858" xr:uid="{00000000-0005-0000-0000-0000A8170000}"/>
    <cellStyle name="20% - Accent2 7 2 2 2 2 4 2" xfId="37460" xr:uid="{00000000-0005-0000-0000-0000A9170000}"/>
    <cellStyle name="20% - Accent2 7 2 2 2 2 5" xfId="26159" xr:uid="{00000000-0005-0000-0000-0000AA170000}"/>
    <cellStyle name="20% - Accent2 7 2 2 2 3" xfId="5155" xr:uid="{00000000-0005-0000-0000-0000AB170000}"/>
    <cellStyle name="20% - Accent2 7 2 2 2 3 2" xfId="10805" xr:uid="{00000000-0005-0000-0000-0000AC170000}"/>
    <cellStyle name="20% - Accent2 7 2 2 2 3 2 2" xfId="22106" xr:uid="{00000000-0005-0000-0000-0000AD170000}"/>
    <cellStyle name="20% - Accent2 7 2 2 2 3 2 2 2" xfId="44708" xr:uid="{00000000-0005-0000-0000-0000AE170000}"/>
    <cellStyle name="20% - Accent2 7 2 2 2 3 2 3" xfId="33407" xr:uid="{00000000-0005-0000-0000-0000AF170000}"/>
    <cellStyle name="20% - Accent2 7 2 2 2 3 3" xfId="16456" xr:uid="{00000000-0005-0000-0000-0000B0170000}"/>
    <cellStyle name="20% - Accent2 7 2 2 2 3 3 2" xfId="39058" xr:uid="{00000000-0005-0000-0000-0000B1170000}"/>
    <cellStyle name="20% - Accent2 7 2 2 2 3 4" xfId="27757" xr:uid="{00000000-0005-0000-0000-0000B2170000}"/>
    <cellStyle name="20% - Accent2 7 2 2 2 4" xfId="7481" xr:uid="{00000000-0005-0000-0000-0000B3170000}"/>
    <cellStyle name="20% - Accent2 7 2 2 2 4 2" xfId="18782" xr:uid="{00000000-0005-0000-0000-0000B4170000}"/>
    <cellStyle name="20% - Accent2 7 2 2 2 4 2 2" xfId="41384" xr:uid="{00000000-0005-0000-0000-0000B5170000}"/>
    <cellStyle name="20% - Accent2 7 2 2 2 4 3" xfId="30083" xr:uid="{00000000-0005-0000-0000-0000B6170000}"/>
    <cellStyle name="20% - Accent2 7 2 2 2 5" xfId="13132" xr:uid="{00000000-0005-0000-0000-0000B7170000}"/>
    <cellStyle name="20% - Accent2 7 2 2 2 5 2" xfId="35734" xr:uid="{00000000-0005-0000-0000-0000B8170000}"/>
    <cellStyle name="20% - Accent2 7 2 2 2 6" xfId="24433" xr:uid="{00000000-0005-0000-0000-0000B9170000}"/>
    <cellStyle name="20% - Accent2 7 2 2 3" xfId="2746" xr:uid="{00000000-0005-0000-0000-0000BA170000}"/>
    <cellStyle name="20% - Accent2 7 2 2 3 2" xfId="5765" xr:uid="{00000000-0005-0000-0000-0000BB170000}"/>
    <cellStyle name="20% - Accent2 7 2 2 3 2 2" xfId="11415" xr:uid="{00000000-0005-0000-0000-0000BC170000}"/>
    <cellStyle name="20% - Accent2 7 2 2 3 2 2 2" xfId="22716" xr:uid="{00000000-0005-0000-0000-0000BD170000}"/>
    <cellStyle name="20% - Accent2 7 2 2 3 2 2 2 2" xfId="45318" xr:uid="{00000000-0005-0000-0000-0000BE170000}"/>
    <cellStyle name="20% - Accent2 7 2 2 3 2 2 3" xfId="34017" xr:uid="{00000000-0005-0000-0000-0000BF170000}"/>
    <cellStyle name="20% - Accent2 7 2 2 3 2 3" xfId="17066" xr:uid="{00000000-0005-0000-0000-0000C0170000}"/>
    <cellStyle name="20% - Accent2 7 2 2 3 2 3 2" xfId="39668" xr:uid="{00000000-0005-0000-0000-0000C1170000}"/>
    <cellStyle name="20% - Accent2 7 2 2 3 2 4" xfId="28367" xr:uid="{00000000-0005-0000-0000-0000C2170000}"/>
    <cellStyle name="20% - Accent2 7 2 2 3 3" xfId="8582" xr:uid="{00000000-0005-0000-0000-0000C3170000}"/>
    <cellStyle name="20% - Accent2 7 2 2 3 3 2" xfId="19883" xr:uid="{00000000-0005-0000-0000-0000C4170000}"/>
    <cellStyle name="20% - Accent2 7 2 2 3 3 2 2" xfId="42485" xr:uid="{00000000-0005-0000-0000-0000C5170000}"/>
    <cellStyle name="20% - Accent2 7 2 2 3 3 3" xfId="31184" xr:uid="{00000000-0005-0000-0000-0000C6170000}"/>
    <cellStyle name="20% - Accent2 7 2 2 3 4" xfId="14233" xr:uid="{00000000-0005-0000-0000-0000C7170000}"/>
    <cellStyle name="20% - Accent2 7 2 2 3 4 2" xfId="36835" xr:uid="{00000000-0005-0000-0000-0000C8170000}"/>
    <cellStyle name="20% - Accent2 7 2 2 3 5" xfId="25534" xr:uid="{00000000-0005-0000-0000-0000C9170000}"/>
    <cellStyle name="20% - Accent2 7 2 2 4" xfId="4531" xr:uid="{00000000-0005-0000-0000-0000CA170000}"/>
    <cellStyle name="20% - Accent2 7 2 2 4 2" xfId="10181" xr:uid="{00000000-0005-0000-0000-0000CB170000}"/>
    <cellStyle name="20% - Accent2 7 2 2 4 2 2" xfId="21482" xr:uid="{00000000-0005-0000-0000-0000CC170000}"/>
    <cellStyle name="20% - Accent2 7 2 2 4 2 2 2" xfId="44084" xr:uid="{00000000-0005-0000-0000-0000CD170000}"/>
    <cellStyle name="20% - Accent2 7 2 2 4 2 3" xfId="32783" xr:uid="{00000000-0005-0000-0000-0000CE170000}"/>
    <cellStyle name="20% - Accent2 7 2 2 4 3" xfId="15832" xr:uid="{00000000-0005-0000-0000-0000CF170000}"/>
    <cellStyle name="20% - Accent2 7 2 2 4 3 2" xfId="38434" xr:uid="{00000000-0005-0000-0000-0000D0170000}"/>
    <cellStyle name="20% - Accent2 7 2 2 4 4" xfId="27133" xr:uid="{00000000-0005-0000-0000-0000D1170000}"/>
    <cellStyle name="20% - Accent2 7 2 2 5" xfId="7327" xr:uid="{00000000-0005-0000-0000-0000D2170000}"/>
    <cellStyle name="20% - Accent2 7 2 2 5 2" xfId="18628" xr:uid="{00000000-0005-0000-0000-0000D3170000}"/>
    <cellStyle name="20% - Accent2 7 2 2 5 2 2" xfId="41230" xr:uid="{00000000-0005-0000-0000-0000D4170000}"/>
    <cellStyle name="20% - Accent2 7 2 2 5 3" xfId="29929" xr:uid="{00000000-0005-0000-0000-0000D5170000}"/>
    <cellStyle name="20% - Accent2 7 2 2 6" xfId="12978" xr:uid="{00000000-0005-0000-0000-0000D6170000}"/>
    <cellStyle name="20% - Accent2 7 2 2 6 2" xfId="35580" xr:uid="{00000000-0005-0000-0000-0000D7170000}"/>
    <cellStyle name="20% - Accent2 7 2 2 7" xfId="24279" xr:uid="{00000000-0005-0000-0000-0000D8170000}"/>
    <cellStyle name="20% - Accent2 7 2 3" xfId="1046" xr:uid="{00000000-0005-0000-0000-0000D9170000}"/>
    <cellStyle name="20% - Accent2 7 2 3 2" xfId="3109" xr:uid="{00000000-0005-0000-0000-0000DA170000}"/>
    <cellStyle name="20% - Accent2 7 2 3 2 2" xfId="6081" xr:uid="{00000000-0005-0000-0000-0000DB170000}"/>
    <cellStyle name="20% - Accent2 7 2 3 2 2 2" xfId="11731" xr:uid="{00000000-0005-0000-0000-0000DC170000}"/>
    <cellStyle name="20% - Accent2 7 2 3 2 2 2 2" xfId="23032" xr:uid="{00000000-0005-0000-0000-0000DD170000}"/>
    <cellStyle name="20% - Accent2 7 2 3 2 2 2 2 2" xfId="45634" xr:uid="{00000000-0005-0000-0000-0000DE170000}"/>
    <cellStyle name="20% - Accent2 7 2 3 2 2 2 3" xfId="34333" xr:uid="{00000000-0005-0000-0000-0000DF170000}"/>
    <cellStyle name="20% - Accent2 7 2 3 2 2 3" xfId="17382" xr:uid="{00000000-0005-0000-0000-0000E0170000}"/>
    <cellStyle name="20% - Accent2 7 2 3 2 2 3 2" xfId="39984" xr:uid="{00000000-0005-0000-0000-0000E1170000}"/>
    <cellStyle name="20% - Accent2 7 2 3 2 2 4" xfId="28683" xr:uid="{00000000-0005-0000-0000-0000E2170000}"/>
    <cellStyle name="20% - Accent2 7 2 3 2 3" xfId="8899" xr:uid="{00000000-0005-0000-0000-0000E3170000}"/>
    <cellStyle name="20% - Accent2 7 2 3 2 3 2" xfId="20200" xr:uid="{00000000-0005-0000-0000-0000E4170000}"/>
    <cellStyle name="20% - Accent2 7 2 3 2 3 2 2" xfId="42802" xr:uid="{00000000-0005-0000-0000-0000E5170000}"/>
    <cellStyle name="20% - Accent2 7 2 3 2 3 3" xfId="31501" xr:uid="{00000000-0005-0000-0000-0000E6170000}"/>
    <cellStyle name="20% - Accent2 7 2 3 2 4" xfId="14550" xr:uid="{00000000-0005-0000-0000-0000E7170000}"/>
    <cellStyle name="20% - Accent2 7 2 3 2 4 2" xfId="37152" xr:uid="{00000000-0005-0000-0000-0000E8170000}"/>
    <cellStyle name="20% - Accent2 7 2 3 2 5" xfId="25851" xr:uid="{00000000-0005-0000-0000-0000E9170000}"/>
    <cellStyle name="20% - Accent2 7 2 3 3" xfId="4847" xr:uid="{00000000-0005-0000-0000-0000EA170000}"/>
    <cellStyle name="20% - Accent2 7 2 3 3 2" xfId="10497" xr:uid="{00000000-0005-0000-0000-0000EB170000}"/>
    <cellStyle name="20% - Accent2 7 2 3 3 2 2" xfId="21798" xr:uid="{00000000-0005-0000-0000-0000EC170000}"/>
    <cellStyle name="20% - Accent2 7 2 3 3 2 2 2" xfId="44400" xr:uid="{00000000-0005-0000-0000-0000ED170000}"/>
    <cellStyle name="20% - Accent2 7 2 3 3 2 3" xfId="33099" xr:uid="{00000000-0005-0000-0000-0000EE170000}"/>
    <cellStyle name="20% - Accent2 7 2 3 3 3" xfId="16148" xr:uid="{00000000-0005-0000-0000-0000EF170000}"/>
    <cellStyle name="20% - Accent2 7 2 3 3 3 2" xfId="38750" xr:uid="{00000000-0005-0000-0000-0000F0170000}"/>
    <cellStyle name="20% - Accent2 7 2 3 3 4" xfId="27449" xr:uid="{00000000-0005-0000-0000-0000F1170000}"/>
    <cellStyle name="20% - Accent2 7 2 3 4" xfId="7034" xr:uid="{00000000-0005-0000-0000-0000F2170000}"/>
    <cellStyle name="20% - Accent2 7 2 3 4 2" xfId="18335" xr:uid="{00000000-0005-0000-0000-0000F3170000}"/>
    <cellStyle name="20% - Accent2 7 2 3 4 2 2" xfId="40937" xr:uid="{00000000-0005-0000-0000-0000F4170000}"/>
    <cellStyle name="20% - Accent2 7 2 3 4 3" xfId="29636" xr:uid="{00000000-0005-0000-0000-0000F5170000}"/>
    <cellStyle name="20% - Accent2 7 2 3 5" xfId="12685" xr:uid="{00000000-0005-0000-0000-0000F6170000}"/>
    <cellStyle name="20% - Accent2 7 2 3 5 2" xfId="35287" xr:uid="{00000000-0005-0000-0000-0000F7170000}"/>
    <cellStyle name="20% - Accent2 7 2 3 6" xfId="23986" xr:uid="{00000000-0005-0000-0000-0000F8170000}"/>
    <cellStyle name="20% - Accent2 7 2 4" xfId="1624" xr:uid="{00000000-0005-0000-0000-0000F9170000}"/>
    <cellStyle name="20% - Accent2 7 2 4 2" xfId="3605" xr:uid="{00000000-0005-0000-0000-0000FA170000}"/>
    <cellStyle name="20% - Accent2 7 2 4 2 2" xfId="9319" xr:uid="{00000000-0005-0000-0000-0000FB170000}"/>
    <cellStyle name="20% - Accent2 7 2 4 2 2 2" xfId="20620" xr:uid="{00000000-0005-0000-0000-0000FC170000}"/>
    <cellStyle name="20% - Accent2 7 2 4 2 2 2 2" xfId="43222" xr:uid="{00000000-0005-0000-0000-0000FD170000}"/>
    <cellStyle name="20% - Accent2 7 2 4 2 2 3" xfId="31921" xr:uid="{00000000-0005-0000-0000-0000FE170000}"/>
    <cellStyle name="20% - Accent2 7 2 4 2 3" xfId="14970" xr:uid="{00000000-0005-0000-0000-0000FF170000}"/>
    <cellStyle name="20% - Accent2 7 2 4 2 3 2" xfId="37572" xr:uid="{00000000-0005-0000-0000-000000180000}"/>
    <cellStyle name="20% - Accent2 7 2 4 2 4" xfId="26271" xr:uid="{00000000-0005-0000-0000-000001180000}"/>
    <cellStyle name="20% - Accent2 7 2 4 3" xfId="5457" xr:uid="{00000000-0005-0000-0000-000002180000}"/>
    <cellStyle name="20% - Accent2 7 2 4 3 2" xfId="11107" xr:uid="{00000000-0005-0000-0000-000003180000}"/>
    <cellStyle name="20% - Accent2 7 2 4 3 2 2" xfId="22408" xr:uid="{00000000-0005-0000-0000-000004180000}"/>
    <cellStyle name="20% - Accent2 7 2 4 3 2 2 2" xfId="45010" xr:uid="{00000000-0005-0000-0000-000005180000}"/>
    <cellStyle name="20% - Accent2 7 2 4 3 2 3" xfId="33709" xr:uid="{00000000-0005-0000-0000-000006180000}"/>
    <cellStyle name="20% - Accent2 7 2 4 3 3" xfId="16758" xr:uid="{00000000-0005-0000-0000-000007180000}"/>
    <cellStyle name="20% - Accent2 7 2 4 3 3 2" xfId="39360" xr:uid="{00000000-0005-0000-0000-000008180000}"/>
    <cellStyle name="20% - Accent2 7 2 4 3 4" xfId="28059" xr:uid="{00000000-0005-0000-0000-000009180000}"/>
    <cellStyle name="20% - Accent2 7 2 4 4" xfId="7480" xr:uid="{00000000-0005-0000-0000-00000A180000}"/>
    <cellStyle name="20% - Accent2 7 2 4 4 2" xfId="18781" xr:uid="{00000000-0005-0000-0000-00000B180000}"/>
    <cellStyle name="20% - Accent2 7 2 4 4 2 2" xfId="41383" xr:uid="{00000000-0005-0000-0000-00000C180000}"/>
    <cellStyle name="20% - Accent2 7 2 4 4 3" xfId="30082" xr:uid="{00000000-0005-0000-0000-00000D180000}"/>
    <cellStyle name="20% - Accent2 7 2 4 5" xfId="13131" xr:uid="{00000000-0005-0000-0000-00000E180000}"/>
    <cellStyle name="20% - Accent2 7 2 4 5 2" xfId="35733" xr:uid="{00000000-0005-0000-0000-00000F180000}"/>
    <cellStyle name="20% - Accent2 7 2 4 6" xfId="24432" xr:uid="{00000000-0005-0000-0000-000010180000}"/>
    <cellStyle name="20% - Accent2 7 2 5" xfId="2438" xr:uid="{00000000-0005-0000-0000-000011180000}"/>
    <cellStyle name="20% - Accent2 7 2 5 2" xfId="8274" xr:uid="{00000000-0005-0000-0000-000012180000}"/>
    <cellStyle name="20% - Accent2 7 2 5 2 2" xfId="19575" xr:uid="{00000000-0005-0000-0000-000013180000}"/>
    <cellStyle name="20% - Accent2 7 2 5 2 2 2" xfId="42177" xr:uid="{00000000-0005-0000-0000-000014180000}"/>
    <cellStyle name="20% - Accent2 7 2 5 2 3" xfId="30876" xr:uid="{00000000-0005-0000-0000-000015180000}"/>
    <cellStyle name="20% - Accent2 7 2 5 3" xfId="13925" xr:uid="{00000000-0005-0000-0000-000016180000}"/>
    <cellStyle name="20% - Accent2 7 2 5 3 2" xfId="36527" xr:uid="{00000000-0005-0000-0000-000017180000}"/>
    <cellStyle name="20% - Accent2 7 2 5 4" xfId="25226" xr:uid="{00000000-0005-0000-0000-000018180000}"/>
    <cellStyle name="20% - Accent2 7 2 6" xfId="4223" xr:uid="{00000000-0005-0000-0000-000019180000}"/>
    <cellStyle name="20% - Accent2 7 2 6 2" xfId="9873" xr:uid="{00000000-0005-0000-0000-00001A180000}"/>
    <cellStyle name="20% - Accent2 7 2 6 2 2" xfId="21174" xr:uid="{00000000-0005-0000-0000-00001B180000}"/>
    <cellStyle name="20% - Accent2 7 2 6 2 2 2" xfId="43776" xr:uid="{00000000-0005-0000-0000-00001C180000}"/>
    <cellStyle name="20% - Accent2 7 2 6 2 3" xfId="32475" xr:uid="{00000000-0005-0000-0000-00001D180000}"/>
    <cellStyle name="20% - Accent2 7 2 6 3" xfId="15524" xr:uid="{00000000-0005-0000-0000-00001E180000}"/>
    <cellStyle name="20% - Accent2 7 2 6 3 2" xfId="38126" xr:uid="{00000000-0005-0000-0000-00001F180000}"/>
    <cellStyle name="20% - Accent2 7 2 6 4" xfId="26825" xr:uid="{00000000-0005-0000-0000-000020180000}"/>
    <cellStyle name="20% - Accent2 7 2 7" xfId="6703" xr:uid="{00000000-0005-0000-0000-000021180000}"/>
    <cellStyle name="20% - Accent2 7 2 7 2" xfId="18004" xr:uid="{00000000-0005-0000-0000-000022180000}"/>
    <cellStyle name="20% - Accent2 7 2 7 2 2" xfId="40606" xr:uid="{00000000-0005-0000-0000-000023180000}"/>
    <cellStyle name="20% - Accent2 7 2 7 3" xfId="29305" xr:uid="{00000000-0005-0000-0000-000024180000}"/>
    <cellStyle name="20% - Accent2 7 2 8" xfId="12354" xr:uid="{00000000-0005-0000-0000-000025180000}"/>
    <cellStyle name="20% - Accent2 7 2 8 2" xfId="34956" xr:uid="{00000000-0005-0000-0000-000026180000}"/>
    <cellStyle name="20% - Accent2 7 2 9" xfId="23655" xr:uid="{00000000-0005-0000-0000-000027180000}"/>
    <cellStyle name="20% - Accent2 7 3" xfId="1210" xr:uid="{00000000-0005-0000-0000-000028180000}"/>
    <cellStyle name="20% - Accent2 7 3 2" xfId="1626" xr:uid="{00000000-0005-0000-0000-000029180000}"/>
    <cellStyle name="20% - Accent2 7 3 2 2" xfId="3278" xr:uid="{00000000-0005-0000-0000-00002A180000}"/>
    <cellStyle name="20% - Accent2 7 3 2 2 2" xfId="6250" xr:uid="{00000000-0005-0000-0000-00002B180000}"/>
    <cellStyle name="20% - Accent2 7 3 2 2 2 2" xfId="11900" xr:uid="{00000000-0005-0000-0000-00002C180000}"/>
    <cellStyle name="20% - Accent2 7 3 2 2 2 2 2" xfId="23201" xr:uid="{00000000-0005-0000-0000-00002D180000}"/>
    <cellStyle name="20% - Accent2 7 3 2 2 2 2 2 2" xfId="45803" xr:uid="{00000000-0005-0000-0000-00002E180000}"/>
    <cellStyle name="20% - Accent2 7 3 2 2 2 2 3" xfId="34502" xr:uid="{00000000-0005-0000-0000-00002F180000}"/>
    <cellStyle name="20% - Accent2 7 3 2 2 2 3" xfId="17551" xr:uid="{00000000-0005-0000-0000-000030180000}"/>
    <cellStyle name="20% - Accent2 7 3 2 2 2 3 2" xfId="40153" xr:uid="{00000000-0005-0000-0000-000031180000}"/>
    <cellStyle name="20% - Accent2 7 3 2 2 2 4" xfId="28852" xr:uid="{00000000-0005-0000-0000-000032180000}"/>
    <cellStyle name="20% - Accent2 7 3 2 2 3" xfId="9068" xr:uid="{00000000-0005-0000-0000-000033180000}"/>
    <cellStyle name="20% - Accent2 7 3 2 2 3 2" xfId="20369" xr:uid="{00000000-0005-0000-0000-000034180000}"/>
    <cellStyle name="20% - Accent2 7 3 2 2 3 2 2" xfId="42971" xr:uid="{00000000-0005-0000-0000-000035180000}"/>
    <cellStyle name="20% - Accent2 7 3 2 2 3 3" xfId="31670" xr:uid="{00000000-0005-0000-0000-000036180000}"/>
    <cellStyle name="20% - Accent2 7 3 2 2 4" xfId="14719" xr:uid="{00000000-0005-0000-0000-000037180000}"/>
    <cellStyle name="20% - Accent2 7 3 2 2 4 2" xfId="37321" xr:uid="{00000000-0005-0000-0000-000038180000}"/>
    <cellStyle name="20% - Accent2 7 3 2 2 5" xfId="26020" xr:uid="{00000000-0005-0000-0000-000039180000}"/>
    <cellStyle name="20% - Accent2 7 3 2 3" xfId="5016" xr:uid="{00000000-0005-0000-0000-00003A180000}"/>
    <cellStyle name="20% - Accent2 7 3 2 3 2" xfId="10666" xr:uid="{00000000-0005-0000-0000-00003B180000}"/>
    <cellStyle name="20% - Accent2 7 3 2 3 2 2" xfId="21967" xr:uid="{00000000-0005-0000-0000-00003C180000}"/>
    <cellStyle name="20% - Accent2 7 3 2 3 2 2 2" xfId="44569" xr:uid="{00000000-0005-0000-0000-00003D180000}"/>
    <cellStyle name="20% - Accent2 7 3 2 3 2 3" xfId="33268" xr:uid="{00000000-0005-0000-0000-00003E180000}"/>
    <cellStyle name="20% - Accent2 7 3 2 3 3" xfId="16317" xr:uid="{00000000-0005-0000-0000-00003F180000}"/>
    <cellStyle name="20% - Accent2 7 3 2 3 3 2" xfId="38919" xr:uid="{00000000-0005-0000-0000-000040180000}"/>
    <cellStyle name="20% - Accent2 7 3 2 3 4" xfId="27618" xr:uid="{00000000-0005-0000-0000-000041180000}"/>
    <cellStyle name="20% - Accent2 7 3 2 4" xfId="7482" xr:uid="{00000000-0005-0000-0000-000042180000}"/>
    <cellStyle name="20% - Accent2 7 3 2 4 2" xfId="18783" xr:uid="{00000000-0005-0000-0000-000043180000}"/>
    <cellStyle name="20% - Accent2 7 3 2 4 2 2" xfId="41385" xr:uid="{00000000-0005-0000-0000-000044180000}"/>
    <cellStyle name="20% - Accent2 7 3 2 4 3" xfId="30084" xr:uid="{00000000-0005-0000-0000-000045180000}"/>
    <cellStyle name="20% - Accent2 7 3 2 5" xfId="13133" xr:uid="{00000000-0005-0000-0000-000046180000}"/>
    <cellStyle name="20% - Accent2 7 3 2 5 2" xfId="35735" xr:uid="{00000000-0005-0000-0000-000047180000}"/>
    <cellStyle name="20% - Accent2 7 3 2 6" xfId="24434" xr:uid="{00000000-0005-0000-0000-000048180000}"/>
    <cellStyle name="20% - Accent2 7 3 3" xfId="2607" xr:uid="{00000000-0005-0000-0000-000049180000}"/>
    <cellStyle name="20% - Accent2 7 3 3 2" xfId="5626" xr:uid="{00000000-0005-0000-0000-00004A180000}"/>
    <cellStyle name="20% - Accent2 7 3 3 2 2" xfId="11276" xr:uid="{00000000-0005-0000-0000-00004B180000}"/>
    <cellStyle name="20% - Accent2 7 3 3 2 2 2" xfId="22577" xr:uid="{00000000-0005-0000-0000-00004C180000}"/>
    <cellStyle name="20% - Accent2 7 3 3 2 2 2 2" xfId="45179" xr:uid="{00000000-0005-0000-0000-00004D180000}"/>
    <cellStyle name="20% - Accent2 7 3 3 2 2 3" xfId="33878" xr:uid="{00000000-0005-0000-0000-00004E180000}"/>
    <cellStyle name="20% - Accent2 7 3 3 2 3" xfId="16927" xr:uid="{00000000-0005-0000-0000-00004F180000}"/>
    <cellStyle name="20% - Accent2 7 3 3 2 3 2" xfId="39529" xr:uid="{00000000-0005-0000-0000-000050180000}"/>
    <cellStyle name="20% - Accent2 7 3 3 2 4" xfId="28228" xr:uid="{00000000-0005-0000-0000-000051180000}"/>
    <cellStyle name="20% - Accent2 7 3 3 3" xfId="8443" xr:uid="{00000000-0005-0000-0000-000052180000}"/>
    <cellStyle name="20% - Accent2 7 3 3 3 2" xfId="19744" xr:uid="{00000000-0005-0000-0000-000053180000}"/>
    <cellStyle name="20% - Accent2 7 3 3 3 2 2" xfId="42346" xr:uid="{00000000-0005-0000-0000-000054180000}"/>
    <cellStyle name="20% - Accent2 7 3 3 3 3" xfId="31045" xr:uid="{00000000-0005-0000-0000-000055180000}"/>
    <cellStyle name="20% - Accent2 7 3 3 4" xfId="14094" xr:uid="{00000000-0005-0000-0000-000056180000}"/>
    <cellStyle name="20% - Accent2 7 3 3 4 2" xfId="36696" xr:uid="{00000000-0005-0000-0000-000057180000}"/>
    <cellStyle name="20% - Accent2 7 3 3 5" xfId="25395" xr:uid="{00000000-0005-0000-0000-000058180000}"/>
    <cellStyle name="20% - Accent2 7 3 4" xfId="4392" xr:uid="{00000000-0005-0000-0000-000059180000}"/>
    <cellStyle name="20% - Accent2 7 3 4 2" xfId="10042" xr:uid="{00000000-0005-0000-0000-00005A180000}"/>
    <cellStyle name="20% - Accent2 7 3 4 2 2" xfId="21343" xr:uid="{00000000-0005-0000-0000-00005B180000}"/>
    <cellStyle name="20% - Accent2 7 3 4 2 2 2" xfId="43945" xr:uid="{00000000-0005-0000-0000-00005C180000}"/>
    <cellStyle name="20% - Accent2 7 3 4 2 3" xfId="32644" xr:uid="{00000000-0005-0000-0000-00005D180000}"/>
    <cellStyle name="20% - Accent2 7 3 4 3" xfId="15693" xr:uid="{00000000-0005-0000-0000-00005E180000}"/>
    <cellStyle name="20% - Accent2 7 3 4 3 2" xfId="38295" xr:uid="{00000000-0005-0000-0000-00005F180000}"/>
    <cellStyle name="20% - Accent2 7 3 4 4" xfId="26994" xr:uid="{00000000-0005-0000-0000-000060180000}"/>
    <cellStyle name="20% - Accent2 7 3 5" xfId="7189" xr:uid="{00000000-0005-0000-0000-000061180000}"/>
    <cellStyle name="20% - Accent2 7 3 5 2" xfId="18490" xr:uid="{00000000-0005-0000-0000-000062180000}"/>
    <cellStyle name="20% - Accent2 7 3 5 2 2" xfId="41092" xr:uid="{00000000-0005-0000-0000-000063180000}"/>
    <cellStyle name="20% - Accent2 7 3 5 3" xfId="29791" xr:uid="{00000000-0005-0000-0000-000064180000}"/>
    <cellStyle name="20% - Accent2 7 3 6" xfId="12840" xr:uid="{00000000-0005-0000-0000-000065180000}"/>
    <cellStyle name="20% - Accent2 7 3 6 2" xfId="35442" xr:uid="{00000000-0005-0000-0000-000066180000}"/>
    <cellStyle name="20% - Accent2 7 3 7" xfId="24141" xr:uid="{00000000-0005-0000-0000-000067180000}"/>
    <cellStyle name="20% - Accent2 7 4" xfId="901" xr:uid="{00000000-0005-0000-0000-000068180000}"/>
    <cellStyle name="20% - Accent2 7 4 2" xfId="2971" xr:uid="{00000000-0005-0000-0000-000069180000}"/>
    <cellStyle name="20% - Accent2 7 4 2 2" xfId="5943" xr:uid="{00000000-0005-0000-0000-00006A180000}"/>
    <cellStyle name="20% - Accent2 7 4 2 2 2" xfId="11593" xr:uid="{00000000-0005-0000-0000-00006B180000}"/>
    <cellStyle name="20% - Accent2 7 4 2 2 2 2" xfId="22894" xr:uid="{00000000-0005-0000-0000-00006C180000}"/>
    <cellStyle name="20% - Accent2 7 4 2 2 2 2 2" xfId="45496" xr:uid="{00000000-0005-0000-0000-00006D180000}"/>
    <cellStyle name="20% - Accent2 7 4 2 2 2 3" xfId="34195" xr:uid="{00000000-0005-0000-0000-00006E180000}"/>
    <cellStyle name="20% - Accent2 7 4 2 2 3" xfId="17244" xr:uid="{00000000-0005-0000-0000-00006F180000}"/>
    <cellStyle name="20% - Accent2 7 4 2 2 3 2" xfId="39846" xr:uid="{00000000-0005-0000-0000-000070180000}"/>
    <cellStyle name="20% - Accent2 7 4 2 2 4" xfId="28545" xr:uid="{00000000-0005-0000-0000-000071180000}"/>
    <cellStyle name="20% - Accent2 7 4 2 3" xfId="8761" xr:uid="{00000000-0005-0000-0000-000072180000}"/>
    <cellStyle name="20% - Accent2 7 4 2 3 2" xfId="20062" xr:uid="{00000000-0005-0000-0000-000073180000}"/>
    <cellStyle name="20% - Accent2 7 4 2 3 2 2" xfId="42664" xr:uid="{00000000-0005-0000-0000-000074180000}"/>
    <cellStyle name="20% - Accent2 7 4 2 3 3" xfId="31363" xr:uid="{00000000-0005-0000-0000-000075180000}"/>
    <cellStyle name="20% - Accent2 7 4 2 4" xfId="14412" xr:uid="{00000000-0005-0000-0000-000076180000}"/>
    <cellStyle name="20% - Accent2 7 4 2 4 2" xfId="37014" xr:uid="{00000000-0005-0000-0000-000077180000}"/>
    <cellStyle name="20% - Accent2 7 4 2 5" xfId="25713" xr:uid="{00000000-0005-0000-0000-000078180000}"/>
    <cellStyle name="20% - Accent2 7 4 3" xfId="4709" xr:uid="{00000000-0005-0000-0000-000079180000}"/>
    <cellStyle name="20% - Accent2 7 4 3 2" xfId="10359" xr:uid="{00000000-0005-0000-0000-00007A180000}"/>
    <cellStyle name="20% - Accent2 7 4 3 2 2" xfId="21660" xr:uid="{00000000-0005-0000-0000-00007B180000}"/>
    <cellStyle name="20% - Accent2 7 4 3 2 2 2" xfId="44262" xr:uid="{00000000-0005-0000-0000-00007C180000}"/>
    <cellStyle name="20% - Accent2 7 4 3 2 3" xfId="32961" xr:uid="{00000000-0005-0000-0000-00007D180000}"/>
    <cellStyle name="20% - Accent2 7 4 3 3" xfId="16010" xr:uid="{00000000-0005-0000-0000-00007E180000}"/>
    <cellStyle name="20% - Accent2 7 4 3 3 2" xfId="38612" xr:uid="{00000000-0005-0000-0000-00007F180000}"/>
    <cellStyle name="20% - Accent2 7 4 3 4" xfId="27311" xr:uid="{00000000-0005-0000-0000-000080180000}"/>
    <cellStyle name="20% - Accent2 7 4 4" xfId="6896" xr:uid="{00000000-0005-0000-0000-000081180000}"/>
    <cellStyle name="20% - Accent2 7 4 4 2" xfId="18197" xr:uid="{00000000-0005-0000-0000-000082180000}"/>
    <cellStyle name="20% - Accent2 7 4 4 2 2" xfId="40799" xr:uid="{00000000-0005-0000-0000-000083180000}"/>
    <cellStyle name="20% - Accent2 7 4 4 3" xfId="29498" xr:uid="{00000000-0005-0000-0000-000084180000}"/>
    <cellStyle name="20% - Accent2 7 4 5" xfId="12547" xr:uid="{00000000-0005-0000-0000-000085180000}"/>
    <cellStyle name="20% - Accent2 7 4 5 2" xfId="35149" xr:uid="{00000000-0005-0000-0000-000086180000}"/>
    <cellStyle name="20% - Accent2 7 4 6" xfId="23848" xr:uid="{00000000-0005-0000-0000-000087180000}"/>
    <cellStyle name="20% - Accent2 7 5" xfId="1623" xr:uid="{00000000-0005-0000-0000-000088180000}"/>
    <cellStyle name="20% - Accent2 7 5 2" xfId="3604" xr:uid="{00000000-0005-0000-0000-000089180000}"/>
    <cellStyle name="20% - Accent2 7 5 2 2" xfId="9318" xr:uid="{00000000-0005-0000-0000-00008A180000}"/>
    <cellStyle name="20% - Accent2 7 5 2 2 2" xfId="20619" xr:uid="{00000000-0005-0000-0000-00008B180000}"/>
    <cellStyle name="20% - Accent2 7 5 2 2 2 2" xfId="43221" xr:uid="{00000000-0005-0000-0000-00008C180000}"/>
    <cellStyle name="20% - Accent2 7 5 2 2 3" xfId="31920" xr:uid="{00000000-0005-0000-0000-00008D180000}"/>
    <cellStyle name="20% - Accent2 7 5 2 3" xfId="14969" xr:uid="{00000000-0005-0000-0000-00008E180000}"/>
    <cellStyle name="20% - Accent2 7 5 2 3 2" xfId="37571" xr:uid="{00000000-0005-0000-0000-00008F180000}"/>
    <cellStyle name="20% - Accent2 7 5 2 4" xfId="26270" xr:uid="{00000000-0005-0000-0000-000090180000}"/>
    <cellStyle name="20% - Accent2 7 5 3" xfId="5319" xr:uid="{00000000-0005-0000-0000-000091180000}"/>
    <cellStyle name="20% - Accent2 7 5 3 2" xfId="10969" xr:uid="{00000000-0005-0000-0000-000092180000}"/>
    <cellStyle name="20% - Accent2 7 5 3 2 2" xfId="22270" xr:uid="{00000000-0005-0000-0000-000093180000}"/>
    <cellStyle name="20% - Accent2 7 5 3 2 2 2" xfId="44872" xr:uid="{00000000-0005-0000-0000-000094180000}"/>
    <cellStyle name="20% - Accent2 7 5 3 2 3" xfId="33571" xr:uid="{00000000-0005-0000-0000-000095180000}"/>
    <cellStyle name="20% - Accent2 7 5 3 3" xfId="16620" xr:uid="{00000000-0005-0000-0000-000096180000}"/>
    <cellStyle name="20% - Accent2 7 5 3 3 2" xfId="39222" xr:uid="{00000000-0005-0000-0000-000097180000}"/>
    <cellStyle name="20% - Accent2 7 5 3 4" xfId="27921" xr:uid="{00000000-0005-0000-0000-000098180000}"/>
    <cellStyle name="20% - Accent2 7 5 4" xfId="7479" xr:uid="{00000000-0005-0000-0000-000099180000}"/>
    <cellStyle name="20% - Accent2 7 5 4 2" xfId="18780" xr:uid="{00000000-0005-0000-0000-00009A180000}"/>
    <cellStyle name="20% - Accent2 7 5 4 2 2" xfId="41382" xr:uid="{00000000-0005-0000-0000-00009B180000}"/>
    <cellStyle name="20% - Accent2 7 5 4 3" xfId="30081" xr:uid="{00000000-0005-0000-0000-00009C180000}"/>
    <cellStyle name="20% - Accent2 7 5 5" xfId="13130" xr:uid="{00000000-0005-0000-0000-00009D180000}"/>
    <cellStyle name="20% - Accent2 7 5 5 2" xfId="35732" xr:uid="{00000000-0005-0000-0000-00009E180000}"/>
    <cellStyle name="20% - Accent2 7 5 6" xfId="24431" xr:uid="{00000000-0005-0000-0000-00009F180000}"/>
    <cellStyle name="20% - Accent2 7 6" xfId="2298" xr:uid="{00000000-0005-0000-0000-0000A0180000}"/>
    <cellStyle name="20% - Accent2 7 6 2" xfId="8134" xr:uid="{00000000-0005-0000-0000-0000A1180000}"/>
    <cellStyle name="20% - Accent2 7 6 2 2" xfId="19435" xr:uid="{00000000-0005-0000-0000-0000A2180000}"/>
    <cellStyle name="20% - Accent2 7 6 2 2 2" xfId="42037" xr:uid="{00000000-0005-0000-0000-0000A3180000}"/>
    <cellStyle name="20% - Accent2 7 6 2 3" xfId="30736" xr:uid="{00000000-0005-0000-0000-0000A4180000}"/>
    <cellStyle name="20% - Accent2 7 6 3" xfId="13785" xr:uid="{00000000-0005-0000-0000-0000A5180000}"/>
    <cellStyle name="20% - Accent2 7 6 3 2" xfId="36387" xr:uid="{00000000-0005-0000-0000-0000A6180000}"/>
    <cellStyle name="20% - Accent2 7 6 4" xfId="25086" xr:uid="{00000000-0005-0000-0000-0000A7180000}"/>
    <cellStyle name="20% - Accent2 7 7" xfId="4085" xr:uid="{00000000-0005-0000-0000-0000A8180000}"/>
    <cellStyle name="20% - Accent2 7 7 2" xfId="9735" xr:uid="{00000000-0005-0000-0000-0000A9180000}"/>
    <cellStyle name="20% - Accent2 7 7 2 2" xfId="21036" xr:uid="{00000000-0005-0000-0000-0000AA180000}"/>
    <cellStyle name="20% - Accent2 7 7 2 2 2" xfId="43638" xr:uid="{00000000-0005-0000-0000-0000AB180000}"/>
    <cellStyle name="20% - Accent2 7 7 2 3" xfId="32337" xr:uid="{00000000-0005-0000-0000-0000AC180000}"/>
    <cellStyle name="20% - Accent2 7 7 3" xfId="15386" xr:uid="{00000000-0005-0000-0000-0000AD180000}"/>
    <cellStyle name="20% - Accent2 7 7 3 2" xfId="37988" xr:uid="{00000000-0005-0000-0000-0000AE180000}"/>
    <cellStyle name="20% - Accent2 7 7 4" xfId="26687" xr:uid="{00000000-0005-0000-0000-0000AF180000}"/>
    <cellStyle name="20% - Accent2 7 8" xfId="6536" xr:uid="{00000000-0005-0000-0000-0000B0180000}"/>
    <cellStyle name="20% - Accent2 7 8 2" xfId="17837" xr:uid="{00000000-0005-0000-0000-0000B1180000}"/>
    <cellStyle name="20% - Accent2 7 8 2 2" xfId="40439" xr:uid="{00000000-0005-0000-0000-0000B2180000}"/>
    <cellStyle name="20% - Accent2 7 8 3" xfId="29138" xr:uid="{00000000-0005-0000-0000-0000B3180000}"/>
    <cellStyle name="20% - Accent2 7 9" xfId="12187" xr:uid="{00000000-0005-0000-0000-0000B4180000}"/>
    <cellStyle name="20% - Accent2 7 9 2" xfId="34789" xr:uid="{00000000-0005-0000-0000-0000B5180000}"/>
    <cellStyle name="20% - Accent2 8" xfId="496" xr:uid="{00000000-0005-0000-0000-0000B6180000}"/>
    <cellStyle name="20% - Accent2 8 2" xfId="1267" xr:uid="{00000000-0005-0000-0000-0000B7180000}"/>
    <cellStyle name="20% - Accent2 8 2 2" xfId="1628" xr:uid="{00000000-0005-0000-0000-0000B8180000}"/>
    <cellStyle name="20% - Accent2 8 2 2 2" xfId="3336" xr:uid="{00000000-0005-0000-0000-0000B9180000}"/>
    <cellStyle name="20% - Accent2 8 2 2 2 2" xfId="6308" xr:uid="{00000000-0005-0000-0000-0000BA180000}"/>
    <cellStyle name="20% - Accent2 8 2 2 2 2 2" xfId="11958" xr:uid="{00000000-0005-0000-0000-0000BB180000}"/>
    <cellStyle name="20% - Accent2 8 2 2 2 2 2 2" xfId="23259" xr:uid="{00000000-0005-0000-0000-0000BC180000}"/>
    <cellStyle name="20% - Accent2 8 2 2 2 2 2 2 2" xfId="45861" xr:uid="{00000000-0005-0000-0000-0000BD180000}"/>
    <cellStyle name="20% - Accent2 8 2 2 2 2 2 3" xfId="34560" xr:uid="{00000000-0005-0000-0000-0000BE180000}"/>
    <cellStyle name="20% - Accent2 8 2 2 2 2 3" xfId="17609" xr:uid="{00000000-0005-0000-0000-0000BF180000}"/>
    <cellStyle name="20% - Accent2 8 2 2 2 2 3 2" xfId="40211" xr:uid="{00000000-0005-0000-0000-0000C0180000}"/>
    <cellStyle name="20% - Accent2 8 2 2 2 2 4" xfId="28910" xr:uid="{00000000-0005-0000-0000-0000C1180000}"/>
    <cellStyle name="20% - Accent2 8 2 2 2 3" xfId="9126" xr:uid="{00000000-0005-0000-0000-0000C2180000}"/>
    <cellStyle name="20% - Accent2 8 2 2 2 3 2" xfId="20427" xr:uid="{00000000-0005-0000-0000-0000C3180000}"/>
    <cellStyle name="20% - Accent2 8 2 2 2 3 2 2" xfId="43029" xr:uid="{00000000-0005-0000-0000-0000C4180000}"/>
    <cellStyle name="20% - Accent2 8 2 2 2 3 3" xfId="31728" xr:uid="{00000000-0005-0000-0000-0000C5180000}"/>
    <cellStyle name="20% - Accent2 8 2 2 2 4" xfId="14777" xr:uid="{00000000-0005-0000-0000-0000C6180000}"/>
    <cellStyle name="20% - Accent2 8 2 2 2 4 2" xfId="37379" xr:uid="{00000000-0005-0000-0000-0000C7180000}"/>
    <cellStyle name="20% - Accent2 8 2 2 2 5" xfId="26078" xr:uid="{00000000-0005-0000-0000-0000C8180000}"/>
    <cellStyle name="20% - Accent2 8 2 2 3" xfId="5074" xr:uid="{00000000-0005-0000-0000-0000C9180000}"/>
    <cellStyle name="20% - Accent2 8 2 2 3 2" xfId="10724" xr:uid="{00000000-0005-0000-0000-0000CA180000}"/>
    <cellStyle name="20% - Accent2 8 2 2 3 2 2" xfId="22025" xr:uid="{00000000-0005-0000-0000-0000CB180000}"/>
    <cellStyle name="20% - Accent2 8 2 2 3 2 2 2" xfId="44627" xr:uid="{00000000-0005-0000-0000-0000CC180000}"/>
    <cellStyle name="20% - Accent2 8 2 2 3 2 3" xfId="33326" xr:uid="{00000000-0005-0000-0000-0000CD180000}"/>
    <cellStyle name="20% - Accent2 8 2 2 3 3" xfId="16375" xr:uid="{00000000-0005-0000-0000-0000CE180000}"/>
    <cellStyle name="20% - Accent2 8 2 2 3 3 2" xfId="38977" xr:uid="{00000000-0005-0000-0000-0000CF180000}"/>
    <cellStyle name="20% - Accent2 8 2 2 3 4" xfId="27676" xr:uid="{00000000-0005-0000-0000-0000D0180000}"/>
    <cellStyle name="20% - Accent2 8 2 2 4" xfId="7484" xr:uid="{00000000-0005-0000-0000-0000D1180000}"/>
    <cellStyle name="20% - Accent2 8 2 2 4 2" xfId="18785" xr:uid="{00000000-0005-0000-0000-0000D2180000}"/>
    <cellStyle name="20% - Accent2 8 2 2 4 2 2" xfId="41387" xr:uid="{00000000-0005-0000-0000-0000D3180000}"/>
    <cellStyle name="20% - Accent2 8 2 2 4 3" xfId="30086" xr:uid="{00000000-0005-0000-0000-0000D4180000}"/>
    <cellStyle name="20% - Accent2 8 2 2 5" xfId="13135" xr:uid="{00000000-0005-0000-0000-0000D5180000}"/>
    <cellStyle name="20% - Accent2 8 2 2 5 2" xfId="35737" xr:uid="{00000000-0005-0000-0000-0000D6180000}"/>
    <cellStyle name="20% - Accent2 8 2 2 6" xfId="24436" xr:uid="{00000000-0005-0000-0000-0000D7180000}"/>
    <cellStyle name="20% - Accent2 8 2 3" xfId="2665" xr:uid="{00000000-0005-0000-0000-0000D8180000}"/>
    <cellStyle name="20% - Accent2 8 2 3 2" xfId="5684" xr:uid="{00000000-0005-0000-0000-0000D9180000}"/>
    <cellStyle name="20% - Accent2 8 2 3 2 2" xfId="11334" xr:uid="{00000000-0005-0000-0000-0000DA180000}"/>
    <cellStyle name="20% - Accent2 8 2 3 2 2 2" xfId="22635" xr:uid="{00000000-0005-0000-0000-0000DB180000}"/>
    <cellStyle name="20% - Accent2 8 2 3 2 2 2 2" xfId="45237" xr:uid="{00000000-0005-0000-0000-0000DC180000}"/>
    <cellStyle name="20% - Accent2 8 2 3 2 2 3" xfId="33936" xr:uid="{00000000-0005-0000-0000-0000DD180000}"/>
    <cellStyle name="20% - Accent2 8 2 3 2 3" xfId="16985" xr:uid="{00000000-0005-0000-0000-0000DE180000}"/>
    <cellStyle name="20% - Accent2 8 2 3 2 3 2" xfId="39587" xr:uid="{00000000-0005-0000-0000-0000DF180000}"/>
    <cellStyle name="20% - Accent2 8 2 3 2 4" xfId="28286" xr:uid="{00000000-0005-0000-0000-0000E0180000}"/>
    <cellStyle name="20% - Accent2 8 2 3 3" xfId="8501" xr:uid="{00000000-0005-0000-0000-0000E1180000}"/>
    <cellStyle name="20% - Accent2 8 2 3 3 2" xfId="19802" xr:uid="{00000000-0005-0000-0000-0000E2180000}"/>
    <cellStyle name="20% - Accent2 8 2 3 3 2 2" xfId="42404" xr:uid="{00000000-0005-0000-0000-0000E3180000}"/>
    <cellStyle name="20% - Accent2 8 2 3 3 3" xfId="31103" xr:uid="{00000000-0005-0000-0000-0000E4180000}"/>
    <cellStyle name="20% - Accent2 8 2 3 4" xfId="14152" xr:uid="{00000000-0005-0000-0000-0000E5180000}"/>
    <cellStyle name="20% - Accent2 8 2 3 4 2" xfId="36754" xr:uid="{00000000-0005-0000-0000-0000E6180000}"/>
    <cellStyle name="20% - Accent2 8 2 3 5" xfId="25453" xr:uid="{00000000-0005-0000-0000-0000E7180000}"/>
    <cellStyle name="20% - Accent2 8 2 4" xfId="4450" xr:uid="{00000000-0005-0000-0000-0000E8180000}"/>
    <cellStyle name="20% - Accent2 8 2 4 2" xfId="10100" xr:uid="{00000000-0005-0000-0000-0000E9180000}"/>
    <cellStyle name="20% - Accent2 8 2 4 2 2" xfId="21401" xr:uid="{00000000-0005-0000-0000-0000EA180000}"/>
    <cellStyle name="20% - Accent2 8 2 4 2 2 2" xfId="44003" xr:uid="{00000000-0005-0000-0000-0000EB180000}"/>
    <cellStyle name="20% - Accent2 8 2 4 2 3" xfId="32702" xr:uid="{00000000-0005-0000-0000-0000EC180000}"/>
    <cellStyle name="20% - Accent2 8 2 4 3" xfId="15751" xr:uid="{00000000-0005-0000-0000-0000ED180000}"/>
    <cellStyle name="20% - Accent2 8 2 4 3 2" xfId="38353" xr:uid="{00000000-0005-0000-0000-0000EE180000}"/>
    <cellStyle name="20% - Accent2 8 2 4 4" xfId="27052" xr:uid="{00000000-0005-0000-0000-0000EF180000}"/>
    <cellStyle name="20% - Accent2 8 2 5" xfId="7246" xr:uid="{00000000-0005-0000-0000-0000F0180000}"/>
    <cellStyle name="20% - Accent2 8 2 5 2" xfId="18547" xr:uid="{00000000-0005-0000-0000-0000F1180000}"/>
    <cellStyle name="20% - Accent2 8 2 5 2 2" xfId="41149" xr:uid="{00000000-0005-0000-0000-0000F2180000}"/>
    <cellStyle name="20% - Accent2 8 2 5 3" xfId="29848" xr:uid="{00000000-0005-0000-0000-0000F3180000}"/>
    <cellStyle name="20% - Accent2 8 2 6" xfId="12897" xr:uid="{00000000-0005-0000-0000-0000F4180000}"/>
    <cellStyle name="20% - Accent2 8 2 6 2" xfId="35499" xr:uid="{00000000-0005-0000-0000-0000F5180000}"/>
    <cellStyle name="20% - Accent2 8 2 7" xfId="24198" xr:uid="{00000000-0005-0000-0000-0000F6180000}"/>
    <cellStyle name="20% - Accent2 8 3" xfId="964" xr:uid="{00000000-0005-0000-0000-0000F7180000}"/>
    <cellStyle name="20% - Accent2 8 3 2" xfId="3028" xr:uid="{00000000-0005-0000-0000-0000F8180000}"/>
    <cellStyle name="20% - Accent2 8 3 2 2" xfId="6000" xr:uid="{00000000-0005-0000-0000-0000F9180000}"/>
    <cellStyle name="20% - Accent2 8 3 2 2 2" xfId="11650" xr:uid="{00000000-0005-0000-0000-0000FA180000}"/>
    <cellStyle name="20% - Accent2 8 3 2 2 2 2" xfId="22951" xr:uid="{00000000-0005-0000-0000-0000FB180000}"/>
    <cellStyle name="20% - Accent2 8 3 2 2 2 2 2" xfId="45553" xr:uid="{00000000-0005-0000-0000-0000FC180000}"/>
    <cellStyle name="20% - Accent2 8 3 2 2 2 3" xfId="34252" xr:uid="{00000000-0005-0000-0000-0000FD180000}"/>
    <cellStyle name="20% - Accent2 8 3 2 2 3" xfId="17301" xr:uid="{00000000-0005-0000-0000-0000FE180000}"/>
    <cellStyle name="20% - Accent2 8 3 2 2 3 2" xfId="39903" xr:uid="{00000000-0005-0000-0000-0000FF180000}"/>
    <cellStyle name="20% - Accent2 8 3 2 2 4" xfId="28602" xr:uid="{00000000-0005-0000-0000-000000190000}"/>
    <cellStyle name="20% - Accent2 8 3 2 3" xfId="8818" xr:uid="{00000000-0005-0000-0000-000001190000}"/>
    <cellStyle name="20% - Accent2 8 3 2 3 2" xfId="20119" xr:uid="{00000000-0005-0000-0000-000002190000}"/>
    <cellStyle name="20% - Accent2 8 3 2 3 2 2" xfId="42721" xr:uid="{00000000-0005-0000-0000-000003190000}"/>
    <cellStyle name="20% - Accent2 8 3 2 3 3" xfId="31420" xr:uid="{00000000-0005-0000-0000-000004190000}"/>
    <cellStyle name="20% - Accent2 8 3 2 4" xfId="14469" xr:uid="{00000000-0005-0000-0000-000005190000}"/>
    <cellStyle name="20% - Accent2 8 3 2 4 2" xfId="37071" xr:uid="{00000000-0005-0000-0000-000006190000}"/>
    <cellStyle name="20% - Accent2 8 3 2 5" xfId="25770" xr:uid="{00000000-0005-0000-0000-000007190000}"/>
    <cellStyle name="20% - Accent2 8 3 3" xfId="4766" xr:uid="{00000000-0005-0000-0000-000008190000}"/>
    <cellStyle name="20% - Accent2 8 3 3 2" xfId="10416" xr:uid="{00000000-0005-0000-0000-000009190000}"/>
    <cellStyle name="20% - Accent2 8 3 3 2 2" xfId="21717" xr:uid="{00000000-0005-0000-0000-00000A190000}"/>
    <cellStyle name="20% - Accent2 8 3 3 2 2 2" xfId="44319" xr:uid="{00000000-0005-0000-0000-00000B190000}"/>
    <cellStyle name="20% - Accent2 8 3 3 2 3" xfId="33018" xr:uid="{00000000-0005-0000-0000-00000C190000}"/>
    <cellStyle name="20% - Accent2 8 3 3 3" xfId="16067" xr:uid="{00000000-0005-0000-0000-00000D190000}"/>
    <cellStyle name="20% - Accent2 8 3 3 3 2" xfId="38669" xr:uid="{00000000-0005-0000-0000-00000E190000}"/>
    <cellStyle name="20% - Accent2 8 3 3 4" xfId="27368" xr:uid="{00000000-0005-0000-0000-00000F190000}"/>
    <cellStyle name="20% - Accent2 8 3 4" xfId="6953" xr:uid="{00000000-0005-0000-0000-000010190000}"/>
    <cellStyle name="20% - Accent2 8 3 4 2" xfId="18254" xr:uid="{00000000-0005-0000-0000-000011190000}"/>
    <cellStyle name="20% - Accent2 8 3 4 2 2" xfId="40856" xr:uid="{00000000-0005-0000-0000-000012190000}"/>
    <cellStyle name="20% - Accent2 8 3 4 3" xfId="29555" xr:uid="{00000000-0005-0000-0000-000013190000}"/>
    <cellStyle name="20% - Accent2 8 3 5" xfId="12604" xr:uid="{00000000-0005-0000-0000-000014190000}"/>
    <cellStyle name="20% - Accent2 8 3 5 2" xfId="35206" xr:uid="{00000000-0005-0000-0000-000015190000}"/>
    <cellStyle name="20% - Accent2 8 3 6" xfId="23905" xr:uid="{00000000-0005-0000-0000-000016190000}"/>
    <cellStyle name="20% - Accent2 8 4" xfId="1627" xr:uid="{00000000-0005-0000-0000-000017190000}"/>
    <cellStyle name="20% - Accent2 8 4 2" xfId="3606" xr:uid="{00000000-0005-0000-0000-000018190000}"/>
    <cellStyle name="20% - Accent2 8 4 2 2" xfId="9320" xr:uid="{00000000-0005-0000-0000-000019190000}"/>
    <cellStyle name="20% - Accent2 8 4 2 2 2" xfId="20621" xr:uid="{00000000-0005-0000-0000-00001A190000}"/>
    <cellStyle name="20% - Accent2 8 4 2 2 2 2" xfId="43223" xr:uid="{00000000-0005-0000-0000-00001B190000}"/>
    <cellStyle name="20% - Accent2 8 4 2 2 3" xfId="31922" xr:uid="{00000000-0005-0000-0000-00001C190000}"/>
    <cellStyle name="20% - Accent2 8 4 2 3" xfId="14971" xr:uid="{00000000-0005-0000-0000-00001D190000}"/>
    <cellStyle name="20% - Accent2 8 4 2 3 2" xfId="37573" xr:uid="{00000000-0005-0000-0000-00001E190000}"/>
    <cellStyle name="20% - Accent2 8 4 2 4" xfId="26272" xr:uid="{00000000-0005-0000-0000-00001F190000}"/>
    <cellStyle name="20% - Accent2 8 4 3" xfId="5376" xr:uid="{00000000-0005-0000-0000-000020190000}"/>
    <cellStyle name="20% - Accent2 8 4 3 2" xfId="11026" xr:uid="{00000000-0005-0000-0000-000021190000}"/>
    <cellStyle name="20% - Accent2 8 4 3 2 2" xfId="22327" xr:uid="{00000000-0005-0000-0000-000022190000}"/>
    <cellStyle name="20% - Accent2 8 4 3 2 2 2" xfId="44929" xr:uid="{00000000-0005-0000-0000-000023190000}"/>
    <cellStyle name="20% - Accent2 8 4 3 2 3" xfId="33628" xr:uid="{00000000-0005-0000-0000-000024190000}"/>
    <cellStyle name="20% - Accent2 8 4 3 3" xfId="16677" xr:uid="{00000000-0005-0000-0000-000025190000}"/>
    <cellStyle name="20% - Accent2 8 4 3 3 2" xfId="39279" xr:uid="{00000000-0005-0000-0000-000026190000}"/>
    <cellStyle name="20% - Accent2 8 4 3 4" xfId="27978" xr:uid="{00000000-0005-0000-0000-000027190000}"/>
    <cellStyle name="20% - Accent2 8 4 4" xfId="7483" xr:uid="{00000000-0005-0000-0000-000028190000}"/>
    <cellStyle name="20% - Accent2 8 4 4 2" xfId="18784" xr:uid="{00000000-0005-0000-0000-000029190000}"/>
    <cellStyle name="20% - Accent2 8 4 4 2 2" xfId="41386" xr:uid="{00000000-0005-0000-0000-00002A190000}"/>
    <cellStyle name="20% - Accent2 8 4 4 3" xfId="30085" xr:uid="{00000000-0005-0000-0000-00002B190000}"/>
    <cellStyle name="20% - Accent2 8 4 5" xfId="13134" xr:uid="{00000000-0005-0000-0000-00002C190000}"/>
    <cellStyle name="20% - Accent2 8 4 5 2" xfId="35736" xr:uid="{00000000-0005-0000-0000-00002D190000}"/>
    <cellStyle name="20% - Accent2 8 4 6" xfId="24435" xr:uid="{00000000-0005-0000-0000-00002E190000}"/>
    <cellStyle name="20% - Accent2 8 5" xfId="2357" xr:uid="{00000000-0005-0000-0000-00002F190000}"/>
    <cellStyle name="20% - Accent2 8 5 2" xfId="8193" xr:uid="{00000000-0005-0000-0000-000030190000}"/>
    <cellStyle name="20% - Accent2 8 5 2 2" xfId="19494" xr:uid="{00000000-0005-0000-0000-000031190000}"/>
    <cellStyle name="20% - Accent2 8 5 2 2 2" xfId="42096" xr:uid="{00000000-0005-0000-0000-000032190000}"/>
    <cellStyle name="20% - Accent2 8 5 2 3" xfId="30795" xr:uid="{00000000-0005-0000-0000-000033190000}"/>
    <cellStyle name="20% - Accent2 8 5 3" xfId="13844" xr:uid="{00000000-0005-0000-0000-000034190000}"/>
    <cellStyle name="20% - Accent2 8 5 3 2" xfId="36446" xr:uid="{00000000-0005-0000-0000-000035190000}"/>
    <cellStyle name="20% - Accent2 8 5 4" xfId="25145" xr:uid="{00000000-0005-0000-0000-000036190000}"/>
    <cellStyle name="20% - Accent2 8 6" xfId="4142" xr:uid="{00000000-0005-0000-0000-000037190000}"/>
    <cellStyle name="20% - Accent2 8 6 2" xfId="9792" xr:uid="{00000000-0005-0000-0000-000038190000}"/>
    <cellStyle name="20% - Accent2 8 6 2 2" xfId="21093" xr:uid="{00000000-0005-0000-0000-000039190000}"/>
    <cellStyle name="20% - Accent2 8 6 2 2 2" xfId="43695" xr:uid="{00000000-0005-0000-0000-00003A190000}"/>
    <cellStyle name="20% - Accent2 8 6 2 3" xfId="32394" xr:uid="{00000000-0005-0000-0000-00003B190000}"/>
    <cellStyle name="20% - Accent2 8 6 3" xfId="15443" xr:uid="{00000000-0005-0000-0000-00003C190000}"/>
    <cellStyle name="20% - Accent2 8 6 3 2" xfId="38045" xr:uid="{00000000-0005-0000-0000-00003D190000}"/>
    <cellStyle name="20% - Accent2 8 6 4" xfId="26744" xr:uid="{00000000-0005-0000-0000-00003E190000}"/>
    <cellStyle name="20% - Accent2 8 7" xfId="6593" xr:uid="{00000000-0005-0000-0000-00003F190000}"/>
    <cellStyle name="20% - Accent2 8 7 2" xfId="17894" xr:uid="{00000000-0005-0000-0000-000040190000}"/>
    <cellStyle name="20% - Accent2 8 7 2 2" xfId="40496" xr:uid="{00000000-0005-0000-0000-000041190000}"/>
    <cellStyle name="20% - Accent2 8 7 3" xfId="29195" xr:uid="{00000000-0005-0000-0000-000042190000}"/>
    <cellStyle name="20% - Accent2 8 8" xfId="12244" xr:uid="{00000000-0005-0000-0000-000043190000}"/>
    <cellStyle name="20% - Accent2 8 8 2" xfId="34846" xr:uid="{00000000-0005-0000-0000-000044190000}"/>
    <cellStyle name="20% - Accent2 8 9" xfId="23545" xr:uid="{00000000-0005-0000-0000-000045190000}"/>
    <cellStyle name="20% - Accent2 9" xfId="698" xr:uid="{00000000-0005-0000-0000-000046190000}"/>
    <cellStyle name="20% - Accent2 9 2" xfId="755" xr:uid="{00000000-0005-0000-0000-000047190000}"/>
    <cellStyle name="20% - Accent2 9 2 2" xfId="3168" xr:uid="{00000000-0005-0000-0000-000048190000}"/>
    <cellStyle name="20% - Accent2 9 2 2 2" xfId="6140" xr:uid="{00000000-0005-0000-0000-000049190000}"/>
    <cellStyle name="20% - Accent2 9 2 2 2 2" xfId="11790" xr:uid="{00000000-0005-0000-0000-00004A190000}"/>
    <cellStyle name="20% - Accent2 9 2 2 2 2 2" xfId="23091" xr:uid="{00000000-0005-0000-0000-00004B190000}"/>
    <cellStyle name="20% - Accent2 9 2 2 2 2 2 2" xfId="45693" xr:uid="{00000000-0005-0000-0000-00004C190000}"/>
    <cellStyle name="20% - Accent2 9 2 2 2 2 3" xfId="34392" xr:uid="{00000000-0005-0000-0000-00004D190000}"/>
    <cellStyle name="20% - Accent2 9 2 2 2 3" xfId="17441" xr:uid="{00000000-0005-0000-0000-00004E190000}"/>
    <cellStyle name="20% - Accent2 9 2 2 2 3 2" xfId="40043" xr:uid="{00000000-0005-0000-0000-00004F190000}"/>
    <cellStyle name="20% - Accent2 9 2 2 2 4" xfId="28742" xr:uid="{00000000-0005-0000-0000-000050190000}"/>
    <cellStyle name="20% - Accent2 9 2 2 3" xfId="8958" xr:uid="{00000000-0005-0000-0000-000051190000}"/>
    <cellStyle name="20% - Accent2 9 2 2 3 2" xfId="20259" xr:uid="{00000000-0005-0000-0000-000052190000}"/>
    <cellStyle name="20% - Accent2 9 2 2 3 2 2" xfId="42861" xr:uid="{00000000-0005-0000-0000-000053190000}"/>
    <cellStyle name="20% - Accent2 9 2 2 3 3" xfId="31560" xr:uid="{00000000-0005-0000-0000-000054190000}"/>
    <cellStyle name="20% - Accent2 9 2 2 4" xfId="14609" xr:uid="{00000000-0005-0000-0000-000055190000}"/>
    <cellStyle name="20% - Accent2 9 2 2 4 2" xfId="37211" xr:uid="{00000000-0005-0000-0000-000056190000}"/>
    <cellStyle name="20% - Accent2 9 2 2 5" xfId="25910" xr:uid="{00000000-0005-0000-0000-000057190000}"/>
    <cellStyle name="20% - Accent2 9 2 3" xfId="4906" xr:uid="{00000000-0005-0000-0000-000058190000}"/>
    <cellStyle name="20% - Accent2 9 2 3 2" xfId="10556" xr:uid="{00000000-0005-0000-0000-000059190000}"/>
    <cellStyle name="20% - Accent2 9 2 3 2 2" xfId="21857" xr:uid="{00000000-0005-0000-0000-00005A190000}"/>
    <cellStyle name="20% - Accent2 9 2 3 2 2 2" xfId="44459" xr:uid="{00000000-0005-0000-0000-00005B190000}"/>
    <cellStyle name="20% - Accent2 9 2 3 2 3" xfId="33158" xr:uid="{00000000-0005-0000-0000-00005C190000}"/>
    <cellStyle name="20% - Accent2 9 2 3 3" xfId="16207" xr:uid="{00000000-0005-0000-0000-00005D190000}"/>
    <cellStyle name="20% - Accent2 9 2 3 3 2" xfId="38809" xr:uid="{00000000-0005-0000-0000-00005E190000}"/>
    <cellStyle name="20% - Accent2 9 2 3 4" xfId="27508" xr:uid="{00000000-0005-0000-0000-00005F190000}"/>
    <cellStyle name="20% - Accent2 9 2 4" xfId="6782" xr:uid="{00000000-0005-0000-0000-000060190000}"/>
    <cellStyle name="20% - Accent2 9 2 4 2" xfId="18083" xr:uid="{00000000-0005-0000-0000-000061190000}"/>
    <cellStyle name="20% - Accent2 9 2 4 2 2" xfId="40685" xr:uid="{00000000-0005-0000-0000-000062190000}"/>
    <cellStyle name="20% - Accent2 9 2 4 3" xfId="29384" xr:uid="{00000000-0005-0000-0000-000063190000}"/>
    <cellStyle name="20% - Accent2 9 2 5" xfId="12433" xr:uid="{00000000-0005-0000-0000-000064190000}"/>
    <cellStyle name="20% - Accent2 9 2 5 2" xfId="35035" xr:uid="{00000000-0005-0000-0000-000065190000}"/>
    <cellStyle name="20% - Accent2 9 2 6" xfId="23734" xr:uid="{00000000-0005-0000-0000-000066190000}"/>
    <cellStyle name="20% - Accent2 9 3" xfId="1629" xr:uid="{00000000-0005-0000-0000-000067190000}"/>
    <cellStyle name="20% - Accent2 9 3 2" xfId="3607" xr:uid="{00000000-0005-0000-0000-000068190000}"/>
    <cellStyle name="20% - Accent2 9 3 2 2" xfId="9321" xr:uid="{00000000-0005-0000-0000-000069190000}"/>
    <cellStyle name="20% - Accent2 9 3 2 2 2" xfId="20622" xr:uid="{00000000-0005-0000-0000-00006A190000}"/>
    <cellStyle name="20% - Accent2 9 3 2 2 2 2" xfId="43224" xr:uid="{00000000-0005-0000-0000-00006B190000}"/>
    <cellStyle name="20% - Accent2 9 3 2 2 3" xfId="31923" xr:uid="{00000000-0005-0000-0000-00006C190000}"/>
    <cellStyle name="20% - Accent2 9 3 2 3" xfId="14972" xr:uid="{00000000-0005-0000-0000-00006D190000}"/>
    <cellStyle name="20% - Accent2 9 3 2 3 2" xfId="37574" xr:uid="{00000000-0005-0000-0000-00006E190000}"/>
    <cellStyle name="20% - Accent2 9 3 2 4" xfId="26273" xr:uid="{00000000-0005-0000-0000-00006F190000}"/>
    <cellStyle name="20% - Accent2 9 3 3" xfId="5516" xr:uid="{00000000-0005-0000-0000-000070190000}"/>
    <cellStyle name="20% - Accent2 9 3 3 2" xfId="11166" xr:uid="{00000000-0005-0000-0000-000071190000}"/>
    <cellStyle name="20% - Accent2 9 3 3 2 2" xfId="22467" xr:uid="{00000000-0005-0000-0000-000072190000}"/>
    <cellStyle name="20% - Accent2 9 3 3 2 2 2" xfId="45069" xr:uid="{00000000-0005-0000-0000-000073190000}"/>
    <cellStyle name="20% - Accent2 9 3 3 2 3" xfId="33768" xr:uid="{00000000-0005-0000-0000-000074190000}"/>
    <cellStyle name="20% - Accent2 9 3 3 3" xfId="16817" xr:uid="{00000000-0005-0000-0000-000075190000}"/>
    <cellStyle name="20% - Accent2 9 3 3 3 2" xfId="39419" xr:uid="{00000000-0005-0000-0000-000076190000}"/>
    <cellStyle name="20% - Accent2 9 3 3 4" xfId="28118" xr:uid="{00000000-0005-0000-0000-000077190000}"/>
    <cellStyle name="20% - Accent2 9 3 4" xfId="7485" xr:uid="{00000000-0005-0000-0000-000078190000}"/>
    <cellStyle name="20% - Accent2 9 3 4 2" xfId="18786" xr:uid="{00000000-0005-0000-0000-000079190000}"/>
    <cellStyle name="20% - Accent2 9 3 4 2 2" xfId="41388" xr:uid="{00000000-0005-0000-0000-00007A190000}"/>
    <cellStyle name="20% - Accent2 9 3 4 3" xfId="30087" xr:uid="{00000000-0005-0000-0000-00007B190000}"/>
    <cellStyle name="20% - Accent2 9 3 5" xfId="13136" xr:uid="{00000000-0005-0000-0000-00007C190000}"/>
    <cellStyle name="20% - Accent2 9 3 5 2" xfId="35738" xr:uid="{00000000-0005-0000-0000-00007D190000}"/>
    <cellStyle name="20% - Accent2 9 3 6" xfId="24437" xr:uid="{00000000-0005-0000-0000-00007E190000}"/>
    <cellStyle name="20% - Accent2 9 4" xfId="2497" xr:uid="{00000000-0005-0000-0000-00007F190000}"/>
    <cellStyle name="20% - Accent2 9 4 2" xfId="8333" xr:uid="{00000000-0005-0000-0000-000080190000}"/>
    <cellStyle name="20% - Accent2 9 4 2 2" xfId="19634" xr:uid="{00000000-0005-0000-0000-000081190000}"/>
    <cellStyle name="20% - Accent2 9 4 2 2 2" xfId="42236" xr:uid="{00000000-0005-0000-0000-000082190000}"/>
    <cellStyle name="20% - Accent2 9 4 2 3" xfId="30935" xr:uid="{00000000-0005-0000-0000-000083190000}"/>
    <cellStyle name="20% - Accent2 9 4 3" xfId="13984" xr:uid="{00000000-0005-0000-0000-000084190000}"/>
    <cellStyle name="20% - Accent2 9 4 3 2" xfId="36586" xr:uid="{00000000-0005-0000-0000-000085190000}"/>
    <cellStyle name="20% - Accent2 9 4 4" xfId="25285" xr:uid="{00000000-0005-0000-0000-000086190000}"/>
    <cellStyle name="20% - Accent2 9 5" xfId="4282" xr:uid="{00000000-0005-0000-0000-000087190000}"/>
    <cellStyle name="20% - Accent2 9 5 2" xfId="9932" xr:uid="{00000000-0005-0000-0000-000088190000}"/>
    <cellStyle name="20% - Accent2 9 5 2 2" xfId="21233" xr:uid="{00000000-0005-0000-0000-000089190000}"/>
    <cellStyle name="20% - Accent2 9 5 2 2 2" xfId="43835" xr:uid="{00000000-0005-0000-0000-00008A190000}"/>
    <cellStyle name="20% - Accent2 9 5 2 3" xfId="32534" xr:uid="{00000000-0005-0000-0000-00008B190000}"/>
    <cellStyle name="20% - Accent2 9 5 3" xfId="15583" xr:uid="{00000000-0005-0000-0000-00008C190000}"/>
    <cellStyle name="20% - Accent2 9 5 3 2" xfId="38185" xr:uid="{00000000-0005-0000-0000-00008D190000}"/>
    <cellStyle name="20% - Accent2 9 5 4" xfId="26884" xr:uid="{00000000-0005-0000-0000-00008E190000}"/>
    <cellStyle name="20% - Accent2 9 6" xfId="6761" xr:uid="{00000000-0005-0000-0000-00008F190000}"/>
    <cellStyle name="20% - Accent2 9 6 2" xfId="18062" xr:uid="{00000000-0005-0000-0000-000090190000}"/>
    <cellStyle name="20% - Accent2 9 6 2 2" xfId="40664" xr:uid="{00000000-0005-0000-0000-000091190000}"/>
    <cellStyle name="20% - Accent2 9 6 3" xfId="29363" xr:uid="{00000000-0005-0000-0000-000092190000}"/>
    <cellStyle name="20% - Accent2 9 7" xfId="12412" xr:uid="{00000000-0005-0000-0000-000093190000}"/>
    <cellStyle name="20% - Accent2 9 7 2" xfId="35014" xr:uid="{00000000-0005-0000-0000-000094190000}"/>
    <cellStyle name="20% - Accent2 9 8" xfId="23713" xr:uid="{00000000-0005-0000-0000-000095190000}"/>
    <cellStyle name="20% - Accent3" xfId="27" builtinId="38" customBuiltin="1"/>
    <cellStyle name="20% - Accent3 10" xfId="1495" xr:uid="{00000000-0005-0000-0000-000097190000}"/>
    <cellStyle name="20% - Accent3 10 2" xfId="1630" xr:uid="{00000000-0005-0000-0000-000098190000}"/>
    <cellStyle name="20% - Accent3 10 2 2" xfId="3478" xr:uid="{00000000-0005-0000-0000-000099190000}"/>
    <cellStyle name="20% - Accent3 10 2 2 2" xfId="6450" xr:uid="{00000000-0005-0000-0000-00009A190000}"/>
    <cellStyle name="20% - Accent3 10 2 2 2 2" xfId="12100" xr:uid="{00000000-0005-0000-0000-00009B190000}"/>
    <cellStyle name="20% - Accent3 10 2 2 2 2 2" xfId="23401" xr:uid="{00000000-0005-0000-0000-00009C190000}"/>
    <cellStyle name="20% - Accent3 10 2 2 2 2 2 2" xfId="46003" xr:uid="{00000000-0005-0000-0000-00009D190000}"/>
    <cellStyle name="20% - Accent3 10 2 2 2 2 3" xfId="34702" xr:uid="{00000000-0005-0000-0000-00009E190000}"/>
    <cellStyle name="20% - Accent3 10 2 2 2 3" xfId="17751" xr:uid="{00000000-0005-0000-0000-00009F190000}"/>
    <cellStyle name="20% - Accent3 10 2 2 2 3 2" xfId="40353" xr:uid="{00000000-0005-0000-0000-0000A0190000}"/>
    <cellStyle name="20% - Accent3 10 2 2 2 4" xfId="29052" xr:uid="{00000000-0005-0000-0000-0000A1190000}"/>
    <cellStyle name="20% - Accent3 10 2 2 3" xfId="9268" xr:uid="{00000000-0005-0000-0000-0000A2190000}"/>
    <cellStyle name="20% - Accent3 10 2 2 3 2" xfId="20569" xr:uid="{00000000-0005-0000-0000-0000A3190000}"/>
    <cellStyle name="20% - Accent3 10 2 2 3 2 2" xfId="43171" xr:uid="{00000000-0005-0000-0000-0000A4190000}"/>
    <cellStyle name="20% - Accent3 10 2 2 3 3" xfId="31870" xr:uid="{00000000-0005-0000-0000-0000A5190000}"/>
    <cellStyle name="20% - Accent3 10 2 2 4" xfId="14919" xr:uid="{00000000-0005-0000-0000-0000A6190000}"/>
    <cellStyle name="20% - Accent3 10 2 2 4 2" xfId="37521" xr:uid="{00000000-0005-0000-0000-0000A7190000}"/>
    <cellStyle name="20% - Accent3 10 2 2 5" xfId="26220" xr:uid="{00000000-0005-0000-0000-0000A8190000}"/>
    <cellStyle name="20% - Accent3 10 2 3" xfId="5216" xr:uid="{00000000-0005-0000-0000-0000A9190000}"/>
    <cellStyle name="20% - Accent3 10 2 3 2" xfId="10866" xr:uid="{00000000-0005-0000-0000-0000AA190000}"/>
    <cellStyle name="20% - Accent3 10 2 3 2 2" xfId="22167" xr:uid="{00000000-0005-0000-0000-0000AB190000}"/>
    <cellStyle name="20% - Accent3 10 2 3 2 2 2" xfId="44769" xr:uid="{00000000-0005-0000-0000-0000AC190000}"/>
    <cellStyle name="20% - Accent3 10 2 3 2 3" xfId="33468" xr:uid="{00000000-0005-0000-0000-0000AD190000}"/>
    <cellStyle name="20% - Accent3 10 2 3 3" xfId="16517" xr:uid="{00000000-0005-0000-0000-0000AE190000}"/>
    <cellStyle name="20% - Accent3 10 2 3 3 2" xfId="39119" xr:uid="{00000000-0005-0000-0000-0000AF190000}"/>
    <cellStyle name="20% - Accent3 10 2 3 4" xfId="27818" xr:uid="{00000000-0005-0000-0000-0000B0190000}"/>
    <cellStyle name="20% - Accent3 10 2 4" xfId="7486" xr:uid="{00000000-0005-0000-0000-0000B1190000}"/>
    <cellStyle name="20% - Accent3 10 2 4 2" xfId="18787" xr:uid="{00000000-0005-0000-0000-0000B2190000}"/>
    <cellStyle name="20% - Accent3 10 2 4 2 2" xfId="41389" xr:uid="{00000000-0005-0000-0000-0000B3190000}"/>
    <cellStyle name="20% - Accent3 10 2 4 3" xfId="30088" xr:uid="{00000000-0005-0000-0000-0000B4190000}"/>
    <cellStyle name="20% - Accent3 10 2 5" xfId="13137" xr:uid="{00000000-0005-0000-0000-0000B5190000}"/>
    <cellStyle name="20% - Accent3 10 2 5 2" xfId="35739" xr:uid="{00000000-0005-0000-0000-0000B6190000}"/>
    <cellStyle name="20% - Accent3 10 2 6" xfId="24438" xr:uid="{00000000-0005-0000-0000-0000B7190000}"/>
    <cellStyle name="20% - Accent3 10 3" xfId="2809" xr:uid="{00000000-0005-0000-0000-0000B8190000}"/>
    <cellStyle name="20% - Accent3 10 3 2" xfId="5826" xr:uid="{00000000-0005-0000-0000-0000B9190000}"/>
    <cellStyle name="20% - Accent3 10 3 2 2" xfId="11476" xr:uid="{00000000-0005-0000-0000-0000BA190000}"/>
    <cellStyle name="20% - Accent3 10 3 2 2 2" xfId="22777" xr:uid="{00000000-0005-0000-0000-0000BB190000}"/>
    <cellStyle name="20% - Accent3 10 3 2 2 2 2" xfId="45379" xr:uid="{00000000-0005-0000-0000-0000BC190000}"/>
    <cellStyle name="20% - Accent3 10 3 2 2 3" xfId="34078" xr:uid="{00000000-0005-0000-0000-0000BD190000}"/>
    <cellStyle name="20% - Accent3 10 3 2 3" xfId="17127" xr:uid="{00000000-0005-0000-0000-0000BE190000}"/>
    <cellStyle name="20% - Accent3 10 3 2 3 2" xfId="39729" xr:uid="{00000000-0005-0000-0000-0000BF190000}"/>
    <cellStyle name="20% - Accent3 10 3 2 4" xfId="28428" xr:uid="{00000000-0005-0000-0000-0000C0190000}"/>
    <cellStyle name="20% - Accent3 10 3 3" xfId="8643" xr:uid="{00000000-0005-0000-0000-0000C1190000}"/>
    <cellStyle name="20% - Accent3 10 3 3 2" xfId="19944" xr:uid="{00000000-0005-0000-0000-0000C2190000}"/>
    <cellStyle name="20% - Accent3 10 3 3 2 2" xfId="42546" xr:uid="{00000000-0005-0000-0000-0000C3190000}"/>
    <cellStyle name="20% - Accent3 10 3 3 3" xfId="31245" xr:uid="{00000000-0005-0000-0000-0000C4190000}"/>
    <cellStyle name="20% - Accent3 10 3 4" xfId="14294" xr:uid="{00000000-0005-0000-0000-0000C5190000}"/>
    <cellStyle name="20% - Accent3 10 3 4 2" xfId="36896" xr:uid="{00000000-0005-0000-0000-0000C6190000}"/>
    <cellStyle name="20% - Accent3 10 3 5" xfId="25595" xr:uid="{00000000-0005-0000-0000-0000C7190000}"/>
    <cellStyle name="20% - Accent3 10 4" xfId="4592" xr:uid="{00000000-0005-0000-0000-0000C8190000}"/>
    <cellStyle name="20% - Accent3 10 4 2" xfId="10242" xr:uid="{00000000-0005-0000-0000-0000C9190000}"/>
    <cellStyle name="20% - Accent3 10 4 2 2" xfId="21543" xr:uid="{00000000-0005-0000-0000-0000CA190000}"/>
    <cellStyle name="20% - Accent3 10 4 2 2 2" xfId="44145" xr:uid="{00000000-0005-0000-0000-0000CB190000}"/>
    <cellStyle name="20% - Accent3 10 4 2 3" xfId="32844" xr:uid="{00000000-0005-0000-0000-0000CC190000}"/>
    <cellStyle name="20% - Accent3 10 4 3" xfId="15893" xr:uid="{00000000-0005-0000-0000-0000CD190000}"/>
    <cellStyle name="20% - Accent3 10 4 3 2" xfId="38495" xr:uid="{00000000-0005-0000-0000-0000CE190000}"/>
    <cellStyle name="20% - Accent3 10 4 4" xfId="27194" xr:uid="{00000000-0005-0000-0000-0000CF190000}"/>
    <cellStyle name="20% - Accent3 10 5" xfId="7392" xr:uid="{00000000-0005-0000-0000-0000D0190000}"/>
    <cellStyle name="20% - Accent3 10 5 2" xfId="18693" xr:uid="{00000000-0005-0000-0000-0000D1190000}"/>
    <cellStyle name="20% - Accent3 10 5 2 2" xfId="41295" xr:uid="{00000000-0005-0000-0000-0000D2190000}"/>
    <cellStyle name="20% - Accent3 10 5 3" xfId="29994" xr:uid="{00000000-0005-0000-0000-0000D3190000}"/>
    <cellStyle name="20% - Accent3 10 6" xfId="13043" xr:uid="{00000000-0005-0000-0000-0000D4190000}"/>
    <cellStyle name="20% - Accent3 10 6 2" xfId="35645" xr:uid="{00000000-0005-0000-0000-0000D5190000}"/>
    <cellStyle name="20% - Accent3 10 7" xfId="24344" xr:uid="{00000000-0005-0000-0000-0000D6190000}"/>
    <cellStyle name="20% - Accent3 11" xfId="1497" xr:uid="{00000000-0005-0000-0000-0000D7190000}"/>
    <cellStyle name="20% - Accent3 11 2" xfId="1631" xr:uid="{00000000-0005-0000-0000-0000D8190000}"/>
    <cellStyle name="20% - Accent3 11 2 2" xfId="3608" xr:uid="{00000000-0005-0000-0000-0000D9190000}"/>
    <cellStyle name="20% - Accent3 11 2 2 2" xfId="9322" xr:uid="{00000000-0005-0000-0000-0000DA190000}"/>
    <cellStyle name="20% - Accent3 11 2 2 2 2" xfId="20623" xr:uid="{00000000-0005-0000-0000-0000DB190000}"/>
    <cellStyle name="20% - Accent3 11 2 2 2 2 2" xfId="43225" xr:uid="{00000000-0005-0000-0000-0000DC190000}"/>
    <cellStyle name="20% - Accent3 11 2 2 2 3" xfId="31924" xr:uid="{00000000-0005-0000-0000-0000DD190000}"/>
    <cellStyle name="20% - Accent3 11 2 2 3" xfId="14973" xr:uid="{00000000-0005-0000-0000-0000DE190000}"/>
    <cellStyle name="20% - Accent3 11 2 2 3 2" xfId="37575" xr:uid="{00000000-0005-0000-0000-0000DF190000}"/>
    <cellStyle name="20% - Accent3 11 2 2 4" xfId="26274" xr:uid="{00000000-0005-0000-0000-0000E0190000}"/>
    <cellStyle name="20% - Accent3 11 2 3" xfId="7487" xr:uid="{00000000-0005-0000-0000-0000E1190000}"/>
    <cellStyle name="20% - Accent3 11 2 3 2" xfId="18788" xr:uid="{00000000-0005-0000-0000-0000E2190000}"/>
    <cellStyle name="20% - Accent3 11 2 3 2 2" xfId="41390" xr:uid="{00000000-0005-0000-0000-0000E3190000}"/>
    <cellStyle name="20% - Accent3 11 2 3 3" xfId="30089" xr:uid="{00000000-0005-0000-0000-0000E4190000}"/>
    <cellStyle name="20% - Accent3 11 2 4" xfId="13138" xr:uid="{00000000-0005-0000-0000-0000E5190000}"/>
    <cellStyle name="20% - Accent3 11 2 4 2" xfId="35740" xr:uid="{00000000-0005-0000-0000-0000E6190000}"/>
    <cellStyle name="20% - Accent3 11 2 5" xfId="24439" xr:uid="{00000000-0005-0000-0000-0000E7190000}"/>
    <cellStyle name="20% - Accent3 11 3" xfId="2181" xr:uid="{00000000-0005-0000-0000-0000E8190000}"/>
    <cellStyle name="20% - Accent3 11 3 2" xfId="8025" xr:uid="{00000000-0005-0000-0000-0000E9190000}"/>
    <cellStyle name="20% - Accent3 11 3 2 2" xfId="19326" xr:uid="{00000000-0005-0000-0000-0000EA190000}"/>
    <cellStyle name="20% - Accent3 11 3 2 2 2" xfId="41928" xr:uid="{00000000-0005-0000-0000-0000EB190000}"/>
    <cellStyle name="20% - Accent3 11 3 2 3" xfId="30627" xr:uid="{00000000-0005-0000-0000-0000EC190000}"/>
    <cellStyle name="20% - Accent3 11 3 3" xfId="13676" xr:uid="{00000000-0005-0000-0000-0000ED190000}"/>
    <cellStyle name="20% - Accent3 11 3 3 2" xfId="36278" xr:uid="{00000000-0005-0000-0000-0000EE190000}"/>
    <cellStyle name="20% - Accent3 11 3 4" xfId="24977" xr:uid="{00000000-0005-0000-0000-0000EF190000}"/>
    <cellStyle name="20% - Accent3 11 4" xfId="3977" xr:uid="{00000000-0005-0000-0000-0000F0190000}"/>
    <cellStyle name="20% - Accent3 11 4 2" xfId="9627" xr:uid="{00000000-0005-0000-0000-0000F1190000}"/>
    <cellStyle name="20% - Accent3 11 4 2 2" xfId="20928" xr:uid="{00000000-0005-0000-0000-0000F2190000}"/>
    <cellStyle name="20% - Accent3 11 4 2 2 2" xfId="43530" xr:uid="{00000000-0005-0000-0000-0000F3190000}"/>
    <cellStyle name="20% - Accent3 11 4 2 3" xfId="32229" xr:uid="{00000000-0005-0000-0000-0000F4190000}"/>
    <cellStyle name="20% - Accent3 11 4 3" xfId="15278" xr:uid="{00000000-0005-0000-0000-0000F5190000}"/>
    <cellStyle name="20% - Accent3 11 4 3 2" xfId="37880" xr:uid="{00000000-0005-0000-0000-0000F6190000}"/>
    <cellStyle name="20% - Accent3 11 4 4" xfId="26579" xr:uid="{00000000-0005-0000-0000-0000F7190000}"/>
    <cellStyle name="20% - Accent3 11 5" xfId="7394" xr:uid="{00000000-0005-0000-0000-0000F8190000}"/>
    <cellStyle name="20% - Accent3 11 5 2" xfId="18695" xr:uid="{00000000-0005-0000-0000-0000F9190000}"/>
    <cellStyle name="20% - Accent3 11 5 2 2" xfId="41297" xr:uid="{00000000-0005-0000-0000-0000FA190000}"/>
    <cellStyle name="20% - Accent3 11 5 3" xfId="29996" xr:uid="{00000000-0005-0000-0000-0000FB190000}"/>
    <cellStyle name="20% - Accent3 11 6" xfId="13045" xr:uid="{00000000-0005-0000-0000-0000FC190000}"/>
    <cellStyle name="20% - Accent3 11 6 2" xfId="35647" xr:uid="{00000000-0005-0000-0000-0000FD190000}"/>
    <cellStyle name="20% - Accent3 11 7" xfId="24346" xr:uid="{00000000-0005-0000-0000-0000FE190000}"/>
    <cellStyle name="20% - Accent3 12" xfId="1415" xr:uid="{00000000-0005-0000-0000-0000FF190000}"/>
    <cellStyle name="20% - Accent3 12 2" xfId="3915" xr:uid="{00000000-0005-0000-0000-0000001A0000}"/>
    <cellStyle name="20% - Accent3 12 2 2" xfId="9608" xr:uid="{00000000-0005-0000-0000-0000011A0000}"/>
    <cellStyle name="20% - Accent3 12 2 2 2" xfId="20909" xr:uid="{00000000-0005-0000-0000-0000021A0000}"/>
    <cellStyle name="20% - Accent3 12 2 2 2 2" xfId="43511" xr:uid="{00000000-0005-0000-0000-0000031A0000}"/>
    <cellStyle name="20% - Accent3 12 2 2 3" xfId="32210" xr:uid="{00000000-0005-0000-0000-0000041A0000}"/>
    <cellStyle name="20% - Accent3 12 2 3" xfId="15259" xr:uid="{00000000-0005-0000-0000-0000051A0000}"/>
    <cellStyle name="20% - Accent3 12 2 3 2" xfId="37861" xr:uid="{00000000-0005-0000-0000-0000061A0000}"/>
    <cellStyle name="20% - Accent3 12 2 4" xfId="26560" xr:uid="{00000000-0005-0000-0000-0000071A0000}"/>
    <cellStyle name="20% - Accent3 13" xfId="3515" xr:uid="{00000000-0005-0000-0000-0000081A0000}"/>
    <cellStyle name="20% - Accent3 14" xfId="108" xr:uid="{00000000-0005-0000-0000-0000091A0000}"/>
    <cellStyle name="20% - Accent3 2" xfId="52" xr:uid="{00000000-0005-0000-0000-00000A1A0000}"/>
    <cellStyle name="20% - Accent3 2 2" xfId="382" xr:uid="{00000000-0005-0000-0000-00000B1A0000}"/>
    <cellStyle name="20% - Accent3 2 2 10" xfId="23484" xr:uid="{00000000-0005-0000-0000-00000C1A0000}"/>
    <cellStyle name="20% - Accent3 2 2 2" xfId="634" xr:uid="{00000000-0005-0000-0000-00000D1A0000}"/>
    <cellStyle name="20% - Accent3 2 2 2 2" xfId="1344" xr:uid="{00000000-0005-0000-0000-00000E1A0000}"/>
    <cellStyle name="20% - Accent3 2 2 2 2 2" xfId="1634" xr:uid="{00000000-0005-0000-0000-00000F1A0000}"/>
    <cellStyle name="20% - Accent3 2 2 2 2 2 2" xfId="3413" xr:uid="{00000000-0005-0000-0000-0000101A0000}"/>
    <cellStyle name="20% - Accent3 2 2 2 2 2 2 2" xfId="6385" xr:uid="{00000000-0005-0000-0000-0000111A0000}"/>
    <cellStyle name="20% - Accent3 2 2 2 2 2 2 2 2" xfId="12035" xr:uid="{00000000-0005-0000-0000-0000121A0000}"/>
    <cellStyle name="20% - Accent3 2 2 2 2 2 2 2 2 2" xfId="23336" xr:uid="{00000000-0005-0000-0000-0000131A0000}"/>
    <cellStyle name="20% - Accent3 2 2 2 2 2 2 2 2 2 2" xfId="45938" xr:uid="{00000000-0005-0000-0000-0000141A0000}"/>
    <cellStyle name="20% - Accent3 2 2 2 2 2 2 2 2 3" xfId="34637" xr:uid="{00000000-0005-0000-0000-0000151A0000}"/>
    <cellStyle name="20% - Accent3 2 2 2 2 2 2 2 3" xfId="17686" xr:uid="{00000000-0005-0000-0000-0000161A0000}"/>
    <cellStyle name="20% - Accent3 2 2 2 2 2 2 2 3 2" xfId="40288" xr:uid="{00000000-0005-0000-0000-0000171A0000}"/>
    <cellStyle name="20% - Accent3 2 2 2 2 2 2 2 4" xfId="28987" xr:uid="{00000000-0005-0000-0000-0000181A0000}"/>
    <cellStyle name="20% - Accent3 2 2 2 2 2 2 3" xfId="9203" xr:uid="{00000000-0005-0000-0000-0000191A0000}"/>
    <cellStyle name="20% - Accent3 2 2 2 2 2 2 3 2" xfId="20504" xr:uid="{00000000-0005-0000-0000-00001A1A0000}"/>
    <cellStyle name="20% - Accent3 2 2 2 2 2 2 3 2 2" xfId="43106" xr:uid="{00000000-0005-0000-0000-00001B1A0000}"/>
    <cellStyle name="20% - Accent3 2 2 2 2 2 2 3 3" xfId="31805" xr:uid="{00000000-0005-0000-0000-00001C1A0000}"/>
    <cellStyle name="20% - Accent3 2 2 2 2 2 2 4" xfId="14854" xr:uid="{00000000-0005-0000-0000-00001D1A0000}"/>
    <cellStyle name="20% - Accent3 2 2 2 2 2 2 4 2" xfId="37456" xr:uid="{00000000-0005-0000-0000-00001E1A0000}"/>
    <cellStyle name="20% - Accent3 2 2 2 2 2 2 5" xfId="26155" xr:uid="{00000000-0005-0000-0000-00001F1A0000}"/>
    <cellStyle name="20% - Accent3 2 2 2 2 2 3" xfId="5151" xr:uid="{00000000-0005-0000-0000-0000201A0000}"/>
    <cellStyle name="20% - Accent3 2 2 2 2 2 3 2" xfId="10801" xr:uid="{00000000-0005-0000-0000-0000211A0000}"/>
    <cellStyle name="20% - Accent3 2 2 2 2 2 3 2 2" xfId="22102" xr:uid="{00000000-0005-0000-0000-0000221A0000}"/>
    <cellStyle name="20% - Accent3 2 2 2 2 2 3 2 2 2" xfId="44704" xr:uid="{00000000-0005-0000-0000-0000231A0000}"/>
    <cellStyle name="20% - Accent3 2 2 2 2 2 3 2 3" xfId="33403" xr:uid="{00000000-0005-0000-0000-0000241A0000}"/>
    <cellStyle name="20% - Accent3 2 2 2 2 2 3 3" xfId="16452" xr:uid="{00000000-0005-0000-0000-0000251A0000}"/>
    <cellStyle name="20% - Accent3 2 2 2 2 2 3 3 2" xfId="39054" xr:uid="{00000000-0005-0000-0000-0000261A0000}"/>
    <cellStyle name="20% - Accent3 2 2 2 2 2 3 4" xfId="27753" xr:uid="{00000000-0005-0000-0000-0000271A0000}"/>
    <cellStyle name="20% - Accent3 2 2 2 2 2 4" xfId="7490" xr:uid="{00000000-0005-0000-0000-0000281A0000}"/>
    <cellStyle name="20% - Accent3 2 2 2 2 2 4 2" xfId="18791" xr:uid="{00000000-0005-0000-0000-0000291A0000}"/>
    <cellStyle name="20% - Accent3 2 2 2 2 2 4 2 2" xfId="41393" xr:uid="{00000000-0005-0000-0000-00002A1A0000}"/>
    <cellStyle name="20% - Accent3 2 2 2 2 2 4 3" xfId="30092" xr:uid="{00000000-0005-0000-0000-00002B1A0000}"/>
    <cellStyle name="20% - Accent3 2 2 2 2 2 5" xfId="13141" xr:uid="{00000000-0005-0000-0000-00002C1A0000}"/>
    <cellStyle name="20% - Accent3 2 2 2 2 2 5 2" xfId="35743" xr:uid="{00000000-0005-0000-0000-00002D1A0000}"/>
    <cellStyle name="20% - Accent3 2 2 2 2 2 6" xfId="24442" xr:uid="{00000000-0005-0000-0000-00002E1A0000}"/>
    <cellStyle name="20% - Accent3 2 2 2 2 3" xfId="2742" xr:uid="{00000000-0005-0000-0000-00002F1A0000}"/>
    <cellStyle name="20% - Accent3 2 2 2 2 3 2" xfId="5761" xr:uid="{00000000-0005-0000-0000-0000301A0000}"/>
    <cellStyle name="20% - Accent3 2 2 2 2 3 2 2" xfId="11411" xr:uid="{00000000-0005-0000-0000-0000311A0000}"/>
    <cellStyle name="20% - Accent3 2 2 2 2 3 2 2 2" xfId="22712" xr:uid="{00000000-0005-0000-0000-0000321A0000}"/>
    <cellStyle name="20% - Accent3 2 2 2 2 3 2 2 2 2" xfId="45314" xr:uid="{00000000-0005-0000-0000-0000331A0000}"/>
    <cellStyle name="20% - Accent3 2 2 2 2 3 2 2 3" xfId="34013" xr:uid="{00000000-0005-0000-0000-0000341A0000}"/>
    <cellStyle name="20% - Accent3 2 2 2 2 3 2 3" xfId="17062" xr:uid="{00000000-0005-0000-0000-0000351A0000}"/>
    <cellStyle name="20% - Accent3 2 2 2 2 3 2 3 2" xfId="39664" xr:uid="{00000000-0005-0000-0000-0000361A0000}"/>
    <cellStyle name="20% - Accent3 2 2 2 2 3 2 4" xfId="28363" xr:uid="{00000000-0005-0000-0000-0000371A0000}"/>
    <cellStyle name="20% - Accent3 2 2 2 2 3 3" xfId="8578" xr:uid="{00000000-0005-0000-0000-0000381A0000}"/>
    <cellStyle name="20% - Accent3 2 2 2 2 3 3 2" xfId="19879" xr:uid="{00000000-0005-0000-0000-0000391A0000}"/>
    <cellStyle name="20% - Accent3 2 2 2 2 3 3 2 2" xfId="42481" xr:uid="{00000000-0005-0000-0000-00003A1A0000}"/>
    <cellStyle name="20% - Accent3 2 2 2 2 3 3 3" xfId="31180" xr:uid="{00000000-0005-0000-0000-00003B1A0000}"/>
    <cellStyle name="20% - Accent3 2 2 2 2 3 4" xfId="14229" xr:uid="{00000000-0005-0000-0000-00003C1A0000}"/>
    <cellStyle name="20% - Accent3 2 2 2 2 3 4 2" xfId="36831" xr:uid="{00000000-0005-0000-0000-00003D1A0000}"/>
    <cellStyle name="20% - Accent3 2 2 2 2 3 5" xfId="25530" xr:uid="{00000000-0005-0000-0000-00003E1A0000}"/>
    <cellStyle name="20% - Accent3 2 2 2 2 4" xfId="4527" xr:uid="{00000000-0005-0000-0000-00003F1A0000}"/>
    <cellStyle name="20% - Accent3 2 2 2 2 4 2" xfId="10177" xr:uid="{00000000-0005-0000-0000-0000401A0000}"/>
    <cellStyle name="20% - Accent3 2 2 2 2 4 2 2" xfId="21478" xr:uid="{00000000-0005-0000-0000-0000411A0000}"/>
    <cellStyle name="20% - Accent3 2 2 2 2 4 2 2 2" xfId="44080" xr:uid="{00000000-0005-0000-0000-0000421A0000}"/>
    <cellStyle name="20% - Accent3 2 2 2 2 4 2 3" xfId="32779" xr:uid="{00000000-0005-0000-0000-0000431A0000}"/>
    <cellStyle name="20% - Accent3 2 2 2 2 4 3" xfId="15828" xr:uid="{00000000-0005-0000-0000-0000441A0000}"/>
    <cellStyle name="20% - Accent3 2 2 2 2 4 3 2" xfId="38430" xr:uid="{00000000-0005-0000-0000-0000451A0000}"/>
    <cellStyle name="20% - Accent3 2 2 2 2 4 4" xfId="27129" xr:uid="{00000000-0005-0000-0000-0000461A0000}"/>
    <cellStyle name="20% - Accent3 2 2 2 2 5" xfId="7323" xr:uid="{00000000-0005-0000-0000-0000471A0000}"/>
    <cellStyle name="20% - Accent3 2 2 2 2 5 2" xfId="18624" xr:uid="{00000000-0005-0000-0000-0000481A0000}"/>
    <cellStyle name="20% - Accent3 2 2 2 2 5 2 2" xfId="41226" xr:uid="{00000000-0005-0000-0000-0000491A0000}"/>
    <cellStyle name="20% - Accent3 2 2 2 2 5 3" xfId="29925" xr:uid="{00000000-0005-0000-0000-00004A1A0000}"/>
    <cellStyle name="20% - Accent3 2 2 2 2 6" xfId="12974" xr:uid="{00000000-0005-0000-0000-00004B1A0000}"/>
    <cellStyle name="20% - Accent3 2 2 2 2 6 2" xfId="35576" xr:uid="{00000000-0005-0000-0000-00004C1A0000}"/>
    <cellStyle name="20% - Accent3 2 2 2 2 7" xfId="24275" xr:uid="{00000000-0005-0000-0000-00004D1A0000}"/>
    <cellStyle name="20% - Accent3 2 2 2 3" xfId="1042" xr:uid="{00000000-0005-0000-0000-00004E1A0000}"/>
    <cellStyle name="20% - Accent3 2 2 2 3 2" xfId="3105" xr:uid="{00000000-0005-0000-0000-00004F1A0000}"/>
    <cellStyle name="20% - Accent3 2 2 2 3 2 2" xfId="6077" xr:uid="{00000000-0005-0000-0000-0000501A0000}"/>
    <cellStyle name="20% - Accent3 2 2 2 3 2 2 2" xfId="11727" xr:uid="{00000000-0005-0000-0000-0000511A0000}"/>
    <cellStyle name="20% - Accent3 2 2 2 3 2 2 2 2" xfId="23028" xr:uid="{00000000-0005-0000-0000-0000521A0000}"/>
    <cellStyle name="20% - Accent3 2 2 2 3 2 2 2 2 2" xfId="45630" xr:uid="{00000000-0005-0000-0000-0000531A0000}"/>
    <cellStyle name="20% - Accent3 2 2 2 3 2 2 2 3" xfId="34329" xr:uid="{00000000-0005-0000-0000-0000541A0000}"/>
    <cellStyle name="20% - Accent3 2 2 2 3 2 2 3" xfId="17378" xr:uid="{00000000-0005-0000-0000-0000551A0000}"/>
    <cellStyle name="20% - Accent3 2 2 2 3 2 2 3 2" xfId="39980" xr:uid="{00000000-0005-0000-0000-0000561A0000}"/>
    <cellStyle name="20% - Accent3 2 2 2 3 2 2 4" xfId="28679" xr:uid="{00000000-0005-0000-0000-0000571A0000}"/>
    <cellStyle name="20% - Accent3 2 2 2 3 2 3" xfId="8895" xr:uid="{00000000-0005-0000-0000-0000581A0000}"/>
    <cellStyle name="20% - Accent3 2 2 2 3 2 3 2" xfId="20196" xr:uid="{00000000-0005-0000-0000-0000591A0000}"/>
    <cellStyle name="20% - Accent3 2 2 2 3 2 3 2 2" xfId="42798" xr:uid="{00000000-0005-0000-0000-00005A1A0000}"/>
    <cellStyle name="20% - Accent3 2 2 2 3 2 3 3" xfId="31497" xr:uid="{00000000-0005-0000-0000-00005B1A0000}"/>
    <cellStyle name="20% - Accent3 2 2 2 3 2 4" xfId="14546" xr:uid="{00000000-0005-0000-0000-00005C1A0000}"/>
    <cellStyle name="20% - Accent3 2 2 2 3 2 4 2" xfId="37148" xr:uid="{00000000-0005-0000-0000-00005D1A0000}"/>
    <cellStyle name="20% - Accent3 2 2 2 3 2 5" xfId="25847" xr:uid="{00000000-0005-0000-0000-00005E1A0000}"/>
    <cellStyle name="20% - Accent3 2 2 2 3 3" xfId="4843" xr:uid="{00000000-0005-0000-0000-00005F1A0000}"/>
    <cellStyle name="20% - Accent3 2 2 2 3 3 2" xfId="10493" xr:uid="{00000000-0005-0000-0000-0000601A0000}"/>
    <cellStyle name="20% - Accent3 2 2 2 3 3 2 2" xfId="21794" xr:uid="{00000000-0005-0000-0000-0000611A0000}"/>
    <cellStyle name="20% - Accent3 2 2 2 3 3 2 2 2" xfId="44396" xr:uid="{00000000-0005-0000-0000-0000621A0000}"/>
    <cellStyle name="20% - Accent3 2 2 2 3 3 2 3" xfId="33095" xr:uid="{00000000-0005-0000-0000-0000631A0000}"/>
    <cellStyle name="20% - Accent3 2 2 2 3 3 3" xfId="16144" xr:uid="{00000000-0005-0000-0000-0000641A0000}"/>
    <cellStyle name="20% - Accent3 2 2 2 3 3 3 2" xfId="38746" xr:uid="{00000000-0005-0000-0000-0000651A0000}"/>
    <cellStyle name="20% - Accent3 2 2 2 3 3 4" xfId="27445" xr:uid="{00000000-0005-0000-0000-0000661A0000}"/>
    <cellStyle name="20% - Accent3 2 2 2 3 4" xfId="7030" xr:uid="{00000000-0005-0000-0000-0000671A0000}"/>
    <cellStyle name="20% - Accent3 2 2 2 3 4 2" xfId="18331" xr:uid="{00000000-0005-0000-0000-0000681A0000}"/>
    <cellStyle name="20% - Accent3 2 2 2 3 4 2 2" xfId="40933" xr:uid="{00000000-0005-0000-0000-0000691A0000}"/>
    <cellStyle name="20% - Accent3 2 2 2 3 4 3" xfId="29632" xr:uid="{00000000-0005-0000-0000-00006A1A0000}"/>
    <cellStyle name="20% - Accent3 2 2 2 3 5" xfId="12681" xr:uid="{00000000-0005-0000-0000-00006B1A0000}"/>
    <cellStyle name="20% - Accent3 2 2 2 3 5 2" xfId="35283" xr:uid="{00000000-0005-0000-0000-00006C1A0000}"/>
    <cellStyle name="20% - Accent3 2 2 2 3 6" xfId="23982" xr:uid="{00000000-0005-0000-0000-00006D1A0000}"/>
    <cellStyle name="20% - Accent3 2 2 2 4" xfId="1633" xr:uid="{00000000-0005-0000-0000-00006E1A0000}"/>
    <cellStyle name="20% - Accent3 2 2 2 4 2" xfId="3610" xr:uid="{00000000-0005-0000-0000-00006F1A0000}"/>
    <cellStyle name="20% - Accent3 2 2 2 4 2 2" xfId="9324" xr:uid="{00000000-0005-0000-0000-0000701A0000}"/>
    <cellStyle name="20% - Accent3 2 2 2 4 2 2 2" xfId="20625" xr:uid="{00000000-0005-0000-0000-0000711A0000}"/>
    <cellStyle name="20% - Accent3 2 2 2 4 2 2 2 2" xfId="43227" xr:uid="{00000000-0005-0000-0000-0000721A0000}"/>
    <cellStyle name="20% - Accent3 2 2 2 4 2 2 3" xfId="31926" xr:uid="{00000000-0005-0000-0000-0000731A0000}"/>
    <cellStyle name="20% - Accent3 2 2 2 4 2 3" xfId="14975" xr:uid="{00000000-0005-0000-0000-0000741A0000}"/>
    <cellStyle name="20% - Accent3 2 2 2 4 2 3 2" xfId="37577" xr:uid="{00000000-0005-0000-0000-0000751A0000}"/>
    <cellStyle name="20% - Accent3 2 2 2 4 2 4" xfId="26276" xr:uid="{00000000-0005-0000-0000-0000761A0000}"/>
    <cellStyle name="20% - Accent3 2 2 2 4 3" xfId="5453" xr:uid="{00000000-0005-0000-0000-0000771A0000}"/>
    <cellStyle name="20% - Accent3 2 2 2 4 3 2" xfId="11103" xr:uid="{00000000-0005-0000-0000-0000781A0000}"/>
    <cellStyle name="20% - Accent3 2 2 2 4 3 2 2" xfId="22404" xr:uid="{00000000-0005-0000-0000-0000791A0000}"/>
    <cellStyle name="20% - Accent3 2 2 2 4 3 2 2 2" xfId="45006" xr:uid="{00000000-0005-0000-0000-00007A1A0000}"/>
    <cellStyle name="20% - Accent3 2 2 2 4 3 2 3" xfId="33705" xr:uid="{00000000-0005-0000-0000-00007B1A0000}"/>
    <cellStyle name="20% - Accent3 2 2 2 4 3 3" xfId="16754" xr:uid="{00000000-0005-0000-0000-00007C1A0000}"/>
    <cellStyle name="20% - Accent3 2 2 2 4 3 3 2" xfId="39356" xr:uid="{00000000-0005-0000-0000-00007D1A0000}"/>
    <cellStyle name="20% - Accent3 2 2 2 4 3 4" xfId="28055" xr:uid="{00000000-0005-0000-0000-00007E1A0000}"/>
    <cellStyle name="20% - Accent3 2 2 2 4 4" xfId="7489" xr:uid="{00000000-0005-0000-0000-00007F1A0000}"/>
    <cellStyle name="20% - Accent3 2 2 2 4 4 2" xfId="18790" xr:uid="{00000000-0005-0000-0000-0000801A0000}"/>
    <cellStyle name="20% - Accent3 2 2 2 4 4 2 2" xfId="41392" xr:uid="{00000000-0005-0000-0000-0000811A0000}"/>
    <cellStyle name="20% - Accent3 2 2 2 4 4 3" xfId="30091" xr:uid="{00000000-0005-0000-0000-0000821A0000}"/>
    <cellStyle name="20% - Accent3 2 2 2 4 5" xfId="13140" xr:uid="{00000000-0005-0000-0000-0000831A0000}"/>
    <cellStyle name="20% - Accent3 2 2 2 4 5 2" xfId="35742" xr:uid="{00000000-0005-0000-0000-0000841A0000}"/>
    <cellStyle name="20% - Accent3 2 2 2 4 6" xfId="24441" xr:uid="{00000000-0005-0000-0000-0000851A0000}"/>
    <cellStyle name="20% - Accent3 2 2 2 5" xfId="2434" xr:uid="{00000000-0005-0000-0000-0000861A0000}"/>
    <cellStyle name="20% - Accent3 2 2 2 5 2" xfId="8270" xr:uid="{00000000-0005-0000-0000-0000871A0000}"/>
    <cellStyle name="20% - Accent3 2 2 2 5 2 2" xfId="19571" xr:uid="{00000000-0005-0000-0000-0000881A0000}"/>
    <cellStyle name="20% - Accent3 2 2 2 5 2 2 2" xfId="42173" xr:uid="{00000000-0005-0000-0000-0000891A0000}"/>
    <cellStyle name="20% - Accent3 2 2 2 5 2 3" xfId="30872" xr:uid="{00000000-0005-0000-0000-00008A1A0000}"/>
    <cellStyle name="20% - Accent3 2 2 2 5 3" xfId="13921" xr:uid="{00000000-0005-0000-0000-00008B1A0000}"/>
    <cellStyle name="20% - Accent3 2 2 2 5 3 2" xfId="36523" xr:uid="{00000000-0005-0000-0000-00008C1A0000}"/>
    <cellStyle name="20% - Accent3 2 2 2 5 4" xfId="25222" xr:uid="{00000000-0005-0000-0000-00008D1A0000}"/>
    <cellStyle name="20% - Accent3 2 2 2 6" xfId="4219" xr:uid="{00000000-0005-0000-0000-00008E1A0000}"/>
    <cellStyle name="20% - Accent3 2 2 2 6 2" xfId="9869" xr:uid="{00000000-0005-0000-0000-00008F1A0000}"/>
    <cellStyle name="20% - Accent3 2 2 2 6 2 2" xfId="21170" xr:uid="{00000000-0005-0000-0000-0000901A0000}"/>
    <cellStyle name="20% - Accent3 2 2 2 6 2 2 2" xfId="43772" xr:uid="{00000000-0005-0000-0000-0000911A0000}"/>
    <cellStyle name="20% - Accent3 2 2 2 6 2 3" xfId="32471" xr:uid="{00000000-0005-0000-0000-0000921A0000}"/>
    <cellStyle name="20% - Accent3 2 2 2 6 3" xfId="15520" xr:uid="{00000000-0005-0000-0000-0000931A0000}"/>
    <cellStyle name="20% - Accent3 2 2 2 6 3 2" xfId="38122" xr:uid="{00000000-0005-0000-0000-0000941A0000}"/>
    <cellStyle name="20% - Accent3 2 2 2 6 4" xfId="26821" xr:uid="{00000000-0005-0000-0000-0000951A0000}"/>
    <cellStyle name="20% - Accent3 2 2 2 7" xfId="6699" xr:uid="{00000000-0005-0000-0000-0000961A0000}"/>
    <cellStyle name="20% - Accent3 2 2 2 7 2" xfId="18000" xr:uid="{00000000-0005-0000-0000-0000971A0000}"/>
    <cellStyle name="20% - Accent3 2 2 2 7 2 2" xfId="40602" xr:uid="{00000000-0005-0000-0000-0000981A0000}"/>
    <cellStyle name="20% - Accent3 2 2 2 7 3" xfId="29301" xr:uid="{00000000-0005-0000-0000-0000991A0000}"/>
    <cellStyle name="20% - Accent3 2 2 2 8" xfId="12350" xr:uid="{00000000-0005-0000-0000-00009A1A0000}"/>
    <cellStyle name="20% - Accent3 2 2 2 8 2" xfId="34952" xr:uid="{00000000-0005-0000-0000-00009B1A0000}"/>
    <cellStyle name="20% - Accent3 2 2 2 9" xfId="23651" xr:uid="{00000000-0005-0000-0000-00009C1A0000}"/>
    <cellStyle name="20% - Accent3 2 2 3" xfId="1206" xr:uid="{00000000-0005-0000-0000-00009D1A0000}"/>
    <cellStyle name="20% - Accent3 2 2 3 2" xfId="1635" xr:uid="{00000000-0005-0000-0000-00009E1A0000}"/>
    <cellStyle name="20% - Accent3 2 2 3 2 2" xfId="3274" xr:uid="{00000000-0005-0000-0000-00009F1A0000}"/>
    <cellStyle name="20% - Accent3 2 2 3 2 2 2" xfId="6246" xr:uid="{00000000-0005-0000-0000-0000A01A0000}"/>
    <cellStyle name="20% - Accent3 2 2 3 2 2 2 2" xfId="11896" xr:uid="{00000000-0005-0000-0000-0000A11A0000}"/>
    <cellStyle name="20% - Accent3 2 2 3 2 2 2 2 2" xfId="23197" xr:uid="{00000000-0005-0000-0000-0000A21A0000}"/>
    <cellStyle name="20% - Accent3 2 2 3 2 2 2 2 2 2" xfId="45799" xr:uid="{00000000-0005-0000-0000-0000A31A0000}"/>
    <cellStyle name="20% - Accent3 2 2 3 2 2 2 2 3" xfId="34498" xr:uid="{00000000-0005-0000-0000-0000A41A0000}"/>
    <cellStyle name="20% - Accent3 2 2 3 2 2 2 3" xfId="17547" xr:uid="{00000000-0005-0000-0000-0000A51A0000}"/>
    <cellStyle name="20% - Accent3 2 2 3 2 2 2 3 2" xfId="40149" xr:uid="{00000000-0005-0000-0000-0000A61A0000}"/>
    <cellStyle name="20% - Accent3 2 2 3 2 2 2 4" xfId="28848" xr:uid="{00000000-0005-0000-0000-0000A71A0000}"/>
    <cellStyle name="20% - Accent3 2 2 3 2 2 3" xfId="9064" xr:uid="{00000000-0005-0000-0000-0000A81A0000}"/>
    <cellStyle name="20% - Accent3 2 2 3 2 2 3 2" xfId="20365" xr:uid="{00000000-0005-0000-0000-0000A91A0000}"/>
    <cellStyle name="20% - Accent3 2 2 3 2 2 3 2 2" xfId="42967" xr:uid="{00000000-0005-0000-0000-0000AA1A0000}"/>
    <cellStyle name="20% - Accent3 2 2 3 2 2 3 3" xfId="31666" xr:uid="{00000000-0005-0000-0000-0000AB1A0000}"/>
    <cellStyle name="20% - Accent3 2 2 3 2 2 4" xfId="14715" xr:uid="{00000000-0005-0000-0000-0000AC1A0000}"/>
    <cellStyle name="20% - Accent3 2 2 3 2 2 4 2" xfId="37317" xr:uid="{00000000-0005-0000-0000-0000AD1A0000}"/>
    <cellStyle name="20% - Accent3 2 2 3 2 2 5" xfId="26016" xr:uid="{00000000-0005-0000-0000-0000AE1A0000}"/>
    <cellStyle name="20% - Accent3 2 2 3 2 3" xfId="5012" xr:uid="{00000000-0005-0000-0000-0000AF1A0000}"/>
    <cellStyle name="20% - Accent3 2 2 3 2 3 2" xfId="10662" xr:uid="{00000000-0005-0000-0000-0000B01A0000}"/>
    <cellStyle name="20% - Accent3 2 2 3 2 3 2 2" xfId="21963" xr:uid="{00000000-0005-0000-0000-0000B11A0000}"/>
    <cellStyle name="20% - Accent3 2 2 3 2 3 2 2 2" xfId="44565" xr:uid="{00000000-0005-0000-0000-0000B21A0000}"/>
    <cellStyle name="20% - Accent3 2 2 3 2 3 2 3" xfId="33264" xr:uid="{00000000-0005-0000-0000-0000B31A0000}"/>
    <cellStyle name="20% - Accent3 2 2 3 2 3 3" xfId="16313" xr:uid="{00000000-0005-0000-0000-0000B41A0000}"/>
    <cellStyle name="20% - Accent3 2 2 3 2 3 3 2" xfId="38915" xr:uid="{00000000-0005-0000-0000-0000B51A0000}"/>
    <cellStyle name="20% - Accent3 2 2 3 2 3 4" xfId="27614" xr:uid="{00000000-0005-0000-0000-0000B61A0000}"/>
    <cellStyle name="20% - Accent3 2 2 3 2 4" xfId="7491" xr:uid="{00000000-0005-0000-0000-0000B71A0000}"/>
    <cellStyle name="20% - Accent3 2 2 3 2 4 2" xfId="18792" xr:uid="{00000000-0005-0000-0000-0000B81A0000}"/>
    <cellStyle name="20% - Accent3 2 2 3 2 4 2 2" xfId="41394" xr:uid="{00000000-0005-0000-0000-0000B91A0000}"/>
    <cellStyle name="20% - Accent3 2 2 3 2 4 3" xfId="30093" xr:uid="{00000000-0005-0000-0000-0000BA1A0000}"/>
    <cellStyle name="20% - Accent3 2 2 3 2 5" xfId="13142" xr:uid="{00000000-0005-0000-0000-0000BB1A0000}"/>
    <cellStyle name="20% - Accent3 2 2 3 2 5 2" xfId="35744" xr:uid="{00000000-0005-0000-0000-0000BC1A0000}"/>
    <cellStyle name="20% - Accent3 2 2 3 2 6" xfId="24443" xr:uid="{00000000-0005-0000-0000-0000BD1A0000}"/>
    <cellStyle name="20% - Accent3 2 2 3 3" xfId="2603" xr:uid="{00000000-0005-0000-0000-0000BE1A0000}"/>
    <cellStyle name="20% - Accent3 2 2 3 3 2" xfId="5622" xr:uid="{00000000-0005-0000-0000-0000BF1A0000}"/>
    <cellStyle name="20% - Accent3 2 2 3 3 2 2" xfId="11272" xr:uid="{00000000-0005-0000-0000-0000C01A0000}"/>
    <cellStyle name="20% - Accent3 2 2 3 3 2 2 2" xfId="22573" xr:uid="{00000000-0005-0000-0000-0000C11A0000}"/>
    <cellStyle name="20% - Accent3 2 2 3 3 2 2 2 2" xfId="45175" xr:uid="{00000000-0005-0000-0000-0000C21A0000}"/>
    <cellStyle name="20% - Accent3 2 2 3 3 2 2 3" xfId="33874" xr:uid="{00000000-0005-0000-0000-0000C31A0000}"/>
    <cellStyle name="20% - Accent3 2 2 3 3 2 3" xfId="16923" xr:uid="{00000000-0005-0000-0000-0000C41A0000}"/>
    <cellStyle name="20% - Accent3 2 2 3 3 2 3 2" xfId="39525" xr:uid="{00000000-0005-0000-0000-0000C51A0000}"/>
    <cellStyle name="20% - Accent3 2 2 3 3 2 4" xfId="28224" xr:uid="{00000000-0005-0000-0000-0000C61A0000}"/>
    <cellStyle name="20% - Accent3 2 2 3 3 3" xfId="8439" xr:uid="{00000000-0005-0000-0000-0000C71A0000}"/>
    <cellStyle name="20% - Accent3 2 2 3 3 3 2" xfId="19740" xr:uid="{00000000-0005-0000-0000-0000C81A0000}"/>
    <cellStyle name="20% - Accent3 2 2 3 3 3 2 2" xfId="42342" xr:uid="{00000000-0005-0000-0000-0000C91A0000}"/>
    <cellStyle name="20% - Accent3 2 2 3 3 3 3" xfId="31041" xr:uid="{00000000-0005-0000-0000-0000CA1A0000}"/>
    <cellStyle name="20% - Accent3 2 2 3 3 4" xfId="14090" xr:uid="{00000000-0005-0000-0000-0000CB1A0000}"/>
    <cellStyle name="20% - Accent3 2 2 3 3 4 2" xfId="36692" xr:uid="{00000000-0005-0000-0000-0000CC1A0000}"/>
    <cellStyle name="20% - Accent3 2 2 3 3 5" xfId="25391" xr:uid="{00000000-0005-0000-0000-0000CD1A0000}"/>
    <cellStyle name="20% - Accent3 2 2 3 4" xfId="4388" xr:uid="{00000000-0005-0000-0000-0000CE1A0000}"/>
    <cellStyle name="20% - Accent3 2 2 3 4 2" xfId="10038" xr:uid="{00000000-0005-0000-0000-0000CF1A0000}"/>
    <cellStyle name="20% - Accent3 2 2 3 4 2 2" xfId="21339" xr:uid="{00000000-0005-0000-0000-0000D01A0000}"/>
    <cellStyle name="20% - Accent3 2 2 3 4 2 2 2" xfId="43941" xr:uid="{00000000-0005-0000-0000-0000D11A0000}"/>
    <cellStyle name="20% - Accent3 2 2 3 4 2 3" xfId="32640" xr:uid="{00000000-0005-0000-0000-0000D21A0000}"/>
    <cellStyle name="20% - Accent3 2 2 3 4 3" xfId="15689" xr:uid="{00000000-0005-0000-0000-0000D31A0000}"/>
    <cellStyle name="20% - Accent3 2 2 3 4 3 2" xfId="38291" xr:uid="{00000000-0005-0000-0000-0000D41A0000}"/>
    <cellStyle name="20% - Accent3 2 2 3 4 4" xfId="26990" xr:uid="{00000000-0005-0000-0000-0000D51A0000}"/>
    <cellStyle name="20% - Accent3 2 2 3 5" xfId="7185" xr:uid="{00000000-0005-0000-0000-0000D61A0000}"/>
    <cellStyle name="20% - Accent3 2 2 3 5 2" xfId="18486" xr:uid="{00000000-0005-0000-0000-0000D71A0000}"/>
    <cellStyle name="20% - Accent3 2 2 3 5 2 2" xfId="41088" xr:uid="{00000000-0005-0000-0000-0000D81A0000}"/>
    <cellStyle name="20% - Accent3 2 2 3 5 3" xfId="29787" xr:uid="{00000000-0005-0000-0000-0000D91A0000}"/>
    <cellStyle name="20% - Accent3 2 2 3 6" xfId="12836" xr:uid="{00000000-0005-0000-0000-0000DA1A0000}"/>
    <cellStyle name="20% - Accent3 2 2 3 6 2" xfId="35438" xr:uid="{00000000-0005-0000-0000-0000DB1A0000}"/>
    <cellStyle name="20% - Accent3 2 2 3 7" xfId="24137" xr:uid="{00000000-0005-0000-0000-0000DC1A0000}"/>
    <cellStyle name="20% - Accent3 2 2 4" xfId="896" xr:uid="{00000000-0005-0000-0000-0000DD1A0000}"/>
    <cellStyle name="20% - Accent3 2 2 4 2" xfId="2967" xr:uid="{00000000-0005-0000-0000-0000DE1A0000}"/>
    <cellStyle name="20% - Accent3 2 2 4 2 2" xfId="5939" xr:uid="{00000000-0005-0000-0000-0000DF1A0000}"/>
    <cellStyle name="20% - Accent3 2 2 4 2 2 2" xfId="11589" xr:uid="{00000000-0005-0000-0000-0000E01A0000}"/>
    <cellStyle name="20% - Accent3 2 2 4 2 2 2 2" xfId="22890" xr:uid="{00000000-0005-0000-0000-0000E11A0000}"/>
    <cellStyle name="20% - Accent3 2 2 4 2 2 2 2 2" xfId="45492" xr:uid="{00000000-0005-0000-0000-0000E21A0000}"/>
    <cellStyle name="20% - Accent3 2 2 4 2 2 2 3" xfId="34191" xr:uid="{00000000-0005-0000-0000-0000E31A0000}"/>
    <cellStyle name="20% - Accent3 2 2 4 2 2 3" xfId="17240" xr:uid="{00000000-0005-0000-0000-0000E41A0000}"/>
    <cellStyle name="20% - Accent3 2 2 4 2 2 3 2" xfId="39842" xr:uid="{00000000-0005-0000-0000-0000E51A0000}"/>
    <cellStyle name="20% - Accent3 2 2 4 2 2 4" xfId="28541" xr:uid="{00000000-0005-0000-0000-0000E61A0000}"/>
    <cellStyle name="20% - Accent3 2 2 4 2 3" xfId="8757" xr:uid="{00000000-0005-0000-0000-0000E71A0000}"/>
    <cellStyle name="20% - Accent3 2 2 4 2 3 2" xfId="20058" xr:uid="{00000000-0005-0000-0000-0000E81A0000}"/>
    <cellStyle name="20% - Accent3 2 2 4 2 3 2 2" xfId="42660" xr:uid="{00000000-0005-0000-0000-0000E91A0000}"/>
    <cellStyle name="20% - Accent3 2 2 4 2 3 3" xfId="31359" xr:uid="{00000000-0005-0000-0000-0000EA1A0000}"/>
    <cellStyle name="20% - Accent3 2 2 4 2 4" xfId="14408" xr:uid="{00000000-0005-0000-0000-0000EB1A0000}"/>
    <cellStyle name="20% - Accent3 2 2 4 2 4 2" xfId="37010" xr:uid="{00000000-0005-0000-0000-0000EC1A0000}"/>
    <cellStyle name="20% - Accent3 2 2 4 2 5" xfId="25709" xr:uid="{00000000-0005-0000-0000-0000ED1A0000}"/>
    <cellStyle name="20% - Accent3 2 2 4 3" xfId="4705" xr:uid="{00000000-0005-0000-0000-0000EE1A0000}"/>
    <cellStyle name="20% - Accent3 2 2 4 3 2" xfId="10355" xr:uid="{00000000-0005-0000-0000-0000EF1A0000}"/>
    <cellStyle name="20% - Accent3 2 2 4 3 2 2" xfId="21656" xr:uid="{00000000-0005-0000-0000-0000F01A0000}"/>
    <cellStyle name="20% - Accent3 2 2 4 3 2 2 2" xfId="44258" xr:uid="{00000000-0005-0000-0000-0000F11A0000}"/>
    <cellStyle name="20% - Accent3 2 2 4 3 2 3" xfId="32957" xr:uid="{00000000-0005-0000-0000-0000F21A0000}"/>
    <cellStyle name="20% - Accent3 2 2 4 3 3" xfId="16006" xr:uid="{00000000-0005-0000-0000-0000F31A0000}"/>
    <cellStyle name="20% - Accent3 2 2 4 3 3 2" xfId="38608" xr:uid="{00000000-0005-0000-0000-0000F41A0000}"/>
    <cellStyle name="20% - Accent3 2 2 4 3 4" xfId="27307" xr:uid="{00000000-0005-0000-0000-0000F51A0000}"/>
    <cellStyle name="20% - Accent3 2 2 4 4" xfId="6892" xr:uid="{00000000-0005-0000-0000-0000F61A0000}"/>
    <cellStyle name="20% - Accent3 2 2 4 4 2" xfId="18193" xr:uid="{00000000-0005-0000-0000-0000F71A0000}"/>
    <cellStyle name="20% - Accent3 2 2 4 4 2 2" xfId="40795" xr:uid="{00000000-0005-0000-0000-0000F81A0000}"/>
    <cellStyle name="20% - Accent3 2 2 4 4 3" xfId="29494" xr:uid="{00000000-0005-0000-0000-0000F91A0000}"/>
    <cellStyle name="20% - Accent3 2 2 4 5" xfId="12543" xr:uid="{00000000-0005-0000-0000-0000FA1A0000}"/>
    <cellStyle name="20% - Accent3 2 2 4 5 2" xfId="35145" xr:uid="{00000000-0005-0000-0000-0000FB1A0000}"/>
    <cellStyle name="20% - Accent3 2 2 4 6" xfId="23844" xr:uid="{00000000-0005-0000-0000-0000FC1A0000}"/>
    <cellStyle name="20% - Accent3 2 2 5" xfId="1632" xr:uid="{00000000-0005-0000-0000-0000FD1A0000}"/>
    <cellStyle name="20% - Accent3 2 2 5 2" xfId="3609" xr:uid="{00000000-0005-0000-0000-0000FE1A0000}"/>
    <cellStyle name="20% - Accent3 2 2 5 2 2" xfId="9323" xr:uid="{00000000-0005-0000-0000-0000FF1A0000}"/>
    <cellStyle name="20% - Accent3 2 2 5 2 2 2" xfId="20624" xr:uid="{00000000-0005-0000-0000-0000001B0000}"/>
    <cellStyle name="20% - Accent3 2 2 5 2 2 2 2" xfId="43226" xr:uid="{00000000-0005-0000-0000-0000011B0000}"/>
    <cellStyle name="20% - Accent3 2 2 5 2 2 3" xfId="31925" xr:uid="{00000000-0005-0000-0000-0000021B0000}"/>
    <cellStyle name="20% - Accent3 2 2 5 2 3" xfId="14974" xr:uid="{00000000-0005-0000-0000-0000031B0000}"/>
    <cellStyle name="20% - Accent3 2 2 5 2 3 2" xfId="37576" xr:uid="{00000000-0005-0000-0000-0000041B0000}"/>
    <cellStyle name="20% - Accent3 2 2 5 2 4" xfId="26275" xr:uid="{00000000-0005-0000-0000-0000051B0000}"/>
    <cellStyle name="20% - Accent3 2 2 5 3" xfId="5315" xr:uid="{00000000-0005-0000-0000-0000061B0000}"/>
    <cellStyle name="20% - Accent3 2 2 5 3 2" xfId="10965" xr:uid="{00000000-0005-0000-0000-0000071B0000}"/>
    <cellStyle name="20% - Accent3 2 2 5 3 2 2" xfId="22266" xr:uid="{00000000-0005-0000-0000-0000081B0000}"/>
    <cellStyle name="20% - Accent3 2 2 5 3 2 2 2" xfId="44868" xr:uid="{00000000-0005-0000-0000-0000091B0000}"/>
    <cellStyle name="20% - Accent3 2 2 5 3 2 3" xfId="33567" xr:uid="{00000000-0005-0000-0000-00000A1B0000}"/>
    <cellStyle name="20% - Accent3 2 2 5 3 3" xfId="16616" xr:uid="{00000000-0005-0000-0000-00000B1B0000}"/>
    <cellStyle name="20% - Accent3 2 2 5 3 3 2" xfId="39218" xr:uid="{00000000-0005-0000-0000-00000C1B0000}"/>
    <cellStyle name="20% - Accent3 2 2 5 3 4" xfId="27917" xr:uid="{00000000-0005-0000-0000-00000D1B0000}"/>
    <cellStyle name="20% - Accent3 2 2 5 4" xfId="7488" xr:uid="{00000000-0005-0000-0000-00000E1B0000}"/>
    <cellStyle name="20% - Accent3 2 2 5 4 2" xfId="18789" xr:uid="{00000000-0005-0000-0000-00000F1B0000}"/>
    <cellStyle name="20% - Accent3 2 2 5 4 2 2" xfId="41391" xr:uid="{00000000-0005-0000-0000-0000101B0000}"/>
    <cellStyle name="20% - Accent3 2 2 5 4 3" xfId="30090" xr:uid="{00000000-0005-0000-0000-0000111B0000}"/>
    <cellStyle name="20% - Accent3 2 2 5 5" xfId="13139" xr:uid="{00000000-0005-0000-0000-0000121B0000}"/>
    <cellStyle name="20% - Accent3 2 2 5 5 2" xfId="35741" xr:uid="{00000000-0005-0000-0000-0000131B0000}"/>
    <cellStyle name="20% - Accent3 2 2 5 6" xfId="24440" xr:uid="{00000000-0005-0000-0000-0000141B0000}"/>
    <cellStyle name="20% - Accent3 2 2 6" xfId="2294" xr:uid="{00000000-0005-0000-0000-0000151B0000}"/>
    <cellStyle name="20% - Accent3 2 2 6 2" xfId="8130" xr:uid="{00000000-0005-0000-0000-0000161B0000}"/>
    <cellStyle name="20% - Accent3 2 2 6 2 2" xfId="19431" xr:uid="{00000000-0005-0000-0000-0000171B0000}"/>
    <cellStyle name="20% - Accent3 2 2 6 2 2 2" xfId="42033" xr:uid="{00000000-0005-0000-0000-0000181B0000}"/>
    <cellStyle name="20% - Accent3 2 2 6 2 3" xfId="30732" xr:uid="{00000000-0005-0000-0000-0000191B0000}"/>
    <cellStyle name="20% - Accent3 2 2 6 3" xfId="13781" xr:uid="{00000000-0005-0000-0000-00001A1B0000}"/>
    <cellStyle name="20% - Accent3 2 2 6 3 2" xfId="36383" xr:uid="{00000000-0005-0000-0000-00001B1B0000}"/>
    <cellStyle name="20% - Accent3 2 2 6 4" xfId="25082" xr:uid="{00000000-0005-0000-0000-00001C1B0000}"/>
    <cellStyle name="20% - Accent3 2 2 7" xfId="4081" xr:uid="{00000000-0005-0000-0000-00001D1B0000}"/>
    <cellStyle name="20% - Accent3 2 2 7 2" xfId="9731" xr:uid="{00000000-0005-0000-0000-00001E1B0000}"/>
    <cellStyle name="20% - Accent3 2 2 7 2 2" xfId="21032" xr:uid="{00000000-0005-0000-0000-00001F1B0000}"/>
    <cellStyle name="20% - Accent3 2 2 7 2 2 2" xfId="43634" xr:uid="{00000000-0005-0000-0000-0000201B0000}"/>
    <cellStyle name="20% - Accent3 2 2 7 2 3" xfId="32333" xr:uid="{00000000-0005-0000-0000-0000211B0000}"/>
    <cellStyle name="20% - Accent3 2 2 7 3" xfId="15382" xr:uid="{00000000-0005-0000-0000-0000221B0000}"/>
    <cellStyle name="20% - Accent3 2 2 7 3 2" xfId="37984" xr:uid="{00000000-0005-0000-0000-0000231B0000}"/>
    <cellStyle name="20% - Accent3 2 2 7 4" xfId="26683" xr:uid="{00000000-0005-0000-0000-0000241B0000}"/>
    <cellStyle name="20% - Accent3 2 2 8" xfId="6532" xr:uid="{00000000-0005-0000-0000-0000251B0000}"/>
    <cellStyle name="20% - Accent3 2 2 8 2" xfId="17833" xr:uid="{00000000-0005-0000-0000-0000261B0000}"/>
    <cellStyle name="20% - Accent3 2 2 8 2 2" xfId="40435" xr:uid="{00000000-0005-0000-0000-0000271B0000}"/>
    <cellStyle name="20% - Accent3 2 2 8 3" xfId="29134" xr:uid="{00000000-0005-0000-0000-0000281B0000}"/>
    <cellStyle name="20% - Accent3 2 2 9" xfId="12183" xr:uid="{00000000-0005-0000-0000-0000291B0000}"/>
    <cellStyle name="20% - Accent3 2 2 9 2" xfId="34785" xr:uid="{00000000-0005-0000-0000-00002A1B0000}"/>
    <cellStyle name="20% - Accent3 2 3" xfId="2818" xr:uid="{00000000-0005-0000-0000-00002B1B0000}"/>
    <cellStyle name="20% - Accent3 2 3 2" xfId="3897" xr:uid="{00000000-0005-0000-0000-00002C1B0000}"/>
    <cellStyle name="20% - Accent3 2 3 2 2" xfId="5833" xr:uid="{00000000-0005-0000-0000-00002D1B0000}"/>
    <cellStyle name="20% - Accent3 2 3 2 2 2" xfId="11483" xr:uid="{00000000-0005-0000-0000-00002E1B0000}"/>
    <cellStyle name="20% - Accent3 2 3 2 2 2 2" xfId="22784" xr:uid="{00000000-0005-0000-0000-00002F1B0000}"/>
    <cellStyle name="20% - Accent3 2 3 2 2 2 2 2" xfId="45386" xr:uid="{00000000-0005-0000-0000-0000301B0000}"/>
    <cellStyle name="20% - Accent3 2 3 2 2 2 3" xfId="34085" xr:uid="{00000000-0005-0000-0000-0000311B0000}"/>
    <cellStyle name="20% - Accent3 2 3 2 2 3" xfId="17134" xr:uid="{00000000-0005-0000-0000-0000321B0000}"/>
    <cellStyle name="20% - Accent3 2 3 2 2 3 2" xfId="39736" xr:uid="{00000000-0005-0000-0000-0000331B0000}"/>
    <cellStyle name="20% - Accent3 2 3 2 2 4" xfId="28435" xr:uid="{00000000-0005-0000-0000-0000341B0000}"/>
    <cellStyle name="20% - Accent3 2 3 2 3" xfId="9599" xr:uid="{00000000-0005-0000-0000-0000351B0000}"/>
    <cellStyle name="20% - Accent3 2 3 2 3 2" xfId="20900" xr:uid="{00000000-0005-0000-0000-0000361B0000}"/>
    <cellStyle name="20% - Accent3 2 3 2 3 2 2" xfId="43502" xr:uid="{00000000-0005-0000-0000-0000371B0000}"/>
    <cellStyle name="20% - Accent3 2 3 2 3 3" xfId="32201" xr:uid="{00000000-0005-0000-0000-0000381B0000}"/>
    <cellStyle name="20% - Accent3 2 3 2 4" xfId="15250" xr:uid="{00000000-0005-0000-0000-0000391B0000}"/>
    <cellStyle name="20% - Accent3 2 3 2 4 2" xfId="37852" xr:uid="{00000000-0005-0000-0000-00003A1B0000}"/>
    <cellStyle name="20% - Accent3 2 3 2 5" xfId="26551" xr:uid="{00000000-0005-0000-0000-00003B1B0000}"/>
    <cellStyle name="20% - Accent3 2 3 3" xfId="4599" xr:uid="{00000000-0005-0000-0000-00003C1B0000}"/>
    <cellStyle name="20% - Accent3 2 3 3 2" xfId="10249" xr:uid="{00000000-0005-0000-0000-00003D1B0000}"/>
    <cellStyle name="20% - Accent3 2 3 3 2 2" xfId="21550" xr:uid="{00000000-0005-0000-0000-00003E1B0000}"/>
    <cellStyle name="20% - Accent3 2 3 3 2 2 2" xfId="44152" xr:uid="{00000000-0005-0000-0000-00003F1B0000}"/>
    <cellStyle name="20% - Accent3 2 3 3 2 3" xfId="32851" xr:uid="{00000000-0005-0000-0000-0000401B0000}"/>
    <cellStyle name="20% - Accent3 2 3 3 3" xfId="15900" xr:uid="{00000000-0005-0000-0000-0000411B0000}"/>
    <cellStyle name="20% - Accent3 2 3 3 3 2" xfId="38502" xr:uid="{00000000-0005-0000-0000-0000421B0000}"/>
    <cellStyle name="20% - Accent3 2 3 3 4" xfId="27201" xr:uid="{00000000-0005-0000-0000-0000431B0000}"/>
    <cellStyle name="20% - Accent3 2 3 4" xfId="8651" xr:uid="{00000000-0005-0000-0000-0000441B0000}"/>
    <cellStyle name="20% - Accent3 2 3 4 2" xfId="19952" xr:uid="{00000000-0005-0000-0000-0000451B0000}"/>
    <cellStyle name="20% - Accent3 2 3 4 2 2" xfId="42554" xr:uid="{00000000-0005-0000-0000-0000461B0000}"/>
    <cellStyle name="20% - Accent3 2 3 4 3" xfId="31253" xr:uid="{00000000-0005-0000-0000-0000471B0000}"/>
    <cellStyle name="20% - Accent3 2 3 5" xfId="14302" xr:uid="{00000000-0005-0000-0000-0000481B0000}"/>
    <cellStyle name="20% - Accent3 2 3 5 2" xfId="36904" xr:uid="{00000000-0005-0000-0000-0000491B0000}"/>
    <cellStyle name="20% - Accent3 2 3 6" xfId="25603" xr:uid="{00000000-0005-0000-0000-00004A1B0000}"/>
    <cellStyle name="20% - Accent3 2 4" xfId="2829" xr:uid="{00000000-0005-0000-0000-00004B1B0000}"/>
    <cellStyle name="20% - Accent3 2 5" xfId="3941" xr:uid="{00000000-0005-0000-0000-00004C1B0000}"/>
    <cellStyle name="20% - Accent3 2 5 2" xfId="9614" xr:uid="{00000000-0005-0000-0000-00004D1B0000}"/>
    <cellStyle name="20% - Accent3 2 5 2 2" xfId="20915" xr:uid="{00000000-0005-0000-0000-00004E1B0000}"/>
    <cellStyle name="20% - Accent3 2 5 2 2 2" xfId="43517" xr:uid="{00000000-0005-0000-0000-00004F1B0000}"/>
    <cellStyle name="20% - Accent3 2 5 2 3" xfId="32216" xr:uid="{00000000-0005-0000-0000-0000501B0000}"/>
    <cellStyle name="20% - Accent3 2 5 3" xfId="15265" xr:uid="{00000000-0005-0000-0000-0000511B0000}"/>
    <cellStyle name="20% - Accent3 2 5 3 2" xfId="37867" xr:uid="{00000000-0005-0000-0000-0000521B0000}"/>
    <cellStyle name="20% - Accent3 2 5 4" xfId="26566" xr:uid="{00000000-0005-0000-0000-0000531B0000}"/>
    <cellStyle name="20% - Accent3 2 6" xfId="3947" xr:uid="{00000000-0005-0000-0000-0000541B0000}"/>
    <cellStyle name="20% - Accent3 2 7" xfId="149" xr:uid="{00000000-0005-0000-0000-0000551B0000}"/>
    <cellStyle name="20% - Accent3 3" xfId="218" xr:uid="{00000000-0005-0000-0000-0000561B0000}"/>
    <cellStyle name="20% - Accent3 3 2" xfId="346" xr:uid="{00000000-0005-0000-0000-0000571B0000}"/>
    <cellStyle name="20% - Accent3 3 2 10" xfId="23457" xr:uid="{00000000-0005-0000-0000-0000581B0000}"/>
    <cellStyle name="20% - Accent3 3 2 2" xfId="607" xr:uid="{00000000-0005-0000-0000-0000591B0000}"/>
    <cellStyle name="20% - Accent3 3 2 2 2" xfId="1317" xr:uid="{00000000-0005-0000-0000-00005A1B0000}"/>
    <cellStyle name="20% - Accent3 3 2 2 2 2" xfId="1638" xr:uid="{00000000-0005-0000-0000-00005B1B0000}"/>
    <cellStyle name="20% - Accent3 3 2 2 2 2 2" xfId="3386" xr:uid="{00000000-0005-0000-0000-00005C1B0000}"/>
    <cellStyle name="20% - Accent3 3 2 2 2 2 2 2" xfId="6358" xr:uid="{00000000-0005-0000-0000-00005D1B0000}"/>
    <cellStyle name="20% - Accent3 3 2 2 2 2 2 2 2" xfId="12008" xr:uid="{00000000-0005-0000-0000-00005E1B0000}"/>
    <cellStyle name="20% - Accent3 3 2 2 2 2 2 2 2 2" xfId="23309" xr:uid="{00000000-0005-0000-0000-00005F1B0000}"/>
    <cellStyle name="20% - Accent3 3 2 2 2 2 2 2 2 2 2" xfId="45911" xr:uid="{00000000-0005-0000-0000-0000601B0000}"/>
    <cellStyle name="20% - Accent3 3 2 2 2 2 2 2 2 3" xfId="34610" xr:uid="{00000000-0005-0000-0000-0000611B0000}"/>
    <cellStyle name="20% - Accent3 3 2 2 2 2 2 2 3" xfId="17659" xr:uid="{00000000-0005-0000-0000-0000621B0000}"/>
    <cellStyle name="20% - Accent3 3 2 2 2 2 2 2 3 2" xfId="40261" xr:uid="{00000000-0005-0000-0000-0000631B0000}"/>
    <cellStyle name="20% - Accent3 3 2 2 2 2 2 2 4" xfId="28960" xr:uid="{00000000-0005-0000-0000-0000641B0000}"/>
    <cellStyle name="20% - Accent3 3 2 2 2 2 2 3" xfId="9176" xr:uid="{00000000-0005-0000-0000-0000651B0000}"/>
    <cellStyle name="20% - Accent3 3 2 2 2 2 2 3 2" xfId="20477" xr:uid="{00000000-0005-0000-0000-0000661B0000}"/>
    <cellStyle name="20% - Accent3 3 2 2 2 2 2 3 2 2" xfId="43079" xr:uid="{00000000-0005-0000-0000-0000671B0000}"/>
    <cellStyle name="20% - Accent3 3 2 2 2 2 2 3 3" xfId="31778" xr:uid="{00000000-0005-0000-0000-0000681B0000}"/>
    <cellStyle name="20% - Accent3 3 2 2 2 2 2 4" xfId="14827" xr:uid="{00000000-0005-0000-0000-0000691B0000}"/>
    <cellStyle name="20% - Accent3 3 2 2 2 2 2 4 2" xfId="37429" xr:uid="{00000000-0005-0000-0000-00006A1B0000}"/>
    <cellStyle name="20% - Accent3 3 2 2 2 2 2 5" xfId="26128" xr:uid="{00000000-0005-0000-0000-00006B1B0000}"/>
    <cellStyle name="20% - Accent3 3 2 2 2 2 3" xfId="5124" xr:uid="{00000000-0005-0000-0000-00006C1B0000}"/>
    <cellStyle name="20% - Accent3 3 2 2 2 2 3 2" xfId="10774" xr:uid="{00000000-0005-0000-0000-00006D1B0000}"/>
    <cellStyle name="20% - Accent3 3 2 2 2 2 3 2 2" xfId="22075" xr:uid="{00000000-0005-0000-0000-00006E1B0000}"/>
    <cellStyle name="20% - Accent3 3 2 2 2 2 3 2 2 2" xfId="44677" xr:uid="{00000000-0005-0000-0000-00006F1B0000}"/>
    <cellStyle name="20% - Accent3 3 2 2 2 2 3 2 3" xfId="33376" xr:uid="{00000000-0005-0000-0000-0000701B0000}"/>
    <cellStyle name="20% - Accent3 3 2 2 2 2 3 3" xfId="16425" xr:uid="{00000000-0005-0000-0000-0000711B0000}"/>
    <cellStyle name="20% - Accent3 3 2 2 2 2 3 3 2" xfId="39027" xr:uid="{00000000-0005-0000-0000-0000721B0000}"/>
    <cellStyle name="20% - Accent3 3 2 2 2 2 3 4" xfId="27726" xr:uid="{00000000-0005-0000-0000-0000731B0000}"/>
    <cellStyle name="20% - Accent3 3 2 2 2 2 4" xfId="7494" xr:uid="{00000000-0005-0000-0000-0000741B0000}"/>
    <cellStyle name="20% - Accent3 3 2 2 2 2 4 2" xfId="18795" xr:uid="{00000000-0005-0000-0000-0000751B0000}"/>
    <cellStyle name="20% - Accent3 3 2 2 2 2 4 2 2" xfId="41397" xr:uid="{00000000-0005-0000-0000-0000761B0000}"/>
    <cellStyle name="20% - Accent3 3 2 2 2 2 4 3" xfId="30096" xr:uid="{00000000-0005-0000-0000-0000771B0000}"/>
    <cellStyle name="20% - Accent3 3 2 2 2 2 5" xfId="13145" xr:uid="{00000000-0005-0000-0000-0000781B0000}"/>
    <cellStyle name="20% - Accent3 3 2 2 2 2 5 2" xfId="35747" xr:uid="{00000000-0005-0000-0000-0000791B0000}"/>
    <cellStyle name="20% - Accent3 3 2 2 2 2 6" xfId="24446" xr:uid="{00000000-0005-0000-0000-00007A1B0000}"/>
    <cellStyle name="20% - Accent3 3 2 2 2 3" xfId="2715" xr:uid="{00000000-0005-0000-0000-00007B1B0000}"/>
    <cellStyle name="20% - Accent3 3 2 2 2 3 2" xfId="5734" xr:uid="{00000000-0005-0000-0000-00007C1B0000}"/>
    <cellStyle name="20% - Accent3 3 2 2 2 3 2 2" xfId="11384" xr:uid="{00000000-0005-0000-0000-00007D1B0000}"/>
    <cellStyle name="20% - Accent3 3 2 2 2 3 2 2 2" xfId="22685" xr:uid="{00000000-0005-0000-0000-00007E1B0000}"/>
    <cellStyle name="20% - Accent3 3 2 2 2 3 2 2 2 2" xfId="45287" xr:uid="{00000000-0005-0000-0000-00007F1B0000}"/>
    <cellStyle name="20% - Accent3 3 2 2 2 3 2 2 3" xfId="33986" xr:uid="{00000000-0005-0000-0000-0000801B0000}"/>
    <cellStyle name="20% - Accent3 3 2 2 2 3 2 3" xfId="17035" xr:uid="{00000000-0005-0000-0000-0000811B0000}"/>
    <cellStyle name="20% - Accent3 3 2 2 2 3 2 3 2" xfId="39637" xr:uid="{00000000-0005-0000-0000-0000821B0000}"/>
    <cellStyle name="20% - Accent3 3 2 2 2 3 2 4" xfId="28336" xr:uid="{00000000-0005-0000-0000-0000831B0000}"/>
    <cellStyle name="20% - Accent3 3 2 2 2 3 3" xfId="8551" xr:uid="{00000000-0005-0000-0000-0000841B0000}"/>
    <cellStyle name="20% - Accent3 3 2 2 2 3 3 2" xfId="19852" xr:uid="{00000000-0005-0000-0000-0000851B0000}"/>
    <cellStyle name="20% - Accent3 3 2 2 2 3 3 2 2" xfId="42454" xr:uid="{00000000-0005-0000-0000-0000861B0000}"/>
    <cellStyle name="20% - Accent3 3 2 2 2 3 3 3" xfId="31153" xr:uid="{00000000-0005-0000-0000-0000871B0000}"/>
    <cellStyle name="20% - Accent3 3 2 2 2 3 4" xfId="14202" xr:uid="{00000000-0005-0000-0000-0000881B0000}"/>
    <cellStyle name="20% - Accent3 3 2 2 2 3 4 2" xfId="36804" xr:uid="{00000000-0005-0000-0000-0000891B0000}"/>
    <cellStyle name="20% - Accent3 3 2 2 2 3 5" xfId="25503" xr:uid="{00000000-0005-0000-0000-00008A1B0000}"/>
    <cellStyle name="20% - Accent3 3 2 2 2 4" xfId="4500" xr:uid="{00000000-0005-0000-0000-00008B1B0000}"/>
    <cellStyle name="20% - Accent3 3 2 2 2 4 2" xfId="10150" xr:uid="{00000000-0005-0000-0000-00008C1B0000}"/>
    <cellStyle name="20% - Accent3 3 2 2 2 4 2 2" xfId="21451" xr:uid="{00000000-0005-0000-0000-00008D1B0000}"/>
    <cellStyle name="20% - Accent3 3 2 2 2 4 2 2 2" xfId="44053" xr:uid="{00000000-0005-0000-0000-00008E1B0000}"/>
    <cellStyle name="20% - Accent3 3 2 2 2 4 2 3" xfId="32752" xr:uid="{00000000-0005-0000-0000-00008F1B0000}"/>
    <cellStyle name="20% - Accent3 3 2 2 2 4 3" xfId="15801" xr:uid="{00000000-0005-0000-0000-0000901B0000}"/>
    <cellStyle name="20% - Accent3 3 2 2 2 4 3 2" xfId="38403" xr:uid="{00000000-0005-0000-0000-0000911B0000}"/>
    <cellStyle name="20% - Accent3 3 2 2 2 4 4" xfId="27102" xr:uid="{00000000-0005-0000-0000-0000921B0000}"/>
    <cellStyle name="20% - Accent3 3 2 2 2 5" xfId="7296" xr:uid="{00000000-0005-0000-0000-0000931B0000}"/>
    <cellStyle name="20% - Accent3 3 2 2 2 5 2" xfId="18597" xr:uid="{00000000-0005-0000-0000-0000941B0000}"/>
    <cellStyle name="20% - Accent3 3 2 2 2 5 2 2" xfId="41199" xr:uid="{00000000-0005-0000-0000-0000951B0000}"/>
    <cellStyle name="20% - Accent3 3 2 2 2 5 3" xfId="29898" xr:uid="{00000000-0005-0000-0000-0000961B0000}"/>
    <cellStyle name="20% - Accent3 3 2 2 2 6" xfId="12947" xr:uid="{00000000-0005-0000-0000-0000971B0000}"/>
    <cellStyle name="20% - Accent3 3 2 2 2 6 2" xfId="35549" xr:uid="{00000000-0005-0000-0000-0000981B0000}"/>
    <cellStyle name="20% - Accent3 3 2 2 2 7" xfId="24248" xr:uid="{00000000-0005-0000-0000-0000991B0000}"/>
    <cellStyle name="20% - Accent3 3 2 2 3" xfId="1015" xr:uid="{00000000-0005-0000-0000-00009A1B0000}"/>
    <cellStyle name="20% - Accent3 3 2 2 3 2" xfId="3078" xr:uid="{00000000-0005-0000-0000-00009B1B0000}"/>
    <cellStyle name="20% - Accent3 3 2 2 3 2 2" xfId="6050" xr:uid="{00000000-0005-0000-0000-00009C1B0000}"/>
    <cellStyle name="20% - Accent3 3 2 2 3 2 2 2" xfId="11700" xr:uid="{00000000-0005-0000-0000-00009D1B0000}"/>
    <cellStyle name="20% - Accent3 3 2 2 3 2 2 2 2" xfId="23001" xr:uid="{00000000-0005-0000-0000-00009E1B0000}"/>
    <cellStyle name="20% - Accent3 3 2 2 3 2 2 2 2 2" xfId="45603" xr:uid="{00000000-0005-0000-0000-00009F1B0000}"/>
    <cellStyle name="20% - Accent3 3 2 2 3 2 2 2 3" xfId="34302" xr:uid="{00000000-0005-0000-0000-0000A01B0000}"/>
    <cellStyle name="20% - Accent3 3 2 2 3 2 2 3" xfId="17351" xr:uid="{00000000-0005-0000-0000-0000A11B0000}"/>
    <cellStyle name="20% - Accent3 3 2 2 3 2 2 3 2" xfId="39953" xr:uid="{00000000-0005-0000-0000-0000A21B0000}"/>
    <cellStyle name="20% - Accent3 3 2 2 3 2 2 4" xfId="28652" xr:uid="{00000000-0005-0000-0000-0000A31B0000}"/>
    <cellStyle name="20% - Accent3 3 2 2 3 2 3" xfId="8868" xr:uid="{00000000-0005-0000-0000-0000A41B0000}"/>
    <cellStyle name="20% - Accent3 3 2 2 3 2 3 2" xfId="20169" xr:uid="{00000000-0005-0000-0000-0000A51B0000}"/>
    <cellStyle name="20% - Accent3 3 2 2 3 2 3 2 2" xfId="42771" xr:uid="{00000000-0005-0000-0000-0000A61B0000}"/>
    <cellStyle name="20% - Accent3 3 2 2 3 2 3 3" xfId="31470" xr:uid="{00000000-0005-0000-0000-0000A71B0000}"/>
    <cellStyle name="20% - Accent3 3 2 2 3 2 4" xfId="14519" xr:uid="{00000000-0005-0000-0000-0000A81B0000}"/>
    <cellStyle name="20% - Accent3 3 2 2 3 2 4 2" xfId="37121" xr:uid="{00000000-0005-0000-0000-0000A91B0000}"/>
    <cellStyle name="20% - Accent3 3 2 2 3 2 5" xfId="25820" xr:uid="{00000000-0005-0000-0000-0000AA1B0000}"/>
    <cellStyle name="20% - Accent3 3 2 2 3 3" xfId="4816" xr:uid="{00000000-0005-0000-0000-0000AB1B0000}"/>
    <cellStyle name="20% - Accent3 3 2 2 3 3 2" xfId="10466" xr:uid="{00000000-0005-0000-0000-0000AC1B0000}"/>
    <cellStyle name="20% - Accent3 3 2 2 3 3 2 2" xfId="21767" xr:uid="{00000000-0005-0000-0000-0000AD1B0000}"/>
    <cellStyle name="20% - Accent3 3 2 2 3 3 2 2 2" xfId="44369" xr:uid="{00000000-0005-0000-0000-0000AE1B0000}"/>
    <cellStyle name="20% - Accent3 3 2 2 3 3 2 3" xfId="33068" xr:uid="{00000000-0005-0000-0000-0000AF1B0000}"/>
    <cellStyle name="20% - Accent3 3 2 2 3 3 3" xfId="16117" xr:uid="{00000000-0005-0000-0000-0000B01B0000}"/>
    <cellStyle name="20% - Accent3 3 2 2 3 3 3 2" xfId="38719" xr:uid="{00000000-0005-0000-0000-0000B11B0000}"/>
    <cellStyle name="20% - Accent3 3 2 2 3 3 4" xfId="27418" xr:uid="{00000000-0005-0000-0000-0000B21B0000}"/>
    <cellStyle name="20% - Accent3 3 2 2 3 4" xfId="7003" xr:uid="{00000000-0005-0000-0000-0000B31B0000}"/>
    <cellStyle name="20% - Accent3 3 2 2 3 4 2" xfId="18304" xr:uid="{00000000-0005-0000-0000-0000B41B0000}"/>
    <cellStyle name="20% - Accent3 3 2 2 3 4 2 2" xfId="40906" xr:uid="{00000000-0005-0000-0000-0000B51B0000}"/>
    <cellStyle name="20% - Accent3 3 2 2 3 4 3" xfId="29605" xr:uid="{00000000-0005-0000-0000-0000B61B0000}"/>
    <cellStyle name="20% - Accent3 3 2 2 3 5" xfId="12654" xr:uid="{00000000-0005-0000-0000-0000B71B0000}"/>
    <cellStyle name="20% - Accent3 3 2 2 3 5 2" xfId="35256" xr:uid="{00000000-0005-0000-0000-0000B81B0000}"/>
    <cellStyle name="20% - Accent3 3 2 2 3 6" xfId="23955" xr:uid="{00000000-0005-0000-0000-0000B91B0000}"/>
    <cellStyle name="20% - Accent3 3 2 2 4" xfId="1637" xr:uid="{00000000-0005-0000-0000-0000BA1B0000}"/>
    <cellStyle name="20% - Accent3 3 2 2 4 2" xfId="3612" xr:uid="{00000000-0005-0000-0000-0000BB1B0000}"/>
    <cellStyle name="20% - Accent3 3 2 2 4 2 2" xfId="9326" xr:uid="{00000000-0005-0000-0000-0000BC1B0000}"/>
    <cellStyle name="20% - Accent3 3 2 2 4 2 2 2" xfId="20627" xr:uid="{00000000-0005-0000-0000-0000BD1B0000}"/>
    <cellStyle name="20% - Accent3 3 2 2 4 2 2 2 2" xfId="43229" xr:uid="{00000000-0005-0000-0000-0000BE1B0000}"/>
    <cellStyle name="20% - Accent3 3 2 2 4 2 2 3" xfId="31928" xr:uid="{00000000-0005-0000-0000-0000BF1B0000}"/>
    <cellStyle name="20% - Accent3 3 2 2 4 2 3" xfId="14977" xr:uid="{00000000-0005-0000-0000-0000C01B0000}"/>
    <cellStyle name="20% - Accent3 3 2 2 4 2 3 2" xfId="37579" xr:uid="{00000000-0005-0000-0000-0000C11B0000}"/>
    <cellStyle name="20% - Accent3 3 2 2 4 2 4" xfId="26278" xr:uid="{00000000-0005-0000-0000-0000C21B0000}"/>
    <cellStyle name="20% - Accent3 3 2 2 4 3" xfId="5426" xr:uid="{00000000-0005-0000-0000-0000C31B0000}"/>
    <cellStyle name="20% - Accent3 3 2 2 4 3 2" xfId="11076" xr:uid="{00000000-0005-0000-0000-0000C41B0000}"/>
    <cellStyle name="20% - Accent3 3 2 2 4 3 2 2" xfId="22377" xr:uid="{00000000-0005-0000-0000-0000C51B0000}"/>
    <cellStyle name="20% - Accent3 3 2 2 4 3 2 2 2" xfId="44979" xr:uid="{00000000-0005-0000-0000-0000C61B0000}"/>
    <cellStyle name="20% - Accent3 3 2 2 4 3 2 3" xfId="33678" xr:uid="{00000000-0005-0000-0000-0000C71B0000}"/>
    <cellStyle name="20% - Accent3 3 2 2 4 3 3" xfId="16727" xr:uid="{00000000-0005-0000-0000-0000C81B0000}"/>
    <cellStyle name="20% - Accent3 3 2 2 4 3 3 2" xfId="39329" xr:uid="{00000000-0005-0000-0000-0000C91B0000}"/>
    <cellStyle name="20% - Accent3 3 2 2 4 3 4" xfId="28028" xr:uid="{00000000-0005-0000-0000-0000CA1B0000}"/>
    <cellStyle name="20% - Accent3 3 2 2 4 4" xfId="7493" xr:uid="{00000000-0005-0000-0000-0000CB1B0000}"/>
    <cellStyle name="20% - Accent3 3 2 2 4 4 2" xfId="18794" xr:uid="{00000000-0005-0000-0000-0000CC1B0000}"/>
    <cellStyle name="20% - Accent3 3 2 2 4 4 2 2" xfId="41396" xr:uid="{00000000-0005-0000-0000-0000CD1B0000}"/>
    <cellStyle name="20% - Accent3 3 2 2 4 4 3" xfId="30095" xr:uid="{00000000-0005-0000-0000-0000CE1B0000}"/>
    <cellStyle name="20% - Accent3 3 2 2 4 5" xfId="13144" xr:uid="{00000000-0005-0000-0000-0000CF1B0000}"/>
    <cellStyle name="20% - Accent3 3 2 2 4 5 2" xfId="35746" xr:uid="{00000000-0005-0000-0000-0000D01B0000}"/>
    <cellStyle name="20% - Accent3 3 2 2 4 6" xfId="24445" xr:uid="{00000000-0005-0000-0000-0000D11B0000}"/>
    <cellStyle name="20% - Accent3 3 2 2 5" xfId="2407" xr:uid="{00000000-0005-0000-0000-0000D21B0000}"/>
    <cellStyle name="20% - Accent3 3 2 2 5 2" xfId="8243" xr:uid="{00000000-0005-0000-0000-0000D31B0000}"/>
    <cellStyle name="20% - Accent3 3 2 2 5 2 2" xfId="19544" xr:uid="{00000000-0005-0000-0000-0000D41B0000}"/>
    <cellStyle name="20% - Accent3 3 2 2 5 2 2 2" xfId="42146" xr:uid="{00000000-0005-0000-0000-0000D51B0000}"/>
    <cellStyle name="20% - Accent3 3 2 2 5 2 3" xfId="30845" xr:uid="{00000000-0005-0000-0000-0000D61B0000}"/>
    <cellStyle name="20% - Accent3 3 2 2 5 3" xfId="13894" xr:uid="{00000000-0005-0000-0000-0000D71B0000}"/>
    <cellStyle name="20% - Accent3 3 2 2 5 3 2" xfId="36496" xr:uid="{00000000-0005-0000-0000-0000D81B0000}"/>
    <cellStyle name="20% - Accent3 3 2 2 5 4" xfId="25195" xr:uid="{00000000-0005-0000-0000-0000D91B0000}"/>
    <cellStyle name="20% - Accent3 3 2 2 6" xfId="4192" xr:uid="{00000000-0005-0000-0000-0000DA1B0000}"/>
    <cellStyle name="20% - Accent3 3 2 2 6 2" xfId="9842" xr:uid="{00000000-0005-0000-0000-0000DB1B0000}"/>
    <cellStyle name="20% - Accent3 3 2 2 6 2 2" xfId="21143" xr:uid="{00000000-0005-0000-0000-0000DC1B0000}"/>
    <cellStyle name="20% - Accent3 3 2 2 6 2 2 2" xfId="43745" xr:uid="{00000000-0005-0000-0000-0000DD1B0000}"/>
    <cellStyle name="20% - Accent3 3 2 2 6 2 3" xfId="32444" xr:uid="{00000000-0005-0000-0000-0000DE1B0000}"/>
    <cellStyle name="20% - Accent3 3 2 2 6 3" xfId="15493" xr:uid="{00000000-0005-0000-0000-0000DF1B0000}"/>
    <cellStyle name="20% - Accent3 3 2 2 6 3 2" xfId="38095" xr:uid="{00000000-0005-0000-0000-0000E01B0000}"/>
    <cellStyle name="20% - Accent3 3 2 2 6 4" xfId="26794" xr:uid="{00000000-0005-0000-0000-0000E11B0000}"/>
    <cellStyle name="20% - Accent3 3 2 2 7" xfId="6672" xr:uid="{00000000-0005-0000-0000-0000E21B0000}"/>
    <cellStyle name="20% - Accent3 3 2 2 7 2" xfId="17973" xr:uid="{00000000-0005-0000-0000-0000E31B0000}"/>
    <cellStyle name="20% - Accent3 3 2 2 7 2 2" xfId="40575" xr:uid="{00000000-0005-0000-0000-0000E41B0000}"/>
    <cellStyle name="20% - Accent3 3 2 2 7 3" xfId="29274" xr:uid="{00000000-0005-0000-0000-0000E51B0000}"/>
    <cellStyle name="20% - Accent3 3 2 2 8" xfId="12323" xr:uid="{00000000-0005-0000-0000-0000E61B0000}"/>
    <cellStyle name="20% - Accent3 3 2 2 8 2" xfId="34925" xr:uid="{00000000-0005-0000-0000-0000E71B0000}"/>
    <cellStyle name="20% - Accent3 3 2 2 9" xfId="23624" xr:uid="{00000000-0005-0000-0000-0000E81B0000}"/>
    <cellStyle name="20% - Accent3 3 2 3" xfId="1179" xr:uid="{00000000-0005-0000-0000-0000E91B0000}"/>
    <cellStyle name="20% - Accent3 3 2 3 2" xfId="1639" xr:uid="{00000000-0005-0000-0000-0000EA1B0000}"/>
    <cellStyle name="20% - Accent3 3 2 3 2 2" xfId="3247" xr:uid="{00000000-0005-0000-0000-0000EB1B0000}"/>
    <cellStyle name="20% - Accent3 3 2 3 2 2 2" xfId="6219" xr:uid="{00000000-0005-0000-0000-0000EC1B0000}"/>
    <cellStyle name="20% - Accent3 3 2 3 2 2 2 2" xfId="11869" xr:uid="{00000000-0005-0000-0000-0000ED1B0000}"/>
    <cellStyle name="20% - Accent3 3 2 3 2 2 2 2 2" xfId="23170" xr:uid="{00000000-0005-0000-0000-0000EE1B0000}"/>
    <cellStyle name="20% - Accent3 3 2 3 2 2 2 2 2 2" xfId="45772" xr:uid="{00000000-0005-0000-0000-0000EF1B0000}"/>
    <cellStyle name="20% - Accent3 3 2 3 2 2 2 2 3" xfId="34471" xr:uid="{00000000-0005-0000-0000-0000F01B0000}"/>
    <cellStyle name="20% - Accent3 3 2 3 2 2 2 3" xfId="17520" xr:uid="{00000000-0005-0000-0000-0000F11B0000}"/>
    <cellStyle name="20% - Accent3 3 2 3 2 2 2 3 2" xfId="40122" xr:uid="{00000000-0005-0000-0000-0000F21B0000}"/>
    <cellStyle name="20% - Accent3 3 2 3 2 2 2 4" xfId="28821" xr:uid="{00000000-0005-0000-0000-0000F31B0000}"/>
    <cellStyle name="20% - Accent3 3 2 3 2 2 3" xfId="9037" xr:uid="{00000000-0005-0000-0000-0000F41B0000}"/>
    <cellStyle name="20% - Accent3 3 2 3 2 2 3 2" xfId="20338" xr:uid="{00000000-0005-0000-0000-0000F51B0000}"/>
    <cellStyle name="20% - Accent3 3 2 3 2 2 3 2 2" xfId="42940" xr:uid="{00000000-0005-0000-0000-0000F61B0000}"/>
    <cellStyle name="20% - Accent3 3 2 3 2 2 3 3" xfId="31639" xr:uid="{00000000-0005-0000-0000-0000F71B0000}"/>
    <cellStyle name="20% - Accent3 3 2 3 2 2 4" xfId="14688" xr:uid="{00000000-0005-0000-0000-0000F81B0000}"/>
    <cellStyle name="20% - Accent3 3 2 3 2 2 4 2" xfId="37290" xr:uid="{00000000-0005-0000-0000-0000F91B0000}"/>
    <cellStyle name="20% - Accent3 3 2 3 2 2 5" xfId="25989" xr:uid="{00000000-0005-0000-0000-0000FA1B0000}"/>
    <cellStyle name="20% - Accent3 3 2 3 2 3" xfId="4985" xr:uid="{00000000-0005-0000-0000-0000FB1B0000}"/>
    <cellStyle name="20% - Accent3 3 2 3 2 3 2" xfId="10635" xr:uid="{00000000-0005-0000-0000-0000FC1B0000}"/>
    <cellStyle name="20% - Accent3 3 2 3 2 3 2 2" xfId="21936" xr:uid="{00000000-0005-0000-0000-0000FD1B0000}"/>
    <cellStyle name="20% - Accent3 3 2 3 2 3 2 2 2" xfId="44538" xr:uid="{00000000-0005-0000-0000-0000FE1B0000}"/>
    <cellStyle name="20% - Accent3 3 2 3 2 3 2 3" xfId="33237" xr:uid="{00000000-0005-0000-0000-0000FF1B0000}"/>
    <cellStyle name="20% - Accent3 3 2 3 2 3 3" xfId="16286" xr:uid="{00000000-0005-0000-0000-0000001C0000}"/>
    <cellStyle name="20% - Accent3 3 2 3 2 3 3 2" xfId="38888" xr:uid="{00000000-0005-0000-0000-0000011C0000}"/>
    <cellStyle name="20% - Accent3 3 2 3 2 3 4" xfId="27587" xr:uid="{00000000-0005-0000-0000-0000021C0000}"/>
    <cellStyle name="20% - Accent3 3 2 3 2 4" xfId="7495" xr:uid="{00000000-0005-0000-0000-0000031C0000}"/>
    <cellStyle name="20% - Accent3 3 2 3 2 4 2" xfId="18796" xr:uid="{00000000-0005-0000-0000-0000041C0000}"/>
    <cellStyle name="20% - Accent3 3 2 3 2 4 2 2" xfId="41398" xr:uid="{00000000-0005-0000-0000-0000051C0000}"/>
    <cellStyle name="20% - Accent3 3 2 3 2 4 3" xfId="30097" xr:uid="{00000000-0005-0000-0000-0000061C0000}"/>
    <cellStyle name="20% - Accent3 3 2 3 2 5" xfId="13146" xr:uid="{00000000-0005-0000-0000-0000071C0000}"/>
    <cellStyle name="20% - Accent3 3 2 3 2 5 2" xfId="35748" xr:uid="{00000000-0005-0000-0000-0000081C0000}"/>
    <cellStyle name="20% - Accent3 3 2 3 2 6" xfId="24447" xr:uid="{00000000-0005-0000-0000-0000091C0000}"/>
    <cellStyle name="20% - Accent3 3 2 3 3" xfId="2576" xr:uid="{00000000-0005-0000-0000-00000A1C0000}"/>
    <cellStyle name="20% - Accent3 3 2 3 3 2" xfId="5595" xr:uid="{00000000-0005-0000-0000-00000B1C0000}"/>
    <cellStyle name="20% - Accent3 3 2 3 3 2 2" xfId="11245" xr:uid="{00000000-0005-0000-0000-00000C1C0000}"/>
    <cellStyle name="20% - Accent3 3 2 3 3 2 2 2" xfId="22546" xr:uid="{00000000-0005-0000-0000-00000D1C0000}"/>
    <cellStyle name="20% - Accent3 3 2 3 3 2 2 2 2" xfId="45148" xr:uid="{00000000-0005-0000-0000-00000E1C0000}"/>
    <cellStyle name="20% - Accent3 3 2 3 3 2 2 3" xfId="33847" xr:uid="{00000000-0005-0000-0000-00000F1C0000}"/>
    <cellStyle name="20% - Accent3 3 2 3 3 2 3" xfId="16896" xr:uid="{00000000-0005-0000-0000-0000101C0000}"/>
    <cellStyle name="20% - Accent3 3 2 3 3 2 3 2" xfId="39498" xr:uid="{00000000-0005-0000-0000-0000111C0000}"/>
    <cellStyle name="20% - Accent3 3 2 3 3 2 4" xfId="28197" xr:uid="{00000000-0005-0000-0000-0000121C0000}"/>
    <cellStyle name="20% - Accent3 3 2 3 3 3" xfId="8412" xr:uid="{00000000-0005-0000-0000-0000131C0000}"/>
    <cellStyle name="20% - Accent3 3 2 3 3 3 2" xfId="19713" xr:uid="{00000000-0005-0000-0000-0000141C0000}"/>
    <cellStyle name="20% - Accent3 3 2 3 3 3 2 2" xfId="42315" xr:uid="{00000000-0005-0000-0000-0000151C0000}"/>
    <cellStyle name="20% - Accent3 3 2 3 3 3 3" xfId="31014" xr:uid="{00000000-0005-0000-0000-0000161C0000}"/>
    <cellStyle name="20% - Accent3 3 2 3 3 4" xfId="14063" xr:uid="{00000000-0005-0000-0000-0000171C0000}"/>
    <cellStyle name="20% - Accent3 3 2 3 3 4 2" xfId="36665" xr:uid="{00000000-0005-0000-0000-0000181C0000}"/>
    <cellStyle name="20% - Accent3 3 2 3 3 5" xfId="25364" xr:uid="{00000000-0005-0000-0000-0000191C0000}"/>
    <cellStyle name="20% - Accent3 3 2 3 4" xfId="4361" xr:uid="{00000000-0005-0000-0000-00001A1C0000}"/>
    <cellStyle name="20% - Accent3 3 2 3 4 2" xfId="10011" xr:uid="{00000000-0005-0000-0000-00001B1C0000}"/>
    <cellStyle name="20% - Accent3 3 2 3 4 2 2" xfId="21312" xr:uid="{00000000-0005-0000-0000-00001C1C0000}"/>
    <cellStyle name="20% - Accent3 3 2 3 4 2 2 2" xfId="43914" xr:uid="{00000000-0005-0000-0000-00001D1C0000}"/>
    <cellStyle name="20% - Accent3 3 2 3 4 2 3" xfId="32613" xr:uid="{00000000-0005-0000-0000-00001E1C0000}"/>
    <cellStyle name="20% - Accent3 3 2 3 4 3" xfId="15662" xr:uid="{00000000-0005-0000-0000-00001F1C0000}"/>
    <cellStyle name="20% - Accent3 3 2 3 4 3 2" xfId="38264" xr:uid="{00000000-0005-0000-0000-0000201C0000}"/>
    <cellStyle name="20% - Accent3 3 2 3 4 4" xfId="26963" xr:uid="{00000000-0005-0000-0000-0000211C0000}"/>
    <cellStyle name="20% - Accent3 3 2 3 5" xfId="7158" xr:uid="{00000000-0005-0000-0000-0000221C0000}"/>
    <cellStyle name="20% - Accent3 3 2 3 5 2" xfId="18459" xr:uid="{00000000-0005-0000-0000-0000231C0000}"/>
    <cellStyle name="20% - Accent3 3 2 3 5 2 2" xfId="41061" xr:uid="{00000000-0005-0000-0000-0000241C0000}"/>
    <cellStyle name="20% - Accent3 3 2 3 5 3" xfId="29760" xr:uid="{00000000-0005-0000-0000-0000251C0000}"/>
    <cellStyle name="20% - Accent3 3 2 3 6" xfId="12809" xr:uid="{00000000-0005-0000-0000-0000261C0000}"/>
    <cellStyle name="20% - Accent3 3 2 3 6 2" xfId="35411" xr:uid="{00000000-0005-0000-0000-0000271C0000}"/>
    <cellStyle name="20% - Accent3 3 2 3 7" xfId="24110" xr:uid="{00000000-0005-0000-0000-0000281C0000}"/>
    <cellStyle name="20% - Accent3 3 2 4" xfId="868" xr:uid="{00000000-0005-0000-0000-0000291C0000}"/>
    <cellStyle name="20% - Accent3 3 2 4 2" xfId="2940" xr:uid="{00000000-0005-0000-0000-00002A1C0000}"/>
    <cellStyle name="20% - Accent3 3 2 4 2 2" xfId="5912" xr:uid="{00000000-0005-0000-0000-00002B1C0000}"/>
    <cellStyle name="20% - Accent3 3 2 4 2 2 2" xfId="11562" xr:uid="{00000000-0005-0000-0000-00002C1C0000}"/>
    <cellStyle name="20% - Accent3 3 2 4 2 2 2 2" xfId="22863" xr:uid="{00000000-0005-0000-0000-00002D1C0000}"/>
    <cellStyle name="20% - Accent3 3 2 4 2 2 2 2 2" xfId="45465" xr:uid="{00000000-0005-0000-0000-00002E1C0000}"/>
    <cellStyle name="20% - Accent3 3 2 4 2 2 2 3" xfId="34164" xr:uid="{00000000-0005-0000-0000-00002F1C0000}"/>
    <cellStyle name="20% - Accent3 3 2 4 2 2 3" xfId="17213" xr:uid="{00000000-0005-0000-0000-0000301C0000}"/>
    <cellStyle name="20% - Accent3 3 2 4 2 2 3 2" xfId="39815" xr:uid="{00000000-0005-0000-0000-0000311C0000}"/>
    <cellStyle name="20% - Accent3 3 2 4 2 2 4" xfId="28514" xr:uid="{00000000-0005-0000-0000-0000321C0000}"/>
    <cellStyle name="20% - Accent3 3 2 4 2 3" xfId="8730" xr:uid="{00000000-0005-0000-0000-0000331C0000}"/>
    <cellStyle name="20% - Accent3 3 2 4 2 3 2" xfId="20031" xr:uid="{00000000-0005-0000-0000-0000341C0000}"/>
    <cellStyle name="20% - Accent3 3 2 4 2 3 2 2" xfId="42633" xr:uid="{00000000-0005-0000-0000-0000351C0000}"/>
    <cellStyle name="20% - Accent3 3 2 4 2 3 3" xfId="31332" xr:uid="{00000000-0005-0000-0000-0000361C0000}"/>
    <cellStyle name="20% - Accent3 3 2 4 2 4" xfId="14381" xr:uid="{00000000-0005-0000-0000-0000371C0000}"/>
    <cellStyle name="20% - Accent3 3 2 4 2 4 2" xfId="36983" xr:uid="{00000000-0005-0000-0000-0000381C0000}"/>
    <cellStyle name="20% - Accent3 3 2 4 2 5" xfId="25682" xr:uid="{00000000-0005-0000-0000-0000391C0000}"/>
    <cellStyle name="20% - Accent3 3 2 4 3" xfId="4678" xr:uid="{00000000-0005-0000-0000-00003A1C0000}"/>
    <cellStyle name="20% - Accent3 3 2 4 3 2" xfId="10328" xr:uid="{00000000-0005-0000-0000-00003B1C0000}"/>
    <cellStyle name="20% - Accent3 3 2 4 3 2 2" xfId="21629" xr:uid="{00000000-0005-0000-0000-00003C1C0000}"/>
    <cellStyle name="20% - Accent3 3 2 4 3 2 2 2" xfId="44231" xr:uid="{00000000-0005-0000-0000-00003D1C0000}"/>
    <cellStyle name="20% - Accent3 3 2 4 3 2 3" xfId="32930" xr:uid="{00000000-0005-0000-0000-00003E1C0000}"/>
    <cellStyle name="20% - Accent3 3 2 4 3 3" xfId="15979" xr:uid="{00000000-0005-0000-0000-00003F1C0000}"/>
    <cellStyle name="20% - Accent3 3 2 4 3 3 2" xfId="38581" xr:uid="{00000000-0005-0000-0000-0000401C0000}"/>
    <cellStyle name="20% - Accent3 3 2 4 3 4" xfId="27280" xr:uid="{00000000-0005-0000-0000-0000411C0000}"/>
    <cellStyle name="20% - Accent3 3 2 4 4" xfId="6865" xr:uid="{00000000-0005-0000-0000-0000421C0000}"/>
    <cellStyle name="20% - Accent3 3 2 4 4 2" xfId="18166" xr:uid="{00000000-0005-0000-0000-0000431C0000}"/>
    <cellStyle name="20% - Accent3 3 2 4 4 2 2" xfId="40768" xr:uid="{00000000-0005-0000-0000-0000441C0000}"/>
    <cellStyle name="20% - Accent3 3 2 4 4 3" xfId="29467" xr:uid="{00000000-0005-0000-0000-0000451C0000}"/>
    <cellStyle name="20% - Accent3 3 2 4 5" xfId="12516" xr:uid="{00000000-0005-0000-0000-0000461C0000}"/>
    <cellStyle name="20% - Accent3 3 2 4 5 2" xfId="35118" xr:uid="{00000000-0005-0000-0000-0000471C0000}"/>
    <cellStyle name="20% - Accent3 3 2 4 6" xfId="23817" xr:uid="{00000000-0005-0000-0000-0000481C0000}"/>
    <cellStyle name="20% - Accent3 3 2 5" xfId="1636" xr:uid="{00000000-0005-0000-0000-0000491C0000}"/>
    <cellStyle name="20% - Accent3 3 2 5 2" xfId="3611" xr:uid="{00000000-0005-0000-0000-00004A1C0000}"/>
    <cellStyle name="20% - Accent3 3 2 5 2 2" xfId="9325" xr:uid="{00000000-0005-0000-0000-00004B1C0000}"/>
    <cellStyle name="20% - Accent3 3 2 5 2 2 2" xfId="20626" xr:uid="{00000000-0005-0000-0000-00004C1C0000}"/>
    <cellStyle name="20% - Accent3 3 2 5 2 2 2 2" xfId="43228" xr:uid="{00000000-0005-0000-0000-00004D1C0000}"/>
    <cellStyle name="20% - Accent3 3 2 5 2 2 3" xfId="31927" xr:uid="{00000000-0005-0000-0000-00004E1C0000}"/>
    <cellStyle name="20% - Accent3 3 2 5 2 3" xfId="14976" xr:uid="{00000000-0005-0000-0000-00004F1C0000}"/>
    <cellStyle name="20% - Accent3 3 2 5 2 3 2" xfId="37578" xr:uid="{00000000-0005-0000-0000-0000501C0000}"/>
    <cellStyle name="20% - Accent3 3 2 5 2 4" xfId="26277" xr:uid="{00000000-0005-0000-0000-0000511C0000}"/>
    <cellStyle name="20% - Accent3 3 2 5 3" xfId="5288" xr:uid="{00000000-0005-0000-0000-0000521C0000}"/>
    <cellStyle name="20% - Accent3 3 2 5 3 2" xfId="10938" xr:uid="{00000000-0005-0000-0000-0000531C0000}"/>
    <cellStyle name="20% - Accent3 3 2 5 3 2 2" xfId="22239" xr:uid="{00000000-0005-0000-0000-0000541C0000}"/>
    <cellStyle name="20% - Accent3 3 2 5 3 2 2 2" xfId="44841" xr:uid="{00000000-0005-0000-0000-0000551C0000}"/>
    <cellStyle name="20% - Accent3 3 2 5 3 2 3" xfId="33540" xr:uid="{00000000-0005-0000-0000-0000561C0000}"/>
    <cellStyle name="20% - Accent3 3 2 5 3 3" xfId="16589" xr:uid="{00000000-0005-0000-0000-0000571C0000}"/>
    <cellStyle name="20% - Accent3 3 2 5 3 3 2" xfId="39191" xr:uid="{00000000-0005-0000-0000-0000581C0000}"/>
    <cellStyle name="20% - Accent3 3 2 5 3 4" xfId="27890" xr:uid="{00000000-0005-0000-0000-0000591C0000}"/>
    <cellStyle name="20% - Accent3 3 2 5 4" xfId="7492" xr:uid="{00000000-0005-0000-0000-00005A1C0000}"/>
    <cellStyle name="20% - Accent3 3 2 5 4 2" xfId="18793" xr:uid="{00000000-0005-0000-0000-00005B1C0000}"/>
    <cellStyle name="20% - Accent3 3 2 5 4 2 2" xfId="41395" xr:uid="{00000000-0005-0000-0000-00005C1C0000}"/>
    <cellStyle name="20% - Accent3 3 2 5 4 3" xfId="30094" xr:uid="{00000000-0005-0000-0000-00005D1C0000}"/>
    <cellStyle name="20% - Accent3 3 2 5 5" xfId="13143" xr:uid="{00000000-0005-0000-0000-00005E1C0000}"/>
    <cellStyle name="20% - Accent3 3 2 5 5 2" xfId="35745" xr:uid="{00000000-0005-0000-0000-00005F1C0000}"/>
    <cellStyle name="20% - Accent3 3 2 5 6" xfId="24444" xr:uid="{00000000-0005-0000-0000-0000601C0000}"/>
    <cellStyle name="20% - Accent3 3 2 6" xfId="2266" xr:uid="{00000000-0005-0000-0000-0000611C0000}"/>
    <cellStyle name="20% - Accent3 3 2 6 2" xfId="8102" xr:uid="{00000000-0005-0000-0000-0000621C0000}"/>
    <cellStyle name="20% - Accent3 3 2 6 2 2" xfId="19403" xr:uid="{00000000-0005-0000-0000-0000631C0000}"/>
    <cellStyle name="20% - Accent3 3 2 6 2 2 2" xfId="42005" xr:uid="{00000000-0005-0000-0000-0000641C0000}"/>
    <cellStyle name="20% - Accent3 3 2 6 2 3" xfId="30704" xr:uid="{00000000-0005-0000-0000-0000651C0000}"/>
    <cellStyle name="20% - Accent3 3 2 6 3" xfId="13753" xr:uid="{00000000-0005-0000-0000-0000661C0000}"/>
    <cellStyle name="20% - Accent3 3 2 6 3 2" xfId="36355" xr:uid="{00000000-0005-0000-0000-0000671C0000}"/>
    <cellStyle name="20% - Accent3 3 2 6 4" xfId="25054" xr:uid="{00000000-0005-0000-0000-0000681C0000}"/>
    <cellStyle name="20% - Accent3 3 2 7" xfId="4054" xr:uid="{00000000-0005-0000-0000-0000691C0000}"/>
    <cellStyle name="20% - Accent3 3 2 7 2" xfId="9704" xr:uid="{00000000-0005-0000-0000-00006A1C0000}"/>
    <cellStyle name="20% - Accent3 3 2 7 2 2" xfId="21005" xr:uid="{00000000-0005-0000-0000-00006B1C0000}"/>
    <cellStyle name="20% - Accent3 3 2 7 2 2 2" xfId="43607" xr:uid="{00000000-0005-0000-0000-00006C1C0000}"/>
    <cellStyle name="20% - Accent3 3 2 7 2 3" xfId="32306" xr:uid="{00000000-0005-0000-0000-00006D1C0000}"/>
    <cellStyle name="20% - Accent3 3 2 7 3" xfId="15355" xr:uid="{00000000-0005-0000-0000-00006E1C0000}"/>
    <cellStyle name="20% - Accent3 3 2 7 3 2" xfId="37957" xr:uid="{00000000-0005-0000-0000-00006F1C0000}"/>
    <cellStyle name="20% - Accent3 3 2 7 4" xfId="26656" xr:uid="{00000000-0005-0000-0000-0000701C0000}"/>
    <cellStyle name="20% - Accent3 3 2 8" xfId="6505" xr:uid="{00000000-0005-0000-0000-0000711C0000}"/>
    <cellStyle name="20% - Accent3 3 2 8 2" xfId="17806" xr:uid="{00000000-0005-0000-0000-0000721C0000}"/>
    <cellStyle name="20% - Accent3 3 2 8 2 2" xfId="40408" xr:uid="{00000000-0005-0000-0000-0000731C0000}"/>
    <cellStyle name="20% - Accent3 3 2 8 3" xfId="29107" xr:uid="{00000000-0005-0000-0000-0000741C0000}"/>
    <cellStyle name="20% - Accent3 3 2 9" xfId="12156" xr:uid="{00000000-0005-0000-0000-0000751C0000}"/>
    <cellStyle name="20% - Accent3 3 2 9 2" xfId="34758" xr:uid="{00000000-0005-0000-0000-0000761C0000}"/>
    <cellStyle name="20% - Accent3 3 3" xfId="411" xr:uid="{00000000-0005-0000-0000-0000771C0000}"/>
    <cellStyle name="20% - Accent3 3 3 10" xfId="23506" xr:uid="{00000000-0005-0000-0000-0000781C0000}"/>
    <cellStyle name="20% - Accent3 3 3 2" xfId="656" xr:uid="{00000000-0005-0000-0000-0000791C0000}"/>
    <cellStyle name="20% - Accent3 3 3 2 2" xfId="1366" xr:uid="{00000000-0005-0000-0000-00007A1C0000}"/>
    <cellStyle name="20% - Accent3 3 3 2 2 2" xfId="1642" xr:uid="{00000000-0005-0000-0000-00007B1C0000}"/>
    <cellStyle name="20% - Accent3 3 3 2 2 2 2" xfId="3435" xr:uid="{00000000-0005-0000-0000-00007C1C0000}"/>
    <cellStyle name="20% - Accent3 3 3 2 2 2 2 2" xfId="6407" xr:uid="{00000000-0005-0000-0000-00007D1C0000}"/>
    <cellStyle name="20% - Accent3 3 3 2 2 2 2 2 2" xfId="12057" xr:uid="{00000000-0005-0000-0000-00007E1C0000}"/>
    <cellStyle name="20% - Accent3 3 3 2 2 2 2 2 2 2" xfId="23358" xr:uid="{00000000-0005-0000-0000-00007F1C0000}"/>
    <cellStyle name="20% - Accent3 3 3 2 2 2 2 2 2 2 2" xfId="45960" xr:uid="{00000000-0005-0000-0000-0000801C0000}"/>
    <cellStyle name="20% - Accent3 3 3 2 2 2 2 2 2 3" xfId="34659" xr:uid="{00000000-0005-0000-0000-0000811C0000}"/>
    <cellStyle name="20% - Accent3 3 3 2 2 2 2 2 3" xfId="17708" xr:uid="{00000000-0005-0000-0000-0000821C0000}"/>
    <cellStyle name="20% - Accent3 3 3 2 2 2 2 2 3 2" xfId="40310" xr:uid="{00000000-0005-0000-0000-0000831C0000}"/>
    <cellStyle name="20% - Accent3 3 3 2 2 2 2 2 4" xfId="29009" xr:uid="{00000000-0005-0000-0000-0000841C0000}"/>
    <cellStyle name="20% - Accent3 3 3 2 2 2 2 3" xfId="9225" xr:uid="{00000000-0005-0000-0000-0000851C0000}"/>
    <cellStyle name="20% - Accent3 3 3 2 2 2 2 3 2" xfId="20526" xr:uid="{00000000-0005-0000-0000-0000861C0000}"/>
    <cellStyle name="20% - Accent3 3 3 2 2 2 2 3 2 2" xfId="43128" xr:uid="{00000000-0005-0000-0000-0000871C0000}"/>
    <cellStyle name="20% - Accent3 3 3 2 2 2 2 3 3" xfId="31827" xr:uid="{00000000-0005-0000-0000-0000881C0000}"/>
    <cellStyle name="20% - Accent3 3 3 2 2 2 2 4" xfId="14876" xr:uid="{00000000-0005-0000-0000-0000891C0000}"/>
    <cellStyle name="20% - Accent3 3 3 2 2 2 2 4 2" xfId="37478" xr:uid="{00000000-0005-0000-0000-00008A1C0000}"/>
    <cellStyle name="20% - Accent3 3 3 2 2 2 2 5" xfId="26177" xr:uid="{00000000-0005-0000-0000-00008B1C0000}"/>
    <cellStyle name="20% - Accent3 3 3 2 2 2 3" xfId="5173" xr:uid="{00000000-0005-0000-0000-00008C1C0000}"/>
    <cellStyle name="20% - Accent3 3 3 2 2 2 3 2" xfId="10823" xr:uid="{00000000-0005-0000-0000-00008D1C0000}"/>
    <cellStyle name="20% - Accent3 3 3 2 2 2 3 2 2" xfId="22124" xr:uid="{00000000-0005-0000-0000-00008E1C0000}"/>
    <cellStyle name="20% - Accent3 3 3 2 2 2 3 2 2 2" xfId="44726" xr:uid="{00000000-0005-0000-0000-00008F1C0000}"/>
    <cellStyle name="20% - Accent3 3 3 2 2 2 3 2 3" xfId="33425" xr:uid="{00000000-0005-0000-0000-0000901C0000}"/>
    <cellStyle name="20% - Accent3 3 3 2 2 2 3 3" xfId="16474" xr:uid="{00000000-0005-0000-0000-0000911C0000}"/>
    <cellStyle name="20% - Accent3 3 3 2 2 2 3 3 2" xfId="39076" xr:uid="{00000000-0005-0000-0000-0000921C0000}"/>
    <cellStyle name="20% - Accent3 3 3 2 2 2 3 4" xfId="27775" xr:uid="{00000000-0005-0000-0000-0000931C0000}"/>
    <cellStyle name="20% - Accent3 3 3 2 2 2 4" xfId="7498" xr:uid="{00000000-0005-0000-0000-0000941C0000}"/>
    <cellStyle name="20% - Accent3 3 3 2 2 2 4 2" xfId="18799" xr:uid="{00000000-0005-0000-0000-0000951C0000}"/>
    <cellStyle name="20% - Accent3 3 3 2 2 2 4 2 2" xfId="41401" xr:uid="{00000000-0005-0000-0000-0000961C0000}"/>
    <cellStyle name="20% - Accent3 3 3 2 2 2 4 3" xfId="30100" xr:uid="{00000000-0005-0000-0000-0000971C0000}"/>
    <cellStyle name="20% - Accent3 3 3 2 2 2 5" xfId="13149" xr:uid="{00000000-0005-0000-0000-0000981C0000}"/>
    <cellStyle name="20% - Accent3 3 3 2 2 2 5 2" xfId="35751" xr:uid="{00000000-0005-0000-0000-0000991C0000}"/>
    <cellStyle name="20% - Accent3 3 3 2 2 2 6" xfId="24450" xr:uid="{00000000-0005-0000-0000-00009A1C0000}"/>
    <cellStyle name="20% - Accent3 3 3 2 2 3" xfId="2764" xr:uid="{00000000-0005-0000-0000-00009B1C0000}"/>
    <cellStyle name="20% - Accent3 3 3 2 2 3 2" xfId="5783" xr:uid="{00000000-0005-0000-0000-00009C1C0000}"/>
    <cellStyle name="20% - Accent3 3 3 2 2 3 2 2" xfId="11433" xr:uid="{00000000-0005-0000-0000-00009D1C0000}"/>
    <cellStyle name="20% - Accent3 3 3 2 2 3 2 2 2" xfId="22734" xr:uid="{00000000-0005-0000-0000-00009E1C0000}"/>
    <cellStyle name="20% - Accent3 3 3 2 2 3 2 2 2 2" xfId="45336" xr:uid="{00000000-0005-0000-0000-00009F1C0000}"/>
    <cellStyle name="20% - Accent3 3 3 2 2 3 2 2 3" xfId="34035" xr:uid="{00000000-0005-0000-0000-0000A01C0000}"/>
    <cellStyle name="20% - Accent3 3 3 2 2 3 2 3" xfId="17084" xr:uid="{00000000-0005-0000-0000-0000A11C0000}"/>
    <cellStyle name="20% - Accent3 3 3 2 2 3 2 3 2" xfId="39686" xr:uid="{00000000-0005-0000-0000-0000A21C0000}"/>
    <cellStyle name="20% - Accent3 3 3 2 2 3 2 4" xfId="28385" xr:uid="{00000000-0005-0000-0000-0000A31C0000}"/>
    <cellStyle name="20% - Accent3 3 3 2 2 3 3" xfId="8600" xr:uid="{00000000-0005-0000-0000-0000A41C0000}"/>
    <cellStyle name="20% - Accent3 3 3 2 2 3 3 2" xfId="19901" xr:uid="{00000000-0005-0000-0000-0000A51C0000}"/>
    <cellStyle name="20% - Accent3 3 3 2 2 3 3 2 2" xfId="42503" xr:uid="{00000000-0005-0000-0000-0000A61C0000}"/>
    <cellStyle name="20% - Accent3 3 3 2 2 3 3 3" xfId="31202" xr:uid="{00000000-0005-0000-0000-0000A71C0000}"/>
    <cellStyle name="20% - Accent3 3 3 2 2 3 4" xfId="14251" xr:uid="{00000000-0005-0000-0000-0000A81C0000}"/>
    <cellStyle name="20% - Accent3 3 3 2 2 3 4 2" xfId="36853" xr:uid="{00000000-0005-0000-0000-0000A91C0000}"/>
    <cellStyle name="20% - Accent3 3 3 2 2 3 5" xfId="25552" xr:uid="{00000000-0005-0000-0000-0000AA1C0000}"/>
    <cellStyle name="20% - Accent3 3 3 2 2 4" xfId="4549" xr:uid="{00000000-0005-0000-0000-0000AB1C0000}"/>
    <cellStyle name="20% - Accent3 3 3 2 2 4 2" xfId="10199" xr:uid="{00000000-0005-0000-0000-0000AC1C0000}"/>
    <cellStyle name="20% - Accent3 3 3 2 2 4 2 2" xfId="21500" xr:uid="{00000000-0005-0000-0000-0000AD1C0000}"/>
    <cellStyle name="20% - Accent3 3 3 2 2 4 2 2 2" xfId="44102" xr:uid="{00000000-0005-0000-0000-0000AE1C0000}"/>
    <cellStyle name="20% - Accent3 3 3 2 2 4 2 3" xfId="32801" xr:uid="{00000000-0005-0000-0000-0000AF1C0000}"/>
    <cellStyle name="20% - Accent3 3 3 2 2 4 3" xfId="15850" xr:uid="{00000000-0005-0000-0000-0000B01C0000}"/>
    <cellStyle name="20% - Accent3 3 3 2 2 4 3 2" xfId="38452" xr:uid="{00000000-0005-0000-0000-0000B11C0000}"/>
    <cellStyle name="20% - Accent3 3 3 2 2 4 4" xfId="27151" xr:uid="{00000000-0005-0000-0000-0000B21C0000}"/>
    <cellStyle name="20% - Accent3 3 3 2 2 5" xfId="7345" xr:uid="{00000000-0005-0000-0000-0000B31C0000}"/>
    <cellStyle name="20% - Accent3 3 3 2 2 5 2" xfId="18646" xr:uid="{00000000-0005-0000-0000-0000B41C0000}"/>
    <cellStyle name="20% - Accent3 3 3 2 2 5 2 2" xfId="41248" xr:uid="{00000000-0005-0000-0000-0000B51C0000}"/>
    <cellStyle name="20% - Accent3 3 3 2 2 5 3" xfId="29947" xr:uid="{00000000-0005-0000-0000-0000B61C0000}"/>
    <cellStyle name="20% - Accent3 3 3 2 2 6" xfId="12996" xr:uid="{00000000-0005-0000-0000-0000B71C0000}"/>
    <cellStyle name="20% - Accent3 3 3 2 2 6 2" xfId="35598" xr:uid="{00000000-0005-0000-0000-0000B81C0000}"/>
    <cellStyle name="20% - Accent3 3 3 2 2 7" xfId="24297" xr:uid="{00000000-0005-0000-0000-0000B91C0000}"/>
    <cellStyle name="20% - Accent3 3 3 2 3" xfId="1064" xr:uid="{00000000-0005-0000-0000-0000BA1C0000}"/>
    <cellStyle name="20% - Accent3 3 3 2 3 2" xfId="3127" xr:uid="{00000000-0005-0000-0000-0000BB1C0000}"/>
    <cellStyle name="20% - Accent3 3 3 2 3 2 2" xfId="6099" xr:uid="{00000000-0005-0000-0000-0000BC1C0000}"/>
    <cellStyle name="20% - Accent3 3 3 2 3 2 2 2" xfId="11749" xr:uid="{00000000-0005-0000-0000-0000BD1C0000}"/>
    <cellStyle name="20% - Accent3 3 3 2 3 2 2 2 2" xfId="23050" xr:uid="{00000000-0005-0000-0000-0000BE1C0000}"/>
    <cellStyle name="20% - Accent3 3 3 2 3 2 2 2 2 2" xfId="45652" xr:uid="{00000000-0005-0000-0000-0000BF1C0000}"/>
    <cellStyle name="20% - Accent3 3 3 2 3 2 2 2 3" xfId="34351" xr:uid="{00000000-0005-0000-0000-0000C01C0000}"/>
    <cellStyle name="20% - Accent3 3 3 2 3 2 2 3" xfId="17400" xr:uid="{00000000-0005-0000-0000-0000C11C0000}"/>
    <cellStyle name="20% - Accent3 3 3 2 3 2 2 3 2" xfId="40002" xr:uid="{00000000-0005-0000-0000-0000C21C0000}"/>
    <cellStyle name="20% - Accent3 3 3 2 3 2 2 4" xfId="28701" xr:uid="{00000000-0005-0000-0000-0000C31C0000}"/>
    <cellStyle name="20% - Accent3 3 3 2 3 2 3" xfId="8917" xr:uid="{00000000-0005-0000-0000-0000C41C0000}"/>
    <cellStyle name="20% - Accent3 3 3 2 3 2 3 2" xfId="20218" xr:uid="{00000000-0005-0000-0000-0000C51C0000}"/>
    <cellStyle name="20% - Accent3 3 3 2 3 2 3 2 2" xfId="42820" xr:uid="{00000000-0005-0000-0000-0000C61C0000}"/>
    <cellStyle name="20% - Accent3 3 3 2 3 2 3 3" xfId="31519" xr:uid="{00000000-0005-0000-0000-0000C71C0000}"/>
    <cellStyle name="20% - Accent3 3 3 2 3 2 4" xfId="14568" xr:uid="{00000000-0005-0000-0000-0000C81C0000}"/>
    <cellStyle name="20% - Accent3 3 3 2 3 2 4 2" xfId="37170" xr:uid="{00000000-0005-0000-0000-0000C91C0000}"/>
    <cellStyle name="20% - Accent3 3 3 2 3 2 5" xfId="25869" xr:uid="{00000000-0005-0000-0000-0000CA1C0000}"/>
    <cellStyle name="20% - Accent3 3 3 2 3 3" xfId="4865" xr:uid="{00000000-0005-0000-0000-0000CB1C0000}"/>
    <cellStyle name="20% - Accent3 3 3 2 3 3 2" xfId="10515" xr:uid="{00000000-0005-0000-0000-0000CC1C0000}"/>
    <cellStyle name="20% - Accent3 3 3 2 3 3 2 2" xfId="21816" xr:uid="{00000000-0005-0000-0000-0000CD1C0000}"/>
    <cellStyle name="20% - Accent3 3 3 2 3 3 2 2 2" xfId="44418" xr:uid="{00000000-0005-0000-0000-0000CE1C0000}"/>
    <cellStyle name="20% - Accent3 3 3 2 3 3 2 3" xfId="33117" xr:uid="{00000000-0005-0000-0000-0000CF1C0000}"/>
    <cellStyle name="20% - Accent3 3 3 2 3 3 3" xfId="16166" xr:uid="{00000000-0005-0000-0000-0000D01C0000}"/>
    <cellStyle name="20% - Accent3 3 3 2 3 3 3 2" xfId="38768" xr:uid="{00000000-0005-0000-0000-0000D11C0000}"/>
    <cellStyle name="20% - Accent3 3 3 2 3 3 4" xfId="27467" xr:uid="{00000000-0005-0000-0000-0000D21C0000}"/>
    <cellStyle name="20% - Accent3 3 3 2 3 4" xfId="7052" xr:uid="{00000000-0005-0000-0000-0000D31C0000}"/>
    <cellStyle name="20% - Accent3 3 3 2 3 4 2" xfId="18353" xr:uid="{00000000-0005-0000-0000-0000D41C0000}"/>
    <cellStyle name="20% - Accent3 3 3 2 3 4 2 2" xfId="40955" xr:uid="{00000000-0005-0000-0000-0000D51C0000}"/>
    <cellStyle name="20% - Accent3 3 3 2 3 4 3" xfId="29654" xr:uid="{00000000-0005-0000-0000-0000D61C0000}"/>
    <cellStyle name="20% - Accent3 3 3 2 3 5" xfId="12703" xr:uid="{00000000-0005-0000-0000-0000D71C0000}"/>
    <cellStyle name="20% - Accent3 3 3 2 3 5 2" xfId="35305" xr:uid="{00000000-0005-0000-0000-0000D81C0000}"/>
    <cellStyle name="20% - Accent3 3 3 2 3 6" xfId="24004" xr:uid="{00000000-0005-0000-0000-0000D91C0000}"/>
    <cellStyle name="20% - Accent3 3 3 2 4" xfId="1641" xr:uid="{00000000-0005-0000-0000-0000DA1C0000}"/>
    <cellStyle name="20% - Accent3 3 3 2 4 2" xfId="3615" xr:uid="{00000000-0005-0000-0000-0000DB1C0000}"/>
    <cellStyle name="20% - Accent3 3 3 2 4 2 2" xfId="9328" xr:uid="{00000000-0005-0000-0000-0000DC1C0000}"/>
    <cellStyle name="20% - Accent3 3 3 2 4 2 2 2" xfId="20629" xr:uid="{00000000-0005-0000-0000-0000DD1C0000}"/>
    <cellStyle name="20% - Accent3 3 3 2 4 2 2 2 2" xfId="43231" xr:uid="{00000000-0005-0000-0000-0000DE1C0000}"/>
    <cellStyle name="20% - Accent3 3 3 2 4 2 2 3" xfId="31930" xr:uid="{00000000-0005-0000-0000-0000DF1C0000}"/>
    <cellStyle name="20% - Accent3 3 3 2 4 2 3" xfId="14979" xr:uid="{00000000-0005-0000-0000-0000E01C0000}"/>
    <cellStyle name="20% - Accent3 3 3 2 4 2 3 2" xfId="37581" xr:uid="{00000000-0005-0000-0000-0000E11C0000}"/>
    <cellStyle name="20% - Accent3 3 3 2 4 2 4" xfId="26280" xr:uid="{00000000-0005-0000-0000-0000E21C0000}"/>
    <cellStyle name="20% - Accent3 3 3 2 4 3" xfId="5475" xr:uid="{00000000-0005-0000-0000-0000E31C0000}"/>
    <cellStyle name="20% - Accent3 3 3 2 4 3 2" xfId="11125" xr:uid="{00000000-0005-0000-0000-0000E41C0000}"/>
    <cellStyle name="20% - Accent3 3 3 2 4 3 2 2" xfId="22426" xr:uid="{00000000-0005-0000-0000-0000E51C0000}"/>
    <cellStyle name="20% - Accent3 3 3 2 4 3 2 2 2" xfId="45028" xr:uid="{00000000-0005-0000-0000-0000E61C0000}"/>
    <cellStyle name="20% - Accent3 3 3 2 4 3 2 3" xfId="33727" xr:uid="{00000000-0005-0000-0000-0000E71C0000}"/>
    <cellStyle name="20% - Accent3 3 3 2 4 3 3" xfId="16776" xr:uid="{00000000-0005-0000-0000-0000E81C0000}"/>
    <cellStyle name="20% - Accent3 3 3 2 4 3 3 2" xfId="39378" xr:uid="{00000000-0005-0000-0000-0000E91C0000}"/>
    <cellStyle name="20% - Accent3 3 3 2 4 3 4" xfId="28077" xr:uid="{00000000-0005-0000-0000-0000EA1C0000}"/>
    <cellStyle name="20% - Accent3 3 3 2 4 4" xfId="7497" xr:uid="{00000000-0005-0000-0000-0000EB1C0000}"/>
    <cellStyle name="20% - Accent3 3 3 2 4 4 2" xfId="18798" xr:uid="{00000000-0005-0000-0000-0000EC1C0000}"/>
    <cellStyle name="20% - Accent3 3 3 2 4 4 2 2" xfId="41400" xr:uid="{00000000-0005-0000-0000-0000ED1C0000}"/>
    <cellStyle name="20% - Accent3 3 3 2 4 4 3" xfId="30099" xr:uid="{00000000-0005-0000-0000-0000EE1C0000}"/>
    <cellStyle name="20% - Accent3 3 3 2 4 5" xfId="13148" xr:uid="{00000000-0005-0000-0000-0000EF1C0000}"/>
    <cellStyle name="20% - Accent3 3 3 2 4 5 2" xfId="35750" xr:uid="{00000000-0005-0000-0000-0000F01C0000}"/>
    <cellStyle name="20% - Accent3 3 3 2 4 6" xfId="24449" xr:uid="{00000000-0005-0000-0000-0000F11C0000}"/>
    <cellStyle name="20% - Accent3 3 3 2 5" xfId="2456" xr:uid="{00000000-0005-0000-0000-0000F21C0000}"/>
    <cellStyle name="20% - Accent3 3 3 2 5 2" xfId="8292" xr:uid="{00000000-0005-0000-0000-0000F31C0000}"/>
    <cellStyle name="20% - Accent3 3 3 2 5 2 2" xfId="19593" xr:uid="{00000000-0005-0000-0000-0000F41C0000}"/>
    <cellStyle name="20% - Accent3 3 3 2 5 2 2 2" xfId="42195" xr:uid="{00000000-0005-0000-0000-0000F51C0000}"/>
    <cellStyle name="20% - Accent3 3 3 2 5 2 3" xfId="30894" xr:uid="{00000000-0005-0000-0000-0000F61C0000}"/>
    <cellStyle name="20% - Accent3 3 3 2 5 3" xfId="13943" xr:uid="{00000000-0005-0000-0000-0000F71C0000}"/>
    <cellStyle name="20% - Accent3 3 3 2 5 3 2" xfId="36545" xr:uid="{00000000-0005-0000-0000-0000F81C0000}"/>
    <cellStyle name="20% - Accent3 3 3 2 5 4" xfId="25244" xr:uid="{00000000-0005-0000-0000-0000F91C0000}"/>
    <cellStyle name="20% - Accent3 3 3 2 6" xfId="4241" xr:uid="{00000000-0005-0000-0000-0000FA1C0000}"/>
    <cellStyle name="20% - Accent3 3 3 2 6 2" xfId="9891" xr:uid="{00000000-0005-0000-0000-0000FB1C0000}"/>
    <cellStyle name="20% - Accent3 3 3 2 6 2 2" xfId="21192" xr:uid="{00000000-0005-0000-0000-0000FC1C0000}"/>
    <cellStyle name="20% - Accent3 3 3 2 6 2 2 2" xfId="43794" xr:uid="{00000000-0005-0000-0000-0000FD1C0000}"/>
    <cellStyle name="20% - Accent3 3 3 2 6 2 3" xfId="32493" xr:uid="{00000000-0005-0000-0000-0000FE1C0000}"/>
    <cellStyle name="20% - Accent3 3 3 2 6 3" xfId="15542" xr:uid="{00000000-0005-0000-0000-0000FF1C0000}"/>
    <cellStyle name="20% - Accent3 3 3 2 6 3 2" xfId="38144" xr:uid="{00000000-0005-0000-0000-0000001D0000}"/>
    <cellStyle name="20% - Accent3 3 3 2 6 4" xfId="26843" xr:uid="{00000000-0005-0000-0000-0000011D0000}"/>
    <cellStyle name="20% - Accent3 3 3 2 7" xfId="6721" xr:uid="{00000000-0005-0000-0000-0000021D0000}"/>
    <cellStyle name="20% - Accent3 3 3 2 7 2" xfId="18022" xr:uid="{00000000-0005-0000-0000-0000031D0000}"/>
    <cellStyle name="20% - Accent3 3 3 2 7 2 2" xfId="40624" xr:uid="{00000000-0005-0000-0000-0000041D0000}"/>
    <cellStyle name="20% - Accent3 3 3 2 7 3" xfId="29323" xr:uid="{00000000-0005-0000-0000-0000051D0000}"/>
    <cellStyle name="20% - Accent3 3 3 2 8" xfId="12372" xr:uid="{00000000-0005-0000-0000-0000061D0000}"/>
    <cellStyle name="20% - Accent3 3 3 2 8 2" xfId="34974" xr:uid="{00000000-0005-0000-0000-0000071D0000}"/>
    <cellStyle name="20% - Accent3 3 3 2 9" xfId="23673" xr:uid="{00000000-0005-0000-0000-0000081D0000}"/>
    <cellStyle name="20% - Accent3 3 3 3" xfId="1228" xr:uid="{00000000-0005-0000-0000-0000091D0000}"/>
    <cellStyle name="20% - Accent3 3 3 3 2" xfId="1643" xr:uid="{00000000-0005-0000-0000-00000A1D0000}"/>
    <cellStyle name="20% - Accent3 3 3 3 2 2" xfId="3296" xr:uid="{00000000-0005-0000-0000-00000B1D0000}"/>
    <cellStyle name="20% - Accent3 3 3 3 2 2 2" xfId="6268" xr:uid="{00000000-0005-0000-0000-00000C1D0000}"/>
    <cellStyle name="20% - Accent3 3 3 3 2 2 2 2" xfId="11918" xr:uid="{00000000-0005-0000-0000-00000D1D0000}"/>
    <cellStyle name="20% - Accent3 3 3 3 2 2 2 2 2" xfId="23219" xr:uid="{00000000-0005-0000-0000-00000E1D0000}"/>
    <cellStyle name="20% - Accent3 3 3 3 2 2 2 2 2 2" xfId="45821" xr:uid="{00000000-0005-0000-0000-00000F1D0000}"/>
    <cellStyle name="20% - Accent3 3 3 3 2 2 2 2 3" xfId="34520" xr:uid="{00000000-0005-0000-0000-0000101D0000}"/>
    <cellStyle name="20% - Accent3 3 3 3 2 2 2 3" xfId="17569" xr:uid="{00000000-0005-0000-0000-0000111D0000}"/>
    <cellStyle name="20% - Accent3 3 3 3 2 2 2 3 2" xfId="40171" xr:uid="{00000000-0005-0000-0000-0000121D0000}"/>
    <cellStyle name="20% - Accent3 3 3 3 2 2 2 4" xfId="28870" xr:uid="{00000000-0005-0000-0000-0000131D0000}"/>
    <cellStyle name="20% - Accent3 3 3 3 2 2 3" xfId="9086" xr:uid="{00000000-0005-0000-0000-0000141D0000}"/>
    <cellStyle name="20% - Accent3 3 3 3 2 2 3 2" xfId="20387" xr:uid="{00000000-0005-0000-0000-0000151D0000}"/>
    <cellStyle name="20% - Accent3 3 3 3 2 2 3 2 2" xfId="42989" xr:uid="{00000000-0005-0000-0000-0000161D0000}"/>
    <cellStyle name="20% - Accent3 3 3 3 2 2 3 3" xfId="31688" xr:uid="{00000000-0005-0000-0000-0000171D0000}"/>
    <cellStyle name="20% - Accent3 3 3 3 2 2 4" xfId="14737" xr:uid="{00000000-0005-0000-0000-0000181D0000}"/>
    <cellStyle name="20% - Accent3 3 3 3 2 2 4 2" xfId="37339" xr:uid="{00000000-0005-0000-0000-0000191D0000}"/>
    <cellStyle name="20% - Accent3 3 3 3 2 2 5" xfId="26038" xr:uid="{00000000-0005-0000-0000-00001A1D0000}"/>
    <cellStyle name="20% - Accent3 3 3 3 2 3" xfId="5034" xr:uid="{00000000-0005-0000-0000-00001B1D0000}"/>
    <cellStyle name="20% - Accent3 3 3 3 2 3 2" xfId="10684" xr:uid="{00000000-0005-0000-0000-00001C1D0000}"/>
    <cellStyle name="20% - Accent3 3 3 3 2 3 2 2" xfId="21985" xr:uid="{00000000-0005-0000-0000-00001D1D0000}"/>
    <cellStyle name="20% - Accent3 3 3 3 2 3 2 2 2" xfId="44587" xr:uid="{00000000-0005-0000-0000-00001E1D0000}"/>
    <cellStyle name="20% - Accent3 3 3 3 2 3 2 3" xfId="33286" xr:uid="{00000000-0005-0000-0000-00001F1D0000}"/>
    <cellStyle name="20% - Accent3 3 3 3 2 3 3" xfId="16335" xr:uid="{00000000-0005-0000-0000-0000201D0000}"/>
    <cellStyle name="20% - Accent3 3 3 3 2 3 3 2" xfId="38937" xr:uid="{00000000-0005-0000-0000-0000211D0000}"/>
    <cellStyle name="20% - Accent3 3 3 3 2 3 4" xfId="27636" xr:uid="{00000000-0005-0000-0000-0000221D0000}"/>
    <cellStyle name="20% - Accent3 3 3 3 2 4" xfId="7499" xr:uid="{00000000-0005-0000-0000-0000231D0000}"/>
    <cellStyle name="20% - Accent3 3 3 3 2 4 2" xfId="18800" xr:uid="{00000000-0005-0000-0000-0000241D0000}"/>
    <cellStyle name="20% - Accent3 3 3 3 2 4 2 2" xfId="41402" xr:uid="{00000000-0005-0000-0000-0000251D0000}"/>
    <cellStyle name="20% - Accent3 3 3 3 2 4 3" xfId="30101" xr:uid="{00000000-0005-0000-0000-0000261D0000}"/>
    <cellStyle name="20% - Accent3 3 3 3 2 5" xfId="13150" xr:uid="{00000000-0005-0000-0000-0000271D0000}"/>
    <cellStyle name="20% - Accent3 3 3 3 2 5 2" xfId="35752" xr:uid="{00000000-0005-0000-0000-0000281D0000}"/>
    <cellStyle name="20% - Accent3 3 3 3 2 6" xfId="24451" xr:uid="{00000000-0005-0000-0000-0000291D0000}"/>
    <cellStyle name="20% - Accent3 3 3 3 3" xfId="2625" xr:uid="{00000000-0005-0000-0000-00002A1D0000}"/>
    <cellStyle name="20% - Accent3 3 3 3 3 2" xfId="5644" xr:uid="{00000000-0005-0000-0000-00002B1D0000}"/>
    <cellStyle name="20% - Accent3 3 3 3 3 2 2" xfId="11294" xr:uid="{00000000-0005-0000-0000-00002C1D0000}"/>
    <cellStyle name="20% - Accent3 3 3 3 3 2 2 2" xfId="22595" xr:uid="{00000000-0005-0000-0000-00002D1D0000}"/>
    <cellStyle name="20% - Accent3 3 3 3 3 2 2 2 2" xfId="45197" xr:uid="{00000000-0005-0000-0000-00002E1D0000}"/>
    <cellStyle name="20% - Accent3 3 3 3 3 2 2 3" xfId="33896" xr:uid="{00000000-0005-0000-0000-00002F1D0000}"/>
    <cellStyle name="20% - Accent3 3 3 3 3 2 3" xfId="16945" xr:uid="{00000000-0005-0000-0000-0000301D0000}"/>
    <cellStyle name="20% - Accent3 3 3 3 3 2 3 2" xfId="39547" xr:uid="{00000000-0005-0000-0000-0000311D0000}"/>
    <cellStyle name="20% - Accent3 3 3 3 3 2 4" xfId="28246" xr:uid="{00000000-0005-0000-0000-0000321D0000}"/>
    <cellStyle name="20% - Accent3 3 3 3 3 3" xfId="8461" xr:uid="{00000000-0005-0000-0000-0000331D0000}"/>
    <cellStyle name="20% - Accent3 3 3 3 3 3 2" xfId="19762" xr:uid="{00000000-0005-0000-0000-0000341D0000}"/>
    <cellStyle name="20% - Accent3 3 3 3 3 3 2 2" xfId="42364" xr:uid="{00000000-0005-0000-0000-0000351D0000}"/>
    <cellStyle name="20% - Accent3 3 3 3 3 3 3" xfId="31063" xr:uid="{00000000-0005-0000-0000-0000361D0000}"/>
    <cellStyle name="20% - Accent3 3 3 3 3 4" xfId="14112" xr:uid="{00000000-0005-0000-0000-0000371D0000}"/>
    <cellStyle name="20% - Accent3 3 3 3 3 4 2" xfId="36714" xr:uid="{00000000-0005-0000-0000-0000381D0000}"/>
    <cellStyle name="20% - Accent3 3 3 3 3 5" xfId="25413" xr:uid="{00000000-0005-0000-0000-0000391D0000}"/>
    <cellStyle name="20% - Accent3 3 3 3 4" xfId="4410" xr:uid="{00000000-0005-0000-0000-00003A1D0000}"/>
    <cellStyle name="20% - Accent3 3 3 3 4 2" xfId="10060" xr:uid="{00000000-0005-0000-0000-00003B1D0000}"/>
    <cellStyle name="20% - Accent3 3 3 3 4 2 2" xfId="21361" xr:uid="{00000000-0005-0000-0000-00003C1D0000}"/>
    <cellStyle name="20% - Accent3 3 3 3 4 2 2 2" xfId="43963" xr:uid="{00000000-0005-0000-0000-00003D1D0000}"/>
    <cellStyle name="20% - Accent3 3 3 3 4 2 3" xfId="32662" xr:uid="{00000000-0005-0000-0000-00003E1D0000}"/>
    <cellStyle name="20% - Accent3 3 3 3 4 3" xfId="15711" xr:uid="{00000000-0005-0000-0000-00003F1D0000}"/>
    <cellStyle name="20% - Accent3 3 3 3 4 3 2" xfId="38313" xr:uid="{00000000-0005-0000-0000-0000401D0000}"/>
    <cellStyle name="20% - Accent3 3 3 3 4 4" xfId="27012" xr:uid="{00000000-0005-0000-0000-0000411D0000}"/>
    <cellStyle name="20% - Accent3 3 3 3 5" xfId="7207" xr:uid="{00000000-0005-0000-0000-0000421D0000}"/>
    <cellStyle name="20% - Accent3 3 3 3 5 2" xfId="18508" xr:uid="{00000000-0005-0000-0000-0000431D0000}"/>
    <cellStyle name="20% - Accent3 3 3 3 5 2 2" xfId="41110" xr:uid="{00000000-0005-0000-0000-0000441D0000}"/>
    <cellStyle name="20% - Accent3 3 3 3 5 3" xfId="29809" xr:uid="{00000000-0005-0000-0000-0000451D0000}"/>
    <cellStyle name="20% - Accent3 3 3 3 6" xfId="12858" xr:uid="{00000000-0005-0000-0000-0000461D0000}"/>
    <cellStyle name="20% - Accent3 3 3 3 6 2" xfId="35460" xr:uid="{00000000-0005-0000-0000-0000471D0000}"/>
    <cellStyle name="20% - Accent3 3 3 3 7" xfId="24159" xr:uid="{00000000-0005-0000-0000-0000481D0000}"/>
    <cellStyle name="20% - Accent3 3 3 4" xfId="919" xr:uid="{00000000-0005-0000-0000-0000491D0000}"/>
    <cellStyle name="20% - Accent3 3 3 4 2" xfId="2989" xr:uid="{00000000-0005-0000-0000-00004A1D0000}"/>
    <cellStyle name="20% - Accent3 3 3 4 2 2" xfId="5961" xr:uid="{00000000-0005-0000-0000-00004B1D0000}"/>
    <cellStyle name="20% - Accent3 3 3 4 2 2 2" xfId="11611" xr:uid="{00000000-0005-0000-0000-00004C1D0000}"/>
    <cellStyle name="20% - Accent3 3 3 4 2 2 2 2" xfId="22912" xr:uid="{00000000-0005-0000-0000-00004D1D0000}"/>
    <cellStyle name="20% - Accent3 3 3 4 2 2 2 2 2" xfId="45514" xr:uid="{00000000-0005-0000-0000-00004E1D0000}"/>
    <cellStyle name="20% - Accent3 3 3 4 2 2 2 3" xfId="34213" xr:uid="{00000000-0005-0000-0000-00004F1D0000}"/>
    <cellStyle name="20% - Accent3 3 3 4 2 2 3" xfId="17262" xr:uid="{00000000-0005-0000-0000-0000501D0000}"/>
    <cellStyle name="20% - Accent3 3 3 4 2 2 3 2" xfId="39864" xr:uid="{00000000-0005-0000-0000-0000511D0000}"/>
    <cellStyle name="20% - Accent3 3 3 4 2 2 4" xfId="28563" xr:uid="{00000000-0005-0000-0000-0000521D0000}"/>
    <cellStyle name="20% - Accent3 3 3 4 2 3" xfId="8779" xr:uid="{00000000-0005-0000-0000-0000531D0000}"/>
    <cellStyle name="20% - Accent3 3 3 4 2 3 2" xfId="20080" xr:uid="{00000000-0005-0000-0000-0000541D0000}"/>
    <cellStyle name="20% - Accent3 3 3 4 2 3 2 2" xfId="42682" xr:uid="{00000000-0005-0000-0000-0000551D0000}"/>
    <cellStyle name="20% - Accent3 3 3 4 2 3 3" xfId="31381" xr:uid="{00000000-0005-0000-0000-0000561D0000}"/>
    <cellStyle name="20% - Accent3 3 3 4 2 4" xfId="14430" xr:uid="{00000000-0005-0000-0000-0000571D0000}"/>
    <cellStyle name="20% - Accent3 3 3 4 2 4 2" xfId="37032" xr:uid="{00000000-0005-0000-0000-0000581D0000}"/>
    <cellStyle name="20% - Accent3 3 3 4 2 5" xfId="25731" xr:uid="{00000000-0005-0000-0000-0000591D0000}"/>
    <cellStyle name="20% - Accent3 3 3 4 3" xfId="4727" xr:uid="{00000000-0005-0000-0000-00005A1D0000}"/>
    <cellStyle name="20% - Accent3 3 3 4 3 2" xfId="10377" xr:uid="{00000000-0005-0000-0000-00005B1D0000}"/>
    <cellStyle name="20% - Accent3 3 3 4 3 2 2" xfId="21678" xr:uid="{00000000-0005-0000-0000-00005C1D0000}"/>
    <cellStyle name="20% - Accent3 3 3 4 3 2 2 2" xfId="44280" xr:uid="{00000000-0005-0000-0000-00005D1D0000}"/>
    <cellStyle name="20% - Accent3 3 3 4 3 2 3" xfId="32979" xr:uid="{00000000-0005-0000-0000-00005E1D0000}"/>
    <cellStyle name="20% - Accent3 3 3 4 3 3" xfId="16028" xr:uid="{00000000-0005-0000-0000-00005F1D0000}"/>
    <cellStyle name="20% - Accent3 3 3 4 3 3 2" xfId="38630" xr:uid="{00000000-0005-0000-0000-0000601D0000}"/>
    <cellStyle name="20% - Accent3 3 3 4 3 4" xfId="27329" xr:uid="{00000000-0005-0000-0000-0000611D0000}"/>
    <cellStyle name="20% - Accent3 3 3 4 4" xfId="6914" xr:uid="{00000000-0005-0000-0000-0000621D0000}"/>
    <cellStyle name="20% - Accent3 3 3 4 4 2" xfId="18215" xr:uid="{00000000-0005-0000-0000-0000631D0000}"/>
    <cellStyle name="20% - Accent3 3 3 4 4 2 2" xfId="40817" xr:uid="{00000000-0005-0000-0000-0000641D0000}"/>
    <cellStyle name="20% - Accent3 3 3 4 4 3" xfId="29516" xr:uid="{00000000-0005-0000-0000-0000651D0000}"/>
    <cellStyle name="20% - Accent3 3 3 4 5" xfId="12565" xr:uid="{00000000-0005-0000-0000-0000661D0000}"/>
    <cellStyle name="20% - Accent3 3 3 4 5 2" xfId="35167" xr:uid="{00000000-0005-0000-0000-0000671D0000}"/>
    <cellStyle name="20% - Accent3 3 3 4 6" xfId="23866" xr:uid="{00000000-0005-0000-0000-0000681D0000}"/>
    <cellStyle name="20% - Accent3 3 3 5" xfId="1640" xr:uid="{00000000-0005-0000-0000-0000691D0000}"/>
    <cellStyle name="20% - Accent3 3 3 5 2" xfId="3614" xr:uid="{00000000-0005-0000-0000-00006A1D0000}"/>
    <cellStyle name="20% - Accent3 3 3 5 2 2" xfId="9327" xr:uid="{00000000-0005-0000-0000-00006B1D0000}"/>
    <cellStyle name="20% - Accent3 3 3 5 2 2 2" xfId="20628" xr:uid="{00000000-0005-0000-0000-00006C1D0000}"/>
    <cellStyle name="20% - Accent3 3 3 5 2 2 2 2" xfId="43230" xr:uid="{00000000-0005-0000-0000-00006D1D0000}"/>
    <cellStyle name="20% - Accent3 3 3 5 2 2 3" xfId="31929" xr:uid="{00000000-0005-0000-0000-00006E1D0000}"/>
    <cellStyle name="20% - Accent3 3 3 5 2 3" xfId="14978" xr:uid="{00000000-0005-0000-0000-00006F1D0000}"/>
    <cellStyle name="20% - Accent3 3 3 5 2 3 2" xfId="37580" xr:uid="{00000000-0005-0000-0000-0000701D0000}"/>
    <cellStyle name="20% - Accent3 3 3 5 2 4" xfId="26279" xr:uid="{00000000-0005-0000-0000-0000711D0000}"/>
    <cellStyle name="20% - Accent3 3 3 5 3" xfId="5337" xr:uid="{00000000-0005-0000-0000-0000721D0000}"/>
    <cellStyle name="20% - Accent3 3 3 5 3 2" xfId="10987" xr:uid="{00000000-0005-0000-0000-0000731D0000}"/>
    <cellStyle name="20% - Accent3 3 3 5 3 2 2" xfId="22288" xr:uid="{00000000-0005-0000-0000-0000741D0000}"/>
    <cellStyle name="20% - Accent3 3 3 5 3 2 2 2" xfId="44890" xr:uid="{00000000-0005-0000-0000-0000751D0000}"/>
    <cellStyle name="20% - Accent3 3 3 5 3 2 3" xfId="33589" xr:uid="{00000000-0005-0000-0000-0000761D0000}"/>
    <cellStyle name="20% - Accent3 3 3 5 3 3" xfId="16638" xr:uid="{00000000-0005-0000-0000-0000771D0000}"/>
    <cellStyle name="20% - Accent3 3 3 5 3 3 2" xfId="39240" xr:uid="{00000000-0005-0000-0000-0000781D0000}"/>
    <cellStyle name="20% - Accent3 3 3 5 3 4" xfId="27939" xr:uid="{00000000-0005-0000-0000-0000791D0000}"/>
    <cellStyle name="20% - Accent3 3 3 5 4" xfId="7496" xr:uid="{00000000-0005-0000-0000-00007A1D0000}"/>
    <cellStyle name="20% - Accent3 3 3 5 4 2" xfId="18797" xr:uid="{00000000-0005-0000-0000-00007B1D0000}"/>
    <cellStyle name="20% - Accent3 3 3 5 4 2 2" xfId="41399" xr:uid="{00000000-0005-0000-0000-00007C1D0000}"/>
    <cellStyle name="20% - Accent3 3 3 5 4 3" xfId="30098" xr:uid="{00000000-0005-0000-0000-00007D1D0000}"/>
    <cellStyle name="20% - Accent3 3 3 5 5" xfId="13147" xr:uid="{00000000-0005-0000-0000-00007E1D0000}"/>
    <cellStyle name="20% - Accent3 3 3 5 5 2" xfId="35749" xr:uid="{00000000-0005-0000-0000-00007F1D0000}"/>
    <cellStyle name="20% - Accent3 3 3 5 6" xfId="24448" xr:uid="{00000000-0005-0000-0000-0000801D0000}"/>
    <cellStyle name="20% - Accent3 3 3 6" xfId="2316" xr:uid="{00000000-0005-0000-0000-0000811D0000}"/>
    <cellStyle name="20% - Accent3 3 3 6 2" xfId="8152" xr:uid="{00000000-0005-0000-0000-0000821D0000}"/>
    <cellStyle name="20% - Accent3 3 3 6 2 2" xfId="19453" xr:uid="{00000000-0005-0000-0000-0000831D0000}"/>
    <cellStyle name="20% - Accent3 3 3 6 2 2 2" xfId="42055" xr:uid="{00000000-0005-0000-0000-0000841D0000}"/>
    <cellStyle name="20% - Accent3 3 3 6 2 3" xfId="30754" xr:uid="{00000000-0005-0000-0000-0000851D0000}"/>
    <cellStyle name="20% - Accent3 3 3 6 3" xfId="13803" xr:uid="{00000000-0005-0000-0000-0000861D0000}"/>
    <cellStyle name="20% - Accent3 3 3 6 3 2" xfId="36405" xr:uid="{00000000-0005-0000-0000-0000871D0000}"/>
    <cellStyle name="20% - Accent3 3 3 6 4" xfId="25104" xr:uid="{00000000-0005-0000-0000-0000881D0000}"/>
    <cellStyle name="20% - Accent3 3 3 7" xfId="4103" xr:uid="{00000000-0005-0000-0000-0000891D0000}"/>
    <cellStyle name="20% - Accent3 3 3 7 2" xfId="9753" xr:uid="{00000000-0005-0000-0000-00008A1D0000}"/>
    <cellStyle name="20% - Accent3 3 3 7 2 2" xfId="21054" xr:uid="{00000000-0005-0000-0000-00008B1D0000}"/>
    <cellStyle name="20% - Accent3 3 3 7 2 2 2" xfId="43656" xr:uid="{00000000-0005-0000-0000-00008C1D0000}"/>
    <cellStyle name="20% - Accent3 3 3 7 2 3" xfId="32355" xr:uid="{00000000-0005-0000-0000-00008D1D0000}"/>
    <cellStyle name="20% - Accent3 3 3 7 3" xfId="15404" xr:uid="{00000000-0005-0000-0000-00008E1D0000}"/>
    <cellStyle name="20% - Accent3 3 3 7 3 2" xfId="38006" xr:uid="{00000000-0005-0000-0000-00008F1D0000}"/>
    <cellStyle name="20% - Accent3 3 3 7 4" xfId="26705" xr:uid="{00000000-0005-0000-0000-0000901D0000}"/>
    <cellStyle name="20% - Accent3 3 3 8" xfId="6554" xr:uid="{00000000-0005-0000-0000-0000911D0000}"/>
    <cellStyle name="20% - Accent3 3 3 8 2" xfId="17855" xr:uid="{00000000-0005-0000-0000-0000921D0000}"/>
    <cellStyle name="20% - Accent3 3 3 8 2 2" xfId="40457" xr:uid="{00000000-0005-0000-0000-0000931D0000}"/>
    <cellStyle name="20% - Accent3 3 3 8 3" xfId="29156" xr:uid="{00000000-0005-0000-0000-0000941D0000}"/>
    <cellStyle name="20% - Accent3 3 3 9" xfId="12205" xr:uid="{00000000-0005-0000-0000-0000951D0000}"/>
    <cellStyle name="20% - Accent3 3 3 9 2" xfId="34807" xr:uid="{00000000-0005-0000-0000-0000961D0000}"/>
    <cellStyle name="20% - Accent3 3 4" xfId="551" xr:uid="{00000000-0005-0000-0000-0000971D0000}"/>
    <cellStyle name="20% - Accent3 3 4 2" xfId="1132" xr:uid="{00000000-0005-0000-0000-0000981D0000}"/>
    <cellStyle name="20% - Accent3 3 4 2 2" xfId="1645" xr:uid="{00000000-0005-0000-0000-0000991D0000}"/>
    <cellStyle name="20% - Accent3 3 4 2 2 2" xfId="3199" xr:uid="{00000000-0005-0000-0000-00009A1D0000}"/>
    <cellStyle name="20% - Accent3 3 4 2 2 2 2" xfId="6171" xr:uid="{00000000-0005-0000-0000-00009B1D0000}"/>
    <cellStyle name="20% - Accent3 3 4 2 2 2 2 2" xfId="11821" xr:uid="{00000000-0005-0000-0000-00009C1D0000}"/>
    <cellStyle name="20% - Accent3 3 4 2 2 2 2 2 2" xfId="23122" xr:uid="{00000000-0005-0000-0000-00009D1D0000}"/>
    <cellStyle name="20% - Accent3 3 4 2 2 2 2 2 2 2" xfId="45724" xr:uid="{00000000-0005-0000-0000-00009E1D0000}"/>
    <cellStyle name="20% - Accent3 3 4 2 2 2 2 2 3" xfId="34423" xr:uid="{00000000-0005-0000-0000-00009F1D0000}"/>
    <cellStyle name="20% - Accent3 3 4 2 2 2 2 3" xfId="17472" xr:uid="{00000000-0005-0000-0000-0000A01D0000}"/>
    <cellStyle name="20% - Accent3 3 4 2 2 2 2 3 2" xfId="40074" xr:uid="{00000000-0005-0000-0000-0000A11D0000}"/>
    <cellStyle name="20% - Accent3 3 4 2 2 2 2 4" xfId="28773" xr:uid="{00000000-0005-0000-0000-0000A21D0000}"/>
    <cellStyle name="20% - Accent3 3 4 2 2 2 3" xfId="8989" xr:uid="{00000000-0005-0000-0000-0000A31D0000}"/>
    <cellStyle name="20% - Accent3 3 4 2 2 2 3 2" xfId="20290" xr:uid="{00000000-0005-0000-0000-0000A41D0000}"/>
    <cellStyle name="20% - Accent3 3 4 2 2 2 3 2 2" xfId="42892" xr:uid="{00000000-0005-0000-0000-0000A51D0000}"/>
    <cellStyle name="20% - Accent3 3 4 2 2 2 3 3" xfId="31591" xr:uid="{00000000-0005-0000-0000-0000A61D0000}"/>
    <cellStyle name="20% - Accent3 3 4 2 2 2 4" xfId="14640" xr:uid="{00000000-0005-0000-0000-0000A71D0000}"/>
    <cellStyle name="20% - Accent3 3 4 2 2 2 4 2" xfId="37242" xr:uid="{00000000-0005-0000-0000-0000A81D0000}"/>
    <cellStyle name="20% - Accent3 3 4 2 2 2 5" xfId="25941" xr:uid="{00000000-0005-0000-0000-0000A91D0000}"/>
    <cellStyle name="20% - Accent3 3 4 2 2 3" xfId="4937" xr:uid="{00000000-0005-0000-0000-0000AA1D0000}"/>
    <cellStyle name="20% - Accent3 3 4 2 2 3 2" xfId="10587" xr:uid="{00000000-0005-0000-0000-0000AB1D0000}"/>
    <cellStyle name="20% - Accent3 3 4 2 2 3 2 2" xfId="21888" xr:uid="{00000000-0005-0000-0000-0000AC1D0000}"/>
    <cellStyle name="20% - Accent3 3 4 2 2 3 2 2 2" xfId="44490" xr:uid="{00000000-0005-0000-0000-0000AD1D0000}"/>
    <cellStyle name="20% - Accent3 3 4 2 2 3 2 3" xfId="33189" xr:uid="{00000000-0005-0000-0000-0000AE1D0000}"/>
    <cellStyle name="20% - Accent3 3 4 2 2 3 3" xfId="16238" xr:uid="{00000000-0005-0000-0000-0000AF1D0000}"/>
    <cellStyle name="20% - Accent3 3 4 2 2 3 3 2" xfId="38840" xr:uid="{00000000-0005-0000-0000-0000B01D0000}"/>
    <cellStyle name="20% - Accent3 3 4 2 2 3 4" xfId="27539" xr:uid="{00000000-0005-0000-0000-0000B11D0000}"/>
    <cellStyle name="20% - Accent3 3 4 2 2 4" xfId="7501" xr:uid="{00000000-0005-0000-0000-0000B21D0000}"/>
    <cellStyle name="20% - Accent3 3 4 2 2 4 2" xfId="18802" xr:uid="{00000000-0005-0000-0000-0000B31D0000}"/>
    <cellStyle name="20% - Accent3 3 4 2 2 4 2 2" xfId="41404" xr:uid="{00000000-0005-0000-0000-0000B41D0000}"/>
    <cellStyle name="20% - Accent3 3 4 2 2 4 3" xfId="30103" xr:uid="{00000000-0005-0000-0000-0000B51D0000}"/>
    <cellStyle name="20% - Accent3 3 4 2 2 5" xfId="13152" xr:uid="{00000000-0005-0000-0000-0000B61D0000}"/>
    <cellStyle name="20% - Accent3 3 4 2 2 5 2" xfId="35754" xr:uid="{00000000-0005-0000-0000-0000B71D0000}"/>
    <cellStyle name="20% - Accent3 3 4 2 2 6" xfId="24453" xr:uid="{00000000-0005-0000-0000-0000B81D0000}"/>
    <cellStyle name="20% - Accent3 3 4 2 3" xfId="2528" xr:uid="{00000000-0005-0000-0000-0000B91D0000}"/>
    <cellStyle name="20% - Accent3 3 4 2 3 2" xfId="5547" xr:uid="{00000000-0005-0000-0000-0000BA1D0000}"/>
    <cellStyle name="20% - Accent3 3 4 2 3 2 2" xfId="11197" xr:uid="{00000000-0005-0000-0000-0000BB1D0000}"/>
    <cellStyle name="20% - Accent3 3 4 2 3 2 2 2" xfId="22498" xr:uid="{00000000-0005-0000-0000-0000BC1D0000}"/>
    <cellStyle name="20% - Accent3 3 4 2 3 2 2 2 2" xfId="45100" xr:uid="{00000000-0005-0000-0000-0000BD1D0000}"/>
    <cellStyle name="20% - Accent3 3 4 2 3 2 2 3" xfId="33799" xr:uid="{00000000-0005-0000-0000-0000BE1D0000}"/>
    <cellStyle name="20% - Accent3 3 4 2 3 2 3" xfId="16848" xr:uid="{00000000-0005-0000-0000-0000BF1D0000}"/>
    <cellStyle name="20% - Accent3 3 4 2 3 2 3 2" xfId="39450" xr:uid="{00000000-0005-0000-0000-0000C01D0000}"/>
    <cellStyle name="20% - Accent3 3 4 2 3 2 4" xfId="28149" xr:uid="{00000000-0005-0000-0000-0000C11D0000}"/>
    <cellStyle name="20% - Accent3 3 4 2 3 3" xfId="8364" xr:uid="{00000000-0005-0000-0000-0000C21D0000}"/>
    <cellStyle name="20% - Accent3 3 4 2 3 3 2" xfId="19665" xr:uid="{00000000-0005-0000-0000-0000C31D0000}"/>
    <cellStyle name="20% - Accent3 3 4 2 3 3 2 2" xfId="42267" xr:uid="{00000000-0005-0000-0000-0000C41D0000}"/>
    <cellStyle name="20% - Accent3 3 4 2 3 3 3" xfId="30966" xr:uid="{00000000-0005-0000-0000-0000C51D0000}"/>
    <cellStyle name="20% - Accent3 3 4 2 3 4" xfId="14015" xr:uid="{00000000-0005-0000-0000-0000C61D0000}"/>
    <cellStyle name="20% - Accent3 3 4 2 3 4 2" xfId="36617" xr:uid="{00000000-0005-0000-0000-0000C71D0000}"/>
    <cellStyle name="20% - Accent3 3 4 2 3 5" xfId="25316" xr:uid="{00000000-0005-0000-0000-0000C81D0000}"/>
    <cellStyle name="20% - Accent3 3 4 2 4" xfId="4313" xr:uid="{00000000-0005-0000-0000-0000C91D0000}"/>
    <cellStyle name="20% - Accent3 3 4 2 4 2" xfId="9963" xr:uid="{00000000-0005-0000-0000-0000CA1D0000}"/>
    <cellStyle name="20% - Accent3 3 4 2 4 2 2" xfId="21264" xr:uid="{00000000-0005-0000-0000-0000CB1D0000}"/>
    <cellStyle name="20% - Accent3 3 4 2 4 2 2 2" xfId="43866" xr:uid="{00000000-0005-0000-0000-0000CC1D0000}"/>
    <cellStyle name="20% - Accent3 3 4 2 4 2 3" xfId="32565" xr:uid="{00000000-0005-0000-0000-0000CD1D0000}"/>
    <cellStyle name="20% - Accent3 3 4 2 4 3" xfId="15614" xr:uid="{00000000-0005-0000-0000-0000CE1D0000}"/>
    <cellStyle name="20% - Accent3 3 4 2 4 3 2" xfId="38216" xr:uid="{00000000-0005-0000-0000-0000CF1D0000}"/>
    <cellStyle name="20% - Accent3 3 4 2 4 4" xfId="26915" xr:uid="{00000000-0005-0000-0000-0000D01D0000}"/>
    <cellStyle name="20% - Accent3 3 4 2 5" xfId="7111" xr:uid="{00000000-0005-0000-0000-0000D11D0000}"/>
    <cellStyle name="20% - Accent3 3 4 2 5 2" xfId="18412" xr:uid="{00000000-0005-0000-0000-0000D21D0000}"/>
    <cellStyle name="20% - Accent3 3 4 2 5 2 2" xfId="41014" xr:uid="{00000000-0005-0000-0000-0000D31D0000}"/>
    <cellStyle name="20% - Accent3 3 4 2 5 3" xfId="29713" xr:uid="{00000000-0005-0000-0000-0000D41D0000}"/>
    <cellStyle name="20% - Accent3 3 4 2 6" xfId="12762" xr:uid="{00000000-0005-0000-0000-0000D51D0000}"/>
    <cellStyle name="20% - Accent3 3 4 2 6 2" xfId="35364" xr:uid="{00000000-0005-0000-0000-0000D61D0000}"/>
    <cellStyle name="20% - Accent3 3 4 2 7" xfId="24063" xr:uid="{00000000-0005-0000-0000-0000D71D0000}"/>
    <cellStyle name="20% - Accent3 3 4 3" xfId="805" xr:uid="{00000000-0005-0000-0000-0000D81D0000}"/>
    <cellStyle name="20% - Accent3 3 4 3 2" xfId="2893" xr:uid="{00000000-0005-0000-0000-0000D91D0000}"/>
    <cellStyle name="20% - Accent3 3 4 3 2 2" xfId="5865" xr:uid="{00000000-0005-0000-0000-0000DA1D0000}"/>
    <cellStyle name="20% - Accent3 3 4 3 2 2 2" xfId="11515" xr:uid="{00000000-0005-0000-0000-0000DB1D0000}"/>
    <cellStyle name="20% - Accent3 3 4 3 2 2 2 2" xfId="22816" xr:uid="{00000000-0005-0000-0000-0000DC1D0000}"/>
    <cellStyle name="20% - Accent3 3 4 3 2 2 2 2 2" xfId="45418" xr:uid="{00000000-0005-0000-0000-0000DD1D0000}"/>
    <cellStyle name="20% - Accent3 3 4 3 2 2 2 3" xfId="34117" xr:uid="{00000000-0005-0000-0000-0000DE1D0000}"/>
    <cellStyle name="20% - Accent3 3 4 3 2 2 3" xfId="17166" xr:uid="{00000000-0005-0000-0000-0000DF1D0000}"/>
    <cellStyle name="20% - Accent3 3 4 3 2 2 3 2" xfId="39768" xr:uid="{00000000-0005-0000-0000-0000E01D0000}"/>
    <cellStyle name="20% - Accent3 3 4 3 2 2 4" xfId="28467" xr:uid="{00000000-0005-0000-0000-0000E11D0000}"/>
    <cellStyle name="20% - Accent3 3 4 3 2 3" xfId="8683" xr:uid="{00000000-0005-0000-0000-0000E21D0000}"/>
    <cellStyle name="20% - Accent3 3 4 3 2 3 2" xfId="19984" xr:uid="{00000000-0005-0000-0000-0000E31D0000}"/>
    <cellStyle name="20% - Accent3 3 4 3 2 3 2 2" xfId="42586" xr:uid="{00000000-0005-0000-0000-0000E41D0000}"/>
    <cellStyle name="20% - Accent3 3 4 3 2 3 3" xfId="31285" xr:uid="{00000000-0005-0000-0000-0000E51D0000}"/>
    <cellStyle name="20% - Accent3 3 4 3 2 4" xfId="14334" xr:uid="{00000000-0005-0000-0000-0000E61D0000}"/>
    <cellStyle name="20% - Accent3 3 4 3 2 4 2" xfId="36936" xr:uid="{00000000-0005-0000-0000-0000E71D0000}"/>
    <cellStyle name="20% - Accent3 3 4 3 2 5" xfId="25635" xr:uid="{00000000-0005-0000-0000-0000E81D0000}"/>
    <cellStyle name="20% - Accent3 3 4 3 3" xfId="4631" xr:uid="{00000000-0005-0000-0000-0000E91D0000}"/>
    <cellStyle name="20% - Accent3 3 4 3 3 2" xfId="10281" xr:uid="{00000000-0005-0000-0000-0000EA1D0000}"/>
    <cellStyle name="20% - Accent3 3 4 3 3 2 2" xfId="21582" xr:uid="{00000000-0005-0000-0000-0000EB1D0000}"/>
    <cellStyle name="20% - Accent3 3 4 3 3 2 2 2" xfId="44184" xr:uid="{00000000-0005-0000-0000-0000EC1D0000}"/>
    <cellStyle name="20% - Accent3 3 4 3 3 2 3" xfId="32883" xr:uid="{00000000-0005-0000-0000-0000ED1D0000}"/>
    <cellStyle name="20% - Accent3 3 4 3 3 3" xfId="15932" xr:uid="{00000000-0005-0000-0000-0000EE1D0000}"/>
    <cellStyle name="20% - Accent3 3 4 3 3 3 2" xfId="38534" xr:uid="{00000000-0005-0000-0000-0000EF1D0000}"/>
    <cellStyle name="20% - Accent3 3 4 3 3 4" xfId="27233" xr:uid="{00000000-0005-0000-0000-0000F01D0000}"/>
    <cellStyle name="20% - Accent3 3 4 3 4" xfId="6814" xr:uid="{00000000-0005-0000-0000-0000F11D0000}"/>
    <cellStyle name="20% - Accent3 3 4 3 4 2" xfId="18115" xr:uid="{00000000-0005-0000-0000-0000F21D0000}"/>
    <cellStyle name="20% - Accent3 3 4 3 4 2 2" xfId="40717" xr:uid="{00000000-0005-0000-0000-0000F31D0000}"/>
    <cellStyle name="20% - Accent3 3 4 3 4 3" xfId="29416" xr:uid="{00000000-0005-0000-0000-0000F41D0000}"/>
    <cellStyle name="20% - Accent3 3 4 3 5" xfId="12465" xr:uid="{00000000-0005-0000-0000-0000F51D0000}"/>
    <cellStyle name="20% - Accent3 3 4 3 5 2" xfId="35067" xr:uid="{00000000-0005-0000-0000-0000F61D0000}"/>
    <cellStyle name="20% - Accent3 3 4 3 6" xfId="23766" xr:uid="{00000000-0005-0000-0000-0000F71D0000}"/>
    <cellStyle name="20% - Accent3 3 4 4" xfId="1644" xr:uid="{00000000-0005-0000-0000-0000F81D0000}"/>
    <cellStyle name="20% - Accent3 3 4 4 2" xfId="3616" xr:uid="{00000000-0005-0000-0000-0000F91D0000}"/>
    <cellStyle name="20% - Accent3 3 4 4 2 2" xfId="9329" xr:uid="{00000000-0005-0000-0000-0000FA1D0000}"/>
    <cellStyle name="20% - Accent3 3 4 4 2 2 2" xfId="20630" xr:uid="{00000000-0005-0000-0000-0000FB1D0000}"/>
    <cellStyle name="20% - Accent3 3 4 4 2 2 2 2" xfId="43232" xr:uid="{00000000-0005-0000-0000-0000FC1D0000}"/>
    <cellStyle name="20% - Accent3 3 4 4 2 2 3" xfId="31931" xr:uid="{00000000-0005-0000-0000-0000FD1D0000}"/>
    <cellStyle name="20% - Accent3 3 4 4 2 3" xfId="14980" xr:uid="{00000000-0005-0000-0000-0000FE1D0000}"/>
    <cellStyle name="20% - Accent3 3 4 4 2 3 2" xfId="37582" xr:uid="{00000000-0005-0000-0000-0000FF1D0000}"/>
    <cellStyle name="20% - Accent3 3 4 4 2 4" xfId="26281" xr:uid="{00000000-0005-0000-0000-0000001E0000}"/>
    <cellStyle name="20% - Accent3 3 4 4 3" xfId="5241" xr:uid="{00000000-0005-0000-0000-0000011E0000}"/>
    <cellStyle name="20% - Accent3 3 4 4 3 2" xfId="10891" xr:uid="{00000000-0005-0000-0000-0000021E0000}"/>
    <cellStyle name="20% - Accent3 3 4 4 3 2 2" xfId="22192" xr:uid="{00000000-0005-0000-0000-0000031E0000}"/>
    <cellStyle name="20% - Accent3 3 4 4 3 2 2 2" xfId="44794" xr:uid="{00000000-0005-0000-0000-0000041E0000}"/>
    <cellStyle name="20% - Accent3 3 4 4 3 2 3" xfId="33493" xr:uid="{00000000-0005-0000-0000-0000051E0000}"/>
    <cellStyle name="20% - Accent3 3 4 4 3 3" xfId="16542" xr:uid="{00000000-0005-0000-0000-0000061E0000}"/>
    <cellStyle name="20% - Accent3 3 4 4 3 3 2" xfId="39144" xr:uid="{00000000-0005-0000-0000-0000071E0000}"/>
    <cellStyle name="20% - Accent3 3 4 4 3 4" xfId="27843" xr:uid="{00000000-0005-0000-0000-0000081E0000}"/>
    <cellStyle name="20% - Accent3 3 4 4 4" xfId="7500" xr:uid="{00000000-0005-0000-0000-0000091E0000}"/>
    <cellStyle name="20% - Accent3 3 4 4 4 2" xfId="18801" xr:uid="{00000000-0005-0000-0000-00000A1E0000}"/>
    <cellStyle name="20% - Accent3 3 4 4 4 2 2" xfId="41403" xr:uid="{00000000-0005-0000-0000-00000B1E0000}"/>
    <cellStyle name="20% - Accent3 3 4 4 4 3" xfId="30102" xr:uid="{00000000-0005-0000-0000-00000C1E0000}"/>
    <cellStyle name="20% - Accent3 3 4 4 5" xfId="13151" xr:uid="{00000000-0005-0000-0000-00000D1E0000}"/>
    <cellStyle name="20% - Accent3 3 4 4 5 2" xfId="35753" xr:uid="{00000000-0005-0000-0000-00000E1E0000}"/>
    <cellStyle name="20% - Accent3 3 4 4 6" xfId="24452" xr:uid="{00000000-0005-0000-0000-00000F1E0000}"/>
    <cellStyle name="20% - Accent3 3 4 5" xfId="2213" xr:uid="{00000000-0005-0000-0000-0000101E0000}"/>
    <cellStyle name="20% - Accent3 3 4 5 2" xfId="8055" xr:uid="{00000000-0005-0000-0000-0000111E0000}"/>
    <cellStyle name="20% - Accent3 3 4 5 2 2" xfId="19356" xr:uid="{00000000-0005-0000-0000-0000121E0000}"/>
    <cellStyle name="20% - Accent3 3 4 5 2 2 2" xfId="41958" xr:uid="{00000000-0005-0000-0000-0000131E0000}"/>
    <cellStyle name="20% - Accent3 3 4 5 2 3" xfId="30657" xr:uid="{00000000-0005-0000-0000-0000141E0000}"/>
    <cellStyle name="20% - Accent3 3 4 5 3" xfId="13706" xr:uid="{00000000-0005-0000-0000-0000151E0000}"/>
    <cellStyle name="20% - Accent3 3 4 5 3 2" xfId="36308" xr:uid="{00000000-0005-0000-0000-0000161E0000}"/>
    <cellStyle name="20% - Accent3 3 4 5 4" xfId="25007" xr:uid="{00000000-0005-0000-0000-0000171E0000}"/>
    <cellStyle name="20% - Accent3 3 4 6" xfId="4007" xr:uid="{00000000-0005-0000-0000-0000181E0000}"/>
    <cellStyle name="20% - Accent3 3 4 6 2" xfId="9657" xr:uid="{00000000-0005-0000-0000-0000191E0000}"/>
    <cellStyle name="20% - Accent3 3 4 6 2 2" xfId="20958" xr:uid="{00000000-0005-0000-0000-00001A1E0000}"/>
    <cellStyle name="20% - Accent3 3 4 6 2 2 2" xfId="43560" xr:uid="{00000000-0005-0000-0000-00001B1E0000}"/>
    <cellStyle name="20% - Accent3 3 4 6 2 3" xfId="32259" xr:uid="{00000000-0005-0000-0000-00001C1E0000}"/>
    <cellStyle name="20% - Accent3 3 4 6 3" xfId="15308" xr:uid="{00000000-0005-0000-0000-00001D1E0000}"/>
    <cellStyle name="20% - Accent3 3 4 6 3 2" xfId="37910" xr:uid="{00000000-0005-0000-0000-00001E1E0000}"/>
    <cellStyle name="20% - Accent3 3 4 6 4" xfId="26609" xr:uid="{00000000-0005-0000-0000-00001F1E0000}"/>
    <cellStyle name="20% - Accent3 3 4 7" xfId="6625" xr:uid="{00000000-0005-0000-0000-0000201E0000}"/>
    <cellStyle name="20% - Accent3 3 4 7 2" xfId="17926" xr:uid="{00000000-0005-0000-0000-0000211E0000}"/>
    <cellStyle name="20% - Accent3 3 4 7 2 2" xfId="40528" xr:uid="{00000000-0005-0000-0000-0000221E0000}"/>
    <cellStyle name="20% - Accent3 3 4 7 3" xfId="29227" xr:uid="{00000000-0005-0000-0000-0000231E0000}"/>
    <cellStyle name="20% - Accent3 3 4 8" xfId="12276" xr:uid="{00000000-0005-0000-0000-0000241E0000}"/>
    <cellStyle name="20% - Accent3 3 4 8 2" xfId="34878" xr:uid="{00000000-0005-0000-0000-0000251E0000}"/>
    <cellStyle name="20% - Accent3 3 4 9" xfId="23577" xr:uid="{00000000-0005-0000-0000-0000261E0000}"/>
    <cellStyle name="20% - Accent3 3 5" xfId="451" xr:uid="{00000000-0005-0000-0000-0000271E0000}"/>
    <cellStyle name="20% - Accent3 3 6" xfId="1472" xr:uid="{00000000-0005-0000-0000-0000281E0000}"/>
    <cellStyle name="20% - Accent3 3 7" xfId="6458" xr:uid="{00000000-0005-0000-0000-0000291E0000}"/>
    <cellStyle name="20% - Accent3 3 7 2" xfId="17759" xr:uid="{00000000-0005-0000-0000-00002A1E0000}"/>
    <cellStyle name="20% - Accent3 3 7 2 2" xfId="40361" xr:uid="{00000000-0005-0000-0000-00002B1E0000}"/>
    <cellStyle name="20% - Accent3 3 7 3" xfId="29060" xr:uid="{00000000-0005-0000-0000-00002C1E0000}"/>
    <cellStyle name="20% - Accent3 3 8" xfId="12109" xr:uid="{00000000-0005-0000-0000-00002D1E0000}"/>
    <cellStyle name="20% - Accent3 3 8 2" xfId="34711" xr:uid="{00000000-0005-0000-0000-00002E1E0000}"/>
    <cellStyle name="20% - Accent3 3 9" xfId="23410" xr:uid="{00000000-0005-0000-0000-00002F1E0000}"/>
    <cellStyle name="20% - Accent3 4" xfId="240" xr:uid="{00000000-0005-0000-0000-0000301E0000}"/>
    <cellStyle name="20% - Accent3 4 10" xfId="3993" xr:uid="{00000000-0005-0000-0000-0000311E0000}"/>
    <cellStyle name="20% - Accent3 4 10 2" xfId="9643" xr:uid="{00000000-0005-0000-0000-0000321E0000}"/>
    <cellStyle name="20% - Accent3 4 10 2 2" xfId="20944" xr:uid="{00000000-0005-0000-0000-0000331E0000}"/>
    <cellStyle name="20% - Accent3 4 10 2 2 2" xfId="43546" xr:uid="{00000000-0005-0000-0000-0000341E0000}"/>
    <cellStyle name="20% - Accent3 4 10 2 3" xfId="32245" xr:uid="{00000000-0005-0000-0000-0000351E0000}"/>
    <cellStyle name="20% - Accent3 4 10 3" xfId="15294" xr:uid="{00000000-0005-0000-0000-0000361E0000}"/>
    <cellStyle name="20% - Accent3 4 10 3 2" xfId="37896" xr:uid="{00000000-0005-0000-0000-0000371E0000}"/>
    <cellStyle name="20% - Accent3 4 10 4" xfId="26595" xr:uid="{00000000-0005-0000-0000-0000381E0000}"/>
    <cellStyle name="20% - Accent3 4 11" xfId="6472" xr:uid="{00000000-0005-0000-0000-0000391E0000}"/>
    <cellStyle name="20% - Accent3 4 11 2" xfId="17773" xr:uid="{00000000-0005-0000-0000-00003A1E0000}"/>
    <cellStyle name="20% - Accent3 4 11 2 2" xfId="40375" xr:uid="{00000000-0005-0000-0000-00003B1E0000}"/>
    <cellStyle name="20% - Accent3 4 11 3" xfId="29074" xr:uid="{00000000-0005-0000-0000-00003C1E0000}"/>
    <cellStyle name="20% - Accent3 4 12" xfId="12123" xr:uid="{00000000-0005-0000-0000-00003D1E0000}"/>
    <cellStyle name="20% - Accent3 4 12 2" xfId="34725" xr:uid="{00000000-0005-0000-0000-00003E1E0000}"/>
    <cellStyle name="20% - Accent3 4 13" xfId="23424" xr:uid="{00000000-0005-0000-0000-00003F1E0000}"/>
    <cellStyle name="20% - Accent3 4 2" xfId="363" xr:uid="{00000000-0005-0000-0000-0000401E0000}"/>
    <cellStyle name="20% - Accent3 4 2 10" xfId="23471" xr:uid="{00000000-0005-0000-0000-0000411E0000}"/>
    <cellStyle name="20% - Accent3 4 2 2" xfId="621" xr:uid="{00000000-0005-0000-0000-0000421E0000}"/>
    <cellStyle name="20% - Accent3 4 2 2 2" xfId="1331" xr:uid="{00000000-0005-0000-0000-0000431E0000}"/>
    <cellStyle name="20% - Accent3 4 2 2 2 2" xfId="1649" xr:uid="{00000000-0005-0000-0000-0000441E0000}"/>
    <cellStyle name="20% - Accent3 4 2 2 2 2 2" xfId="3400" xr:uid="{00000000-0005-0000-0000-0000451E0000}"/>
    <cellStyle name="20% - Accent3 4 2 2 2 2 2 2" xfId="6372" xr:uid="{00000000-0005-0000-0000-0000461E0000}"/>
    <cellStyle name="20% - Accent3 4 2 2 2 2 2 2 2" xfId="12022" xr:uid="{00000000-0005-0000-0000-0000471E0000}"/>
    <cellStyle name="20% - Accent3 4 2 2 2 2 2 2 2 2" xfId="23323" xr:uid="{00000000-0005-0000-0000-0000481E0000}"/>
    <cellStyle name="20% - Accent3 4 2 2 2 2 2 2 2 2 2" xfId="45925" xr:uid="{00000000-0005-0000-0000-0000491E0000}"/>
    <cellStyle name="20% - Accent3 4 2 2 2 2 2 2 2 3" xfId="34624" xr:uid="{00000000-0005-0000-0000-00004A1E0000}"/>
    <cellStyle name="20% - Accent3 4 2 2 2 2 2 2 3" xfId="17673" xr:uid="{00000000-0005-0000-0000-00004B1E0000}"/>
    <cellStyle name="20% - Accent3 4 2 2 2 2 2 2 3 2" xfId="40275" xr:uid="{00000000-0005-0000-0000-00004C1E0000}"/>
    <cellStyle name="20% - Accent3 4 2 2 2 2 2 2 4" xfId="28974" xr:uid="{00000000-0005-0000-0000-00004D1E0000}"/>
    <cellStyle name="20% - Accent3 4 2 2 2 2 2 3" xfId="9190" xr:uid="{00000000-0005-0000-0000-00004E1E0000}"/>
    <cellStyle name="20% - Accent3 4 2 2 2 2 2 3 2" xfId="20491" xr:uid="{00000000-0005-0000-0000-00004F1E0000}"/>
    <cellStyle name="20% - Accent3 4 2 2 2 2 2 3 2 2" xfId="43093" xr:uid="{00000000-0005-0000-0000-0000501E0000}"/>
    <cellStyle name="20% - Accent3 4 2 2 2 2 2 3 3" xfId="31792" xr:uid="{00000000-0005-0000-0000-0000511E0000}"/>
    <cellStyle name="20% - Accent3 4 2 2 2 2 2 4" xfId="14841" xr:uid="{00000000-0005-0000-0000-0000521E0000}"/>
    <cellStyle name="20% - Accent3 4 2 2 2 2 2 4 2" xfId="37443" xr:uid="{00000000-0005-0000-0000-0000531E0000}"/>
    <cellStyle name="20% - Accent3 4 2 2 2 2 2 5" xfId="26142" xr:uid="{00000000-0005-0000-0000-0000541E0000}"/>
    <cellStyle name="20% - Accent3 4 2 2 2 2 3" xfId="5138" xr:uid="{00000000-0005-0000-0000-0000551E0000}"/>
    <cellStyle name="20% - Accent3 4 2 2 2 2 3 2" xfId="10788" xr:uid="{00000000-0005-0000-0000-0000561E0000}"/>
    <cellStyle name="20% - Accent3 4 2 2 2 2 3 2 2" xfId="22089" xr:uid="{00000000-0005-0000-0000-0000571E0000}"/>
    <cellStyle name="20% - Accent3 4 2 2 2 2 3 2 2 2" xfId="44691" xr:uid="{00000000-0005-0000-0000-0000581E0000}"/>
    <cellStyle name="20% - Accent3 4 2 2 2 2 3 2 3" xfId="33390" xr:uid="{00000000-0005-0000-0000-0000591E0000}"/>
    <cellStyle name="20% - Accent3 4 2 2 2 2 3 3" xfId="16439" xr:uid="{00000000-0005-0000-0000-00005A1E0000}"/>
    <cellStyle name="20% - Accent3 4 2 2 2 2 3 3 2" xfId="39041" xr:uid="{00000000-0005-0000-0000-00005B1E0000}"/>
    <cellStyle name="20% - Accent3 4 2 2 2 2 3 4" xfId="27740" xr:uid="{00000000-0005-0000-0000-00005C1E0000}"/>
    <cellStyle name="20% - Accent3 4 2 2 2 2 4" xfId="7505" xr:uid="{00000000-0005-0000-0000-00005D1E0000}"/>
    <cellStyle name="20% - Accent3 4 2 2 2 2 4 2" xfId="18806" xr:uid="{00000000-0005-0000-0000-00005E1E0000}"/>
    <cellStyle name="20% - Accent3 4 2 2 2 2 4 2 2" xfId="41408" xr:uid="{00000000-0005-0000-0000-00005F1E0000}"/>
    <cellStyle name="20% - Accent3 4 2 2 2 2 4 3" xfId="30107" xr:uid="{00000000-0005-0000-0000-0000601E0000}"/>
    <cellStyle name="20% - Accent3 4 2 2 2 2 5" xfId="13156" xr:uid="{00000000-0005-0000-0000-0000611E0000}"/>
    <cellStyle name="20% - Accent3 4 2 2 2 2 5 2" xfId="35758" xr:uid="{00000000-0005-0000-0000-0000621E0000}"/>
    <cellStyle name="20% - Accent3 4 2 2 2 2 6" xfId="24457" xr:uid="{00000000-0005-0000-0000-0000631E0000}"/>
    <cellStyle name="20% - Accent3 4 2 2 2 3" xfId="2729" xr:uid="{00000000-0005-0000-0000-0000641E0000}"/>
    <cellStyle name="20% - Accent3 4 2 2 2 3 2" xfId="5748" xr:uid="{00000000-0005-0000-0000-0000651E0000}"/>
    <cellStyle name="20% - Accent3 4 2 2 2 3 2 2" xfId="11398" xr:uid="{00000000-0005-0000-0000-0000661E0000}"/>
    <cellStyle name="20% - Accent3 4 2 2 2 3 2 2 2" xfId="22699" xr:uid="{00000000-0005-0000-0000-0000671E0000}"/>
    <cellStyle name="20% - Accent3 4 2 2 2 3 2 2 2 2" xfId="45301" xr:uid="{00000000-0005-0000-0000-0000681E0000}"/>
    <cellStyle name="20% - Accent3 4 2 2 2 3 2 2 3" xfId="34000" xr:uid="{00000000-0005-0000-0000-0000691E0000}"/>
    <cellStyle name="20% - Accent3 4 2 2 2 3 2 3" xfId="17049" xr:uid="{00000000-0005-0000-0000-00006A1E0000}"/>
    <cellStyle name="20% - Accent3 4 2 2 2 3 2 3 2" xfId="39651" xr:uid="{00000000-0005-0000-0000-00006B1E0000}"/>
    <cellStyle name="20% - Accent3 4 2 2 2 3 2 4" xfId="28350" xr:uid="{00000000-0005-0000-0000-00006C1E0000}"/>
    <cellStyle name="20% - Accent3 4 2 2 2 3 3" xfId="8565" xr:uid="{00000000-0005-0000-0000-00006D1E0000}"/>
    <cellStyle name="20% - Accent3 4 2 2 2 3 3 2" xfId="19866" xr:uid="{00000000-0005-0000-0000-00006E1E0000}"/>
    <cellStyle name="20% - Accent3 4 2 2 2 3 3 2 2" xfId="42468" xr:uid="{00000000-0005-0000-0000-00006F1E0000}"/>
    <cellStyle name="20% - Accent3 4 2 2 2 3 3 3" xfId="31167" xr:uid="{00000000-0005-0000-0000-0000701E0000}"/>
    <cellStyle name="20% - Accent3 4 2 2 2 3 4" xfId="14216" xr:uid="{00000000-0005-0000-0000-0000711E0000}"/>
    <cellStyle name="20% - Accent3 4 2 2 2 3 4 2" xfId="36818" xr:uid="{00000000-0005-0000-0000-0000721E0000}"/>
    <cellStyle name="20% - Accent3 4 2 2 2 3 5" xfId="25517" xr:uid="{00000000-0005-0000-0000-0000731E0000}"/>
    <cellStyle name="20% - Accent3 4 2 2 2 4" xfId="4514" xr:uid="{00000000-0005-0000-0000-0000741E0000}"/>
    <cellStyle name="20% - Accent3 4 2 2 2 4 2" xfId="10164" xr:uid="{00000000-0005-0000-0000-0000751E0000}"/>
    <cellStyle name="20% - Accent3 4 2 2 2 4 2 2" xfId="21465" xr:uid="{00000000-0005-0000-0000-0000761E0000}"/>
    <cellStyle name="20% - Accent3 4 2 2 2 4 2 2 2" xfId="44067" xr:uid="{00000000-0005-0000-0000-0000771E0000}"/>
    <cellStyle name="20% - Accent3 4 2 2 2 4 2 3" xfId="32766" xr:uid="{00000000-0005-0000-0000-0000781E0000}"/>
    <cellStyle name="20% - Accent3 4 2 2 2 4 3" xfId="15815" xr:uid="{00000000-0005-0000-0000-0000791E0000}"/>
    <cellStyle name="20% - Accent3 4 2 2 2 4 3 2" xfId="38417" xr:uid="{00000000-0005-0000-0000-00007A1E0000}"/>
    <cellStyle name="20% - Accent3 4 2 2 2 4 4" xfId="27116" xr:uid="{00000000-0005-0000-0000-00007B1E0000}"/>
    <cellStyle name="20% - Accent3 4 2 2 2 5" xfId="7310" xr:uid="{00000000-0005-0000-0000-00007C1E0000}"/>
    <cellStyle name="20% - Accent3 4 2 2 2 5 2" xfId="18611" xr:uid="{00000000-0005-0000-0000-00007D1E0000}"/>
    <cellStyle name="20% - Accent3 4 2 2 2 5 2 2" xfId="41213" xr:uid="{00000000-0005-0000-0000-00007E1E0000}"/>
    <cellStyle name="20% - Accent3 4 2 2 2 5 3" xfId="29912" xr:uid="{00000000-0005-0000-0000-00007F1E0000}"/>
    <cellStyle name="20% - Accent3 4 2 2 2 6" xfId="12961" xr:uid="{00000000-0005-0000-0000-0000801E0000}"/>
    <cellStyle name="20% - Accent3 4 2 2 2 6 2" xfId="35563" xr:uid="{00000000-0005-0000-0000-0000811E0000}"/>
    <cellStyle name="20% - Accent3 4 2 2 2 7" xfId="24262" xr:uid="{00000000-0005-0000-0000-0000821E0000}"/>
    <cellStyle name="20% - Accent3 4 2 2 3" xfId="1029" xr:uid="{00000000-0005-0000-0000-0000831E0000}"/>
    <cellStyle name="20% - Accent3 4 2 2 3 2" xfId="3092" xr:uid="{00000000-0005-0000-0000-0000841E0000}"/>
    <cellStyle name="20% - Accent3 4 2 2 3 2 2" xfId="6064" xr:uid="{00000000-0005-0000-0000-0000851E0000}"/>
    <cellStyle name="20% - Accent3 4 2 2 3 2 2 2" xfId="11714" xr:uid="{00000000-0005-0000-0000-0000861E0000}"/>
    <cellStyle name="20% - Accent3 4 2 2 3 2 2 2 2" xfId="23015" xr:uid="{00000000-0005-0000-0000-0000871E0000}"/>
    <cellStyle name="20% - Accent3 4 2 2 3 2 2 2 2 2" xfId="45617" xr:uid="{00000000-0005-0000-0000-0000881E0000}"/>
    <cellStyle name="20% - Accent3 4 2 2 3 2 2 2 3" xfId="34316" xr:uid="{00000000-0005-0000-0000-0000891E0000}"/>
    <cellStyle name="20% - Accent3 4 2 2 3 2 2 3" xfId="17365" xr:uid="{00000000-0005-0000-0000-00008A1E0000}"/>
    <cellStyle name="20% - Accent3 4 2 2 3 2 2 3 2" xfId="39967" xr:uid="{00000000-0005-0000-0000-00008B1E0000}"/>
    <cellStyle name="20% - Accent3 4 2 2 3 2 2 4" xfId="28666" xr:uid="{00000000-0005-0000-0000-00008C1E0000}"/>
    <cellStyle name="20% - Accent3 4 2 2 3 2 3" xfId="8882" xr:uid="{00000000-0005-0000-0000-00008D1E0000}"/>
    <cellStyle name="20% - Accent3 4 2 2 3 2 3 2" xfId="20183" xr:uid="{00000000-0005-0000-0000-00008E1E0000}"/>
    <cellStyle name="20% - Accent3 4 2 2 3 2 3 2 2" xfId="42785" xr:uid="{00000000-0005-0000-0000-00008F1E0000}"/>
    <cellStyle name="20% - Accent3 4 2 2 3 2 3 3" xfId="31484" xr:uid="{00000000-0005-0000-0000-0000901E0000}"/>
    <cellStyle name="20% - Accent3 4 2 2 3 2 4" xfId="14533" xr:uid="{00000000-0005-0000-0000-0000911E0000}"/>
    <cellStyle name="20% - Accent3 4 2 2 3 2 4 2" xfId="37135" xr:uid="{00000000-0005-0000-0000-0000921E0000}"/>
    <cellStyle name="20% - Accent3 4 2 2 3 2 5" xfId="25834" xr:uid="{00000000-0005-0000-0000-0000931E0000}"/>
    <cellStyle name="20% - Accent3 4 2 2 3 3" xfId="4830" xr:uid="{00000000-0005-0000-0000-0000941E0000}"/>
    <cellStyle name="20% - Accent3 4 2 2 3 3 2" xfId="10480" xr:uid="{00000000-0005-0000-0000-0000951E0000}"/>
    <cellStyle name="20% - Accent3 4 2 2 3 3 2 2" xfId="21781" xr:uid="{00000000-0005-0000-0000-0000961E0000}"/>
    <cellStyle name="20% - Accent3 4 2 2 3 3 2 2 2" xfId="44383" xr:uid="{00000000-0005-0000-0000-0000971E0000}"/>
    <cellStyle name="20% - Accent3 4 2 2 3 3 2 3" xfId="33082" xr:uid="{00000000-0005-0000-0000-0000981E0000}"/>
    <cellStyle name="20% - Accent3 4 2 2 3 3 3" xfId="16131" xr:uid="{00000000-0005-0000-0000-0000991E0000}"/>
    <cellStyle name="20% - Accent3 4 2 2 3 3 3 2" xfId="38733" xr:uid="{00000000-0005-0000-0000-00009A1E0000}"/>
    <cellStyle name="20% - Accent3 4 2 2 3 3 4" xfId="27432" xr:uid="{00000000-0005-0000-0000-00009B1E0000}"/>
    <cellStyle name="20% - Accent3 4 2 2 3 4" xfId="7017" xr:uid="{00000000-0005-0000-0000-00009C1E0000}"/>
    <cellStyle name="20% - Accent3 4 2 2 3 4 2" xfId="18318" xr:uid="{00000000-0005-0000-0000-00009D1E0000}"/>
    <cellStyle name="20% - Accent3 4 2 2 3 4 2 2" xfId="40920" xr:uid="{00000000-0005-0000-0000-00009E1E0000}"/>
    <cellStyle name="20% - Accent3 4 2 2 3 4 3" xfId="29619" xr:uid="{00000000-0005-0000-0000-00009F1E0000}"/>
    <cellStyle name="20% - Accent3 4 2 2 3 5" xfId="12668" xr:uid="{00000000-0005-0000-0000-0000A01E0000}"/>
    <cellStyle name="20% - Accent3 4 2 2 3 5 2" xfId="35270" xr:uid="{00000000-0005-0000-0000-0000A11E0000}"/>
    <cellStyle name="20% - Accent3 4 2 2 3 6" xfId="23969" xr:uid="{00000000-0005-0000-0000-0000A21E0000}"/>
    <cellStyle name="20% - Accent3 4 2 2 4" xfId="1648" xr:uid="{00000000-0005-0000-0000-0000A31E0000}"/>
    <cellStyle name="20% - Accent3 4 2 2 4 2" xfId="3619" xr:uid="{00000000-0005-0000-0000-0000A41E0000}"/>
    <cellStyle name="20% - Accent3 4 2 2 4 2 2" xfId="9332" xr:uid="{00000000-0005-0000-0000-0000A51E0000}"/>
    <cellStyle name="20% - Accent3 4 2 2 4 2 2 2" xfId="20633" xr:uid="{00000000-0005-0000-0000-0000A61E0000}"/>
    <cellStyle name="20% - Accent3 4 2 2 4 2 2 2 2" xfId="43235" xr:uid="{00000000-0005-0000-0000-0000A71E0000}"/>
    <cellStyle name="20% - Accent3 4 2 2 4 2 2 3" xfId="31934" xr:uid="{00000000-0005-0000-0000-0000A81E0000}"/>
    <cellStyle name="20% - Accent3 4 2 2 4 2 3" xfId="14983" xr:uid="{00000000-0005-0000-0000-0000A91E0000}"/>
    <cellStyle name="20% - Accent3 4 2 2 4 2 3 2" xfId="37585" xr:uid="{00000000-0005-0000-0000-0000AA1E0000}"/>
    <cellStyle name="20% - Accent3 4 2 2 4 2 4" xfId="26284" xr:uid="{00000000-0005-0000-0000-0000AB1E0000}"/>
    <cellStyle name="20% - Accent3 4 2 2 4 3" xfId="5440" xr:uid="{00000000-0005-0000-0000-0000AC1E0000}"/>
    <cellStyle name="20% - Accent3 4 2 2 4 3 2" xfId="11090" xr:uid="{00000000-0005-0000-0000-0000AD1E0000}"/>
    <cellStyle name="20% - Accent3 4 2 2 4 3 2 2" xfId="22391" xr:uid="{00000000-0005-0000-0000-0000AE1E0000}"/>
    <cellStyle name="20% - Accent3 4 2 2 4 3 2 2 2" xfId="44993" xr:uid="{00000000-0005-0000-0000-0000AF1E0000}"/>
    <cellStyle name="20% - Accent3 4 2 2 4 3 2 3" xfId="33692" xr:uid="{00000000-0005-0000-0000-0000B01E0000}"/>
    <cellStyle name="20% - Accent3 4 2 2 4 3 3" xfId="16741" xr:uid="{00000000-0005-0000-0000-0000B11E0000}"/>
    <cellStyle name="20% - Accent3 4 2 2 4 3 3 2" xfId="39343" xr:uid="{00000000-0005-0000-0000-0000B21E0000}"/>
    <cellStyle name="20% - Accent3 4 2 2 4 3 4" xfId="28042" xr:uid="{00000000-0005-0000-0000-0000B31E0000}"/>
    <cellStyle name="20% - Accent3 4 2 2 4 4" xfId="7504" xr:uid="{00000000-0005-0000-0000-0000B41E0000}"/>
    <cellStyle name="20% - Accent3 4 2 2 4 4 2" xfId="18805" xr:uid="{00000000-0005-0000-0000-0000B51E0000}"/>
    <cellStyle name="20% - Accent3 4 2 2 4 4 2 2" xfId="41407" xr:uid="{00000000-0005-0000-0000-0000B61E0000}"/>
    <cellStyle name="20% - Accent3 4 2 2 4 4 3" xfId="30106" xr:uid="{00000000-0005-0000-0000-0000B71E0000}"/>
    <cellStyle name="20% - Accent3 4 2 2 4 5" xfId="13155" xr:uid="{00000000-0005-0000-0000-0000B81E0000}"/>
    <cellStyle name="20% - Accent3 4 2 2 4 5 2" xfId="35757" xr:uid="{00000000-0005-0000-0000-0000B91E0000}"/>
    <cellStyle name="20% - Accent3 4 2 2 4 6" xfId="24456" xr:uid="{00000000-0005-0000-0000-0000BA1E0000}"/>
    <cellStyle name="20% - Accent3 4 2 2 5" xfId="2421" xr:uid="{00000000-0005-0000-0000-0000BB1E0000}"/>
    <cellStyle name="20% - Accent3 4 2 2 5 2" xfId="8257" xr:uid="{00000000-0005-0000-0000-0000BC1E0000}"/>
    <cellStyle name="20% - Accent3 4 2 2 5 2 2" xfId="19558" xr:uid="{00000000-0005-0000-0000-0000BD1E0000}"/>
    <cellStyle name="20% - Accent3 4 2 2 5 2 2 2" xfId="42160" xr:uid="{00000000-0005-0000-0000-0000BE1E0000}"/>
    <cellStyle name="20% - Accent3 4 2 2 5 2 3" xfId="30859" xr:uid="{00000000-0005-0000-0000-0000BF1E0000}"/>
    <cellStyle name="20% - Accent3 4 2 2 5 3" xfId="13908" xr:uid="{00000000-0005-0000-0000-0000C01E0000}"/>
    <cellStyle name="20% - Accent3 4 2 2 5 3 2" xfId="36510" xr:uid="{00000000-0005-0000-0000-0000C11E0000}"/>
    <cellStyle name="20% - Accent3 4 2 2 5 4" xfId="25209" xr:uid="{00000000-0005-0000-0000-0000C21E0000}"/>
    <cellStyle name="20% - Accent3 4 2 2 6" xfId="4206" xr:uid="{00000000-0005-0000-0000-0000C31E0000}"/>
    <cellStyle name="20% - Accent3 4 2 2 6 2" xfId="9856" xr:uid="{00000000-0005-0000-0000-0000C41E0000}"/>
    <cellStyle name="20% - Accent3 4 2 2 6 2 2" xfId="21157" xr:uid="{00000000-0005-0000-0000-0000C51E0000}"/>
    <cellStyle name="20% - Accent3 4 2 2 6 2 2 2" xfId="43759" xr:uid="{00000000-0005-0000-0000-0000C61E0000}"/>
    <cellStyle name="20% - Accent3 4 2 2 6 2 3" xfId="32458" xr:uid="{00000000-0005-0000-0000-0000C71E0000}"/>
    <cellStyle name="20% - Accent3 4 2 2 6 3" xfId="15507" xr:uid="{00000000-0005-0000-0000-0000C81E0000}"/>
    <cellStyle name="20% - Accent3 4 2 2 6 3 2" xfId="38109" xr:uid="{00000000-0005-0000-0000-0000C91E0000}"/>
    <cellStyle name="20% - Accent3 4 2 2 6 4" xfId="26808" xr:uid="{00000000-0005-0000-0000-0000CA1E0000}"/>
    <cellStyle name="20% - Accent3 4 2 2 7" xfId="6686" xr:uid="{00000000-0005-0000-0000-0000CB1E0000}"/>
    <cellStyle name="20% - Accent3 4 2 2 7 2" xfId="17987" xr:uid="{00000000-0005-0000-0000-0000CC1E0000}"/>
    <cellStyle name="20% - Accent3 4 2 2 7 2 2" xfId="40589" xr:uid="{00000000-0005-0000-0000-0000CD1E0000}"/>
    <cellStyle name="20% - Accent3 4 2 2 7 3" xfId="29288" xr:uid="{00000000-0005-0000-0000-0000CE1E0000}"/>
    <cellStyle name="20% - Accent3 4 2 2 8" xfId="12337" xr:uid="{00000000-0005-0000-0000-0000CF1E0000}"/>
    <cellStyle name="20% - Accent3 4 2 2 8 2" xfId="34939" xr:uid="{00000000-0005-0000-0000-0000D01E0000}"/>
    <cellStyle name="20% - Accent3 4 2 2 9" xfId="23638" xr:uid="{00000000-0005-0000-0000-0000D11E0000}"/>
    <cellStyle name="20% - Accent3 4 2 3" xfId="1193" xr:uid="{00000000-0005-0000-0000-0000D21E0000}"/>
    <cellStyle name="20% - Accent3 4 2 3 2" xfId="1650" xr:uid="{00000000-0005-0000-0000-0000D31E0000}"/>
    <cellStyle name="20% - Accent3 4 2 3 2 2" xfId="3261" xr:uid="{00000000-0005-0000-0000-0000D41E0000}"/>
    <cellStyle name="20% - Accent3 4 2 3 2 2 2" xfId="6233" xr:uid="{00000000-0005-0000-0000-0000D51E0000}"/>
    <cellStyle name="20% - Accent3 4 2 3 2 2 2 2" xfId="11883" xr:uid="{00000000-0005-0000-0000-0000D61E0000}"/>
    <cellStyle name="20% - Accent3 4 2 3 2 2 2 2 2" xfId="23184" xr:uid="{00000000-0005-0000-0000-0000D71E0000}"/>
    <cellStyle name="20% - Accent3 4 2 3 2 2 2 2 2 2" xfId="45786" xr:uid="{00000000-0005-0000-0000-0000D81E0000}"/>
    <cellStyle name="20% - Accent3 4 2 3 2 2 2 2 3" xfId="34485" xr:uid="{00000000-0005-0000-0000-0000D91E0000}"/>
    <cellStyle name="20% - Accent3 4 2 3 2 2 2 3" xfId="17534" xr:uid="{00000000-0005-0000-0000-0000DA1E0000}"/>
    <cellStyle name="20% - Accent3 4 2 3 2 2 2 3 2" xfId="40136" xr:uid="{00000000-0005-0000-0000-0000DB1E0000}"/>
    <cellStyle name="20% - Accent3 4 2 3 2 2 2 4" xfId="28835" xr:uid="{00000000-0005-0000-0000-0000DC1E0000}"/>
    <cellStyle name="20% - Accent3 4 2 3 2 2 3" xfId="9051" xr:uid="{00000000-0005-0000-0000-0000DD1E0000}"/>
    <cellStyle name="20% - Accent3 4 2 3 2 2 3 2" xfId="20352" xr:uid="{00000000-0005-0000-0000-0000DE1E0000}"/>
    <cellStyle name="20% - Accent3 4 2 3 2 2 3 2 2" xfId="42954" xr:uid="{00000000-0005-0000-0000-0000DF1E0000}"/>
    <cellStyle name="20% - Accent3 4 2 3 2 2 3 3" xfId="31653" xr:uid="{00000000-0005-0000-0000-0000E01E0000}"/>
    <cellStyle name="20% - Accent3 4 2 3 2 2 4" xfId="14702" xr:uid="{00000000-0005-0000-0000-0000E11E0000}"/>
    <cellStyle name="20% - Accent3 4 2 3 2 2 4 2" xfId="37304" xr:uid="{00000000-0005-0000-0000-0000E21E0000}"/>
    <cellStyle name="20% - Accent3 4 2 3 2 2 5" xfId="26003" xr:uid="{00000000-0005-0000-0000-0000E31E0000}"/>
    <cellStyle name="20% - Accent3 4 2 3 2 3" xfId="4999" xr:uid="{00000000-0005-0000-0000-0000E41E0000}"/>
    <cellStyle name="20% - Accent3 4 2 3 2 3 2" xfId="10649" xr:uid="{00000000-0005-0000-0000-0000E51E0000}"/>
    <cellStyle name="20% - Accent3 4 2 3 2 3 2 2" xfId="21950" xr:uid="{00000000-0005-0000-0000-0000E61E0000}"/>
    <cellStyle name="20% - Accent3 4 2 3 2 3 2 2 2" xfId="44552" xr:uid="{00000000-0005-0000-0000-0000E71E0000}"/>
    <cellStyle name="20% - Accent3 4 2 3 2 3 2 3" xfId="33251" xr:uid="{00000000-0005-0000-0000-0000E81E0000}"/>
    <cellStyle name="20% - Accent3 4 2 3 2 3 3" xfId="16300" xr:uid="{00000000-0005-0000-0000-0000E91E0000}"/>
    <cellStyle name="20% - Accent3 4 2 3 2 3 3 2" xfId="38902" xr:uid="{00000000-0005-0000-0000-0000EA1E0000}"/>
    <cellStyle name="20% - Accent3 4 2 3 2 3 4" xfId="27601" xr:uid="{00000000-0005-0000-0000-0000EB1E0000}"/>
    <cellStyle name="20% - Accent3 4 2 3 2 4" xfId="7506" xr:uid="{00000000-0005-0000-0000-0000EC1E0000}"/>
    <cellStyle name="20% - Accent3 4 2 3 2 4 2" xfId="18807" xr:uid="{00000000-0005-0000-0000-0000ED1E0000}"/>
    <cellStyle name="20% - Accent3 4 2 3 2 4 2 2" xfId="41409" xr:uid="{00000000-0005-0000-0000-0000EE1E0000}"/>
    <cellStyle name="20% - Accent3 4 2 3 2 4 3" xfId="30108" xr:uid="{00000000-0005-0000-0000-0000EF1E0000}"/>
    <cellStyle name="20% - Accent3 4 2 3 2 5" xfId="13157" xr:uid="{00000000-0005-0000-0000-0000F01E0000}"/>
    <cellStyle name="20% - Accent3 4 2 3 2 5 2" xfId="35759" xr:uid="{00000000-0005-0000-0000-0000F11E0000}"/>
    <cellStyle name="20% - Accent3 4 2 3 2 6" xfId="24458" xr:uid="{00000000-0005-0000-0000-0000F21E0000}"/>
    <cellStyle name="20% - Accent3 4 2 3 3" xfId="2590" xr:uid="{00000000-0005-0000-0000-0000F31E0000}"/>
    <cellStyle name="20% - Accent3 4 2 3 3 2" xfId="5609" xr:uid="{00000000-0005-0000-0000-0000F41E0000}"/>
    <cellStyle name="20% - Accent3 4 2 3 3 2 2" xfId="11259" xr:uid="{00000000-0005-0000-0000-0000F51E0000}"/>
    <cellStyle name="20% - Accent3 4 2 3 3 2 2 2" xfId="22560" xr:uid="{00000000-0005-0000-0000-0000F61E0000}"/>
    <cellStyle name="20% - Accent3 4 2 3 3 2 2 2 2" xfId="45162" xr:uid="{00000000-0005-0000-0000-0000F71E0000}"/>
    <cellStyle name="20% - Accent3 4 2 3 3 2 2 3" xfId="33861" xr:uid="{00000000-0005-0000-0000-0000F81E0000}"/>
    <cellStyle name="20% - Accent3 4 2 3 3 2 3" xfId="16910" xr:uid="{00000000-0005-0000-0000-0000F91E0000}"/>
    <cellStyle name="20% - Accent3 4 2 3 3 2 3 2" xfId="39512" xr:uid="{00000000-0005-0000-0000-0000FA1E0000}"/>
    <cellStyle name="20% - Accent3 4 2 3 3 2 4" xfId="28211" xr:uid="{00000000-0005-0000-0000-0000FB1E0000}"/>
    <cellStyle name="20% - Accent3 4 2 3 3 3" xfId="8426" xr:uid="{00000000-0005-0000-0000-0000FC1E0000}"/>
    <cellStyle name="20% - Accent3 4 2 3 3 3 2" xfId="19727" xr:uid="{00000000-0005-0000-0000-0000FD1E0000}"/>
    <cellStyle name="20% - Accent3 4 2 3 3 3 2 2" xfId="42329" xr:uid="{00000000-0005-0000-0000-0000FE1E0000}"/>
    <cellStyle name="20% - Accent3 4 2 3 3 3 3" xfId="31028" xr:uid="{00000000-0005-0000-0000-0000FF1E0000}"/>
    <cellStyle name="20% - Accent3 4 2 3 3 4" xfId="14077" xr:uid="{00000000-0005-0000-0000-0000001F0000}"/>
    <cellStyle name="20% - Accent3 4 2 3 3 4 2" xfId="36679" xr:uid="{00000000-0005-0000-0000-0000011F0000}"/>
    <cellStyle name="20% - Accent3 4 2 3 3 5" xfId="25378" xr:uid="{00000000-0005-0000-0000-0000021F0000}"/>
    <cellStyle name="20% - Accent3 4 2 3 4" xfId="4375" xr:uid="{00000000-0005-0000-0000-0000031F0000}"/>
    <cellStyle name="20% - Accent3 4 2 3 4 2" xfId="10025" xr:uid="{00000000-0005-0000-0000-0000041F0000}"/>
    <cellStyle name="20% - Accent3 4 2 3 4 2 2" xfId="21326" xr:uid="{00000000-0005-0000-0000-0000051F0000}"/>
    <cellStyle name="20% - Accent3 4 2 3 4 2 2 2" xfId="43928" xr:uid="{00000000-0005-0000-0000-0000061F0000}"/>
    <cellStyle name="20% - Accent3 4 2 3 4 2 3" xfId="32627" xr:uid="{00000000-0005-0000-0000-0000071F0000}"/>
    <cellStyle name="20% - Accent3 4 2 3 4 3" xfId="15676" xr:uid="{00000000-0005-0000-0000-0000081F0000}"/>
    <cellStyle name="20% - Accent3 4 2 3 4 3 2" xfId="38278" xr:uid="{00000000-0005-0000-0000-0000091F0000}"/>
    <cellStyle name="20% - Accent3 4 2 3 4 4" xfId="26977" xr:uid="{00000000-0005-0000-0000-00000A1F0000}"/>
    <cellStyle name="20% - Accent3 4 2 3 5" xfId="7172" xr:uid="{00000000-0005-0000-0000-00000B1F0000}"/>
    <cellStyle name="20% - Accent3 4 2 3 5 2" xfId="18473" xr:uid="{00000000-0005-0000-0000-00000C1F0000}"/>
    <cellStyle name="20% - Accent3 4 2 3 5 2 2" xfId="41075" xr:uid="{00000000-0005-0000-0000-00000D1F0000}"/>
    <cellStyle name="20% - Accent3 4 2 3 5 3" xfId="29774" xr:uid="{00000000-0005-0000-0000-00000E1F0000}"/>
    <cellStyle name="20% - Accent3 4 2 3 6" xfId="12823" xr:uid="{00000000-0005-0000-0000-00000F1F0000}"/>
    <cellStyle name="20% - Accent3 4 2 3 6 2" xfId="35425" xr:uid="{00000000-0005-0000-0000-0000101F0000}"/>
    <cellStyle name="20% - Accent3 4 2 3 7" xfId="24124" xr:uid="{00000000-0005-0000-0000-0000111F0000}"/>
    <cellStyle name="20% - Accent3 4 2 4" xfId="883" xr:uid="{00000000-0005-0000-0000-0000121F0000}"/>
    <cellStyle name="20% - Accent3 4 2 4 2" xfId="2954" xr:uid="{00000000-0005-0000-0000-0000131F0000}"/>
    <cellStyle name="20% - Accent3 4 2 4 2 2" xfId="5926" xr:uid="{00000000-0005-0000-0000-0000141F0000}"/>
    <cellStyle name="20% - Accent3 4 2 4 2 2 2" xfId="11576" xr:uid="{00000000-0005-0000-0000-0000151F0000}"/>
    <cellStyle name="20% - Accent3 4 2 4 2 2 2 2" xfId="22877" xr:uid="{00000000-0005-0000-0000-0000161F0000}"/>
    <cellStyle name="20% - Accent3 4 2 4 2 2 2 2 2" xfId="45479" xr:uid="{00000000-0005-0000-0000-0000171F0000}"/>
    <cellStyle name="20% - Accent3 4 2 4 2 2 2 3" xfId="34178" xr:uid="{00000000-0005-0000-0000-0000181F0000}"/>
    <cellStyle name="20% - Accent3 4 2 4 2 2 3" xfId="17227" xr:uid="{00000000-0005-0000-0000-0000191F0000}"/>
    <cellStyle name="20% - Accent3 4 2 4 2 2 3 2" xfId="39829" xr:uid="{00000000-0005-0000-0000-00001A1F0000}"/>
    <cellStyle name="20% - Accent3 4 2 4 2 2 4" xfId="28528" xr:uid="{00000000-0005-0000-0000-00001B1F0000}"/>
    <cellStyle name="20% - Accent3 4 2 4 2 3" xfId="8744" xr:uid="{00000000-0005-0000-0000-00001C1F0000}"/>
    <cellStyle name="20% - Accent3 4 2 4 2 3 2" xfId="20045" xr:uid="{00000000-0005-0000-0000-00001D1F0000}"/>
    <cellStyle name="20% - Accent3 4 2 4 2 3 2 2" xfId="42647" xr:uid="{00000000-0005-0000-0000-00001E1F0000}"/>
    <cellStyle name="20% - Accent3 4 2 4 2 3 3" xfId="31346" xr:uid="{00000000-0005-0000-0000-00001F1F0000}"/>
    <cellStyle name="20% - Accent3 4 2 4 2 4" xfId="14395" xr:uid="{00000000-0005-0000-0000-0000201F0000}"/>
    <cellStyle name="20% - Accent3 4 2 4 2 4 2" xfId="36997" xr:uid="{00000000-0005-0000-0000-0000211F0000}"/>
    <cellStyle name="20% - Accent3 4 2 4 2 5" xfId="25696" xr:uid="{00000000-0005-0000-0000-0000221F0000}"/>
    <cellStyle name="20% - Accent3 4 2 4 3" xfId="4692" xr:uid="{00000000-0005-0000-0000-0000231F0000}"/>
    <cellStyle name="20% - Accent3 4 2 4 3 2" xfId="10342" xr:uid="{00000000-0005-0000-0000-0000241F0000}"/>
    <cellStyle name="20% - Accent3 4 2 4 3 2 2" xfId="21643" xr:uid="{00000000-0005-0000-0000-0000251F0000}"/>
    <cellStyle name="20% - Accent3 4 2 4 3 2 2 2" xfId="44245" xr:uid="{00000000-0005-0000-0000-0000261F0000}"/>
    <cellStyle name="20% - Accent3 4 2 4 3 2 3" xfId="32944" xr:uid="{00000000-0005-0000-0000-0000271F0000}"/>
    <cellStyle name="20% - Accent3 4 2 4 3 3" xfId="15993" xr:uid="{00000000-0005-0000-0000-0000281F0000}"/>
    <cellStyle name="20% - Accent3 4 2 4 3 3 2" xfId="38595" xr:uid="{00000000-0005-0000-0000-0000291F0000}"/>
    <cellStyle name="20% - Accent3 4 2 4 3 4" xfId="27294" xr:uid="{00000000-0005-0000-0000-00002A1F0000}"/>
    <cellStyle name="20% - Accent3 4 2 4 4" xfId="6879" xr:uid="{00000000-0005-0000-0000-00002B1F0000}"/>
    <cellStyle name="20% - Accent3 4 2 4 4 2" xfId="18180" xr:uid="{00000000-0005-0000-0000-00002C1F0000}"/>
    <cellStyle name="20% - Accent3 4 2 4 4 2 2" xfId="40782" xr:uid="{00000000-0005-0000-0000-00002D1F0000}"/>
    <cellStyle name="20% - Accent3 4 2 4 4 3" xfId="29481" xr:uid="{00000000-0005-0000-0000-00002E1F0000}"/>
    <cellStyle name="20% - Accent3 4 2 4 5" xfId="12530" xr:uid="{00000000-0005-0000-0000-00002F1F0000}"/>
    <cellStyle name="20% - Accent3 4 2 4 5 2" xfId="35132" xr:uid="{00000000-0005-0000-0000-0000301F0000}"/>
    <cellStyle name="20% - Accent3 4 2 4 6" xfId="23831" xr:uid="{00000000-0005-0000-0000-0000311F0000}"/>
    <cellStyle name="20% - Accent3 4 2 5" xfId="1647" xr:uid="{00000000-0005-0000-0000-0000321F0000}"/>
    <cellStyle name="20% - Accent3 4 2 5 2" xfId="3618" xr:uid="{00000000-0005-0000-0000-0000331F0000}"/>
    <cellStyle name="20% - Accent3 4 2 5 2 2" xfId="9331" xr:uid="{00000000-0005-0000-0000-0000341F0000}"/>
    <cellStyle name="20% - Accent3 4 2 5 2 2 2" xfId="20632" xr:uid="{00000000-0005-0000-0000-0000351F0000}"/>
    <cellStyle name="20% - Accent3 4 2 5 2 2 2 2" xfId="43234" xr:uid="{00000000-0005-0000-0000-0000361F0000}"/>
    <cellStyle name="20% - Accent3 4 2 5 2 2 3" xfId="31933" xr:uid="{00000000-0005-0000-0000-0000371F0000}"/>
    <cellStyle name="20% - Accent3 4 2 5 2 3" xfId="14982" xr:uid="{00000000-0005-0000-0000-0000381F0000}"/>
    <cellStyle name="20% - Accent3 4 2 5 2 3 2" xfId="37584" xr:uid="{00000000-0005-0000-0000-0000391F0000}"/>
    <cellStyle name="20% - Accent3 4 2 5 2 4" xfId="26283" xr:uid="{00000000-0005-0000-0000-00003A1F0000}"/>
    <cellStyle name="20% - Accent3 4 2 5 3" xfId="5302" xr:uid="{00000000-0005-0000-0000-00003B1F0000}"/>
    <cellStyle name="20% - Accent3 4 2 5 3 2" xfId="10952" xr:uid="{00000000-0005-0000-0000-00003C1F0000}"/>
    <cellStyle name="20% - Accent3 4 2 5 3 2 2" xfId="22253" xr:uid="{00000000-0005-0000-0000-00003D1F0000}"/>
    <cellStyle name="20% - Accent3 4 2 5 3 2 2 2" xfId="44855" xr:uid="{00000000-0005-0000-0000-00003E1F0000}"/>
    <cellStyle name="20% - Accent3 4 2 5 3 2 3" xfId="33554" xr:uid="{00000000-0005-0000-0000-00003F1F0000}"/>
    <cellStyle name="20% - Accent3 4 2 5 3 3" xfId="16603" xr:uid="{00000000-0005-0000-0000-0000401F0000}"/>
    <cellStyle name="20% - Accent3 4 2 5 3 3 2" xfId="39205" xr:uid="{00000000-0005-0000-0000-0000411F0000}"/>
    <cellStyle name="20% - Accent3 4 2 5 3 4" xfId="27904" xr:uid="{00000000-0005-0000-0000-0000421F0000}"/>
    <cellStyle name="20% - Accent3 4 2 5 4" xfId="7503" xr:uid="{00000000-0005-0000-0000-0000431F0000}"/>
    <cellStyle name="20% - Accent3 4 2 5 4 2" xfId="18804" xr:uid="{00000000-0005-0000-0000-0000441F0000}"/>
    <cellStyle name="20% - Accent3 4 2 5 4 2 2" xfId="41406" xr:uid="{00000000-0005-0000-0000-0000451F0000}"/>
    <cellStyle name="20% - Accent3 4 2 5 4 3" xfId="30105" xr:uid="{00000000-0005-0000-0000-0000461F0000}"/>
    <cellStyle name="20% - Accent3 4 2 5 5" xfId="13154" xr:uid="{00000000-0005-0000-0000-0000471F0000}"/>
    <cellStyle name="20% - Accent3 4 2 5 5 2" xfId="35756" xr:uid="{00000000-0005-0000-0000-0000481F0000}"/>
    <cellStyle name="20% - Accent3 4 2 5 6" xfId="24455" xr:uid="{00000000-0005-0000-0000-0000491F0000}"/>
    <cellStyle name="20% - Accent3 4 2 6" xfId="2281" xr:uid="{00000000-0005-0000-0000-00004A1F0000}"/>
    <cellStyle name="20% - Accent3 4 2 6 2" xfId="8117" xr:uid="{00000000-0005-0000-0000-00004B1F0000}"/>
    <cellStyle name="20% - Accent3 4 2 6 2 2" xfId="19418" xr:uid="{00000000-0005-0000-0000-00004C1F0000}"/>
    <cellStyle name="20% - Accent3 4 2 6 2 2 2" xfId="42020" xr:uid="{00000000-0005-0000-0000-00004D1F0000}"/>
    <cellStyle name="20% - Accent3 4 2 6 2 3" xfId="30719" xr:uid="{00000000-0005-0000-0000-00004E1F0000}"/>
    <cellStyle name="20% - Accent3 4 2 6 3" xfId="13768" xr:uid="{00000000-0005-0000-0000-00004F1F0000}"/>
    <cellStyle name="20% - Accent3 4 2 6 3 2" xfId="36370" xr:uid="{00000000-0005-0000-0000-0000501F0000}"/>
    <cellStyle name="20% - Accent3 4 2 6 4" xfId="25069" xr:uid="{00000000-0005-0000-0000-0000511F0000}"/>
    <cellStyle name="20% - Accent3 4 2 7" xfId="4068" xr:uid="{00000000-0005-0000-0000-0000521F0000}"/>
    <cellStyle name="20% - Accent3 4 2 7 2" xfId="9718" xr:uid="{00000000-0005-0000-0000-0000531F0000}"/>
    <cellStyle name="20% - Accent3 4 2 7 2 2" xfId="21019" xr:uid="{00000000-0005-0000-0000-0000541F0000}"/>
    <cellStyle name="20% - Accent3 4 2 7 2 2 2" xfId="43621" xr:uid="{00000000-0005-0000-0000-0000551F0000}"/>
    <cellStyle name="20% - Accent3 4 2 7 2 3" xfId="32320" xr:uid="{00000000-0005-0000-0000-0000561F0000}"/>
    <cellStyle name="20% - Accent3 4 2 7 3" xfId="15369" xr:uid="{00000000-0005-0000-0000-0000571F0000}"/>
    <cellStyle name="20% - Accent3 4 2 7 3 2" xfId="37971" xr:uid="{00000000-0005-0000-0000-0000581F0000}"/>
    <cellStyle name="20% - Accent3 4 2 7 4" xfId="26670" xr:uid="{00000000-0005-0000-0000-0000591F0000}"/>
    <cellStyle name="20% - Accent3 4 2 8" xfId="6519" xr:uid="{00000000-0005-0000-0000-00005A1F0000}"/>
    <cellStyle name="20% - Accent3 4 2 8 2" xfId="17820" xr:uid="{00000000-0005-0000-0000-00005B1F0000}"/>
    <cellStyle name="20% - Accent3 4 2 8 2 2" xfId="40422" xr:uid="{00000000-0005-0000-0000-00005C1F0000}"/>
    <cellStyle name="20% - Accent3 4 2 8 3" xfId="29121" xr:uid="{00000000-0005-0000-0000-00005D1F0000}"/>
    <cellStyle name="20% - Accent3 4 2 9" xfId="12170" xr:uid="{00000000-0005-0000-0000-00005E1F0000}"/>
    <cellStyle name="20% - Accent3 4 2 9 2" xfId="34772" xr:uid="{00000000-0005-0000-0000-00005F1F0000}"/>
    <cellStyle name="20% - Accent3 4 3" xfId="425" xr:uid="{00000000-0005-0000-0000-0000601F0000}"/>
    <cellStyle name="20% - Accent3 4 3 10" xfId="23520" xr:uid="{00000000-0005-0000-0000-0000611F0000}"/>
    <cellStyle name="20% - Accent3 4 3 2" xfId="670" xr:uid="{00000000-0005-0000-0000-0000621F0000}"/>
    <cellStyle name="20% - Accent3 4 3 2 2" xfId="1380" xr:uid="{00000000-0005-0000-0000-0000631F0000}"/>
    <cellStyle name="20% - Accent3 4 3 2 2 2" xfId="1653" xr:uid="{00000000-0005-0000-0000-0000641F0000}"/>
    <cellStyle name="20% - Accent3 4 3 2 2 2 2" xfId="3449" xr:uid="{00000000-0005-0000-0000-0000651F0000}"/>
    <cellStyle name="20% - Accent3 4 3 2 2 2 2 2" xfId="6421" xr:uid="{00000000-0005-0000-0000-0000661F0000}"/>
    <cellStyle name="20% - Accent3 4 3 2 2 2 2 2 2" xfId="12071" xr:uid="{00000000-0005-0000-0000-0000671F0000}"/>
    <cellStyle name="20% - Accent3 4 3 2 2 2 2 2 2 2" xfId="23372" xr:uid="{00000000-0005-0000-0000-0000681F0000}"/>
    <cellStyle name="20% - Accent3 4 3 2 2 2 2 2 2 2 2" xfId="45974" xr:uid="{00000000-0005-0000-0000-0000691F0000}"/>
    <cellStyle name="20% - Accent3 4 3 2 2 2 2 2 2 3" xfId="34673" xr:uid="{00000000-0005-0000-0000-00006A1F0000}"/>
    <cellStyle name="20% - Accent3 4 3 2 2 2 2 2 3" xfId="17722" xr:uid="{00000000-0005-0000-0000-00006B1F0000}"/>
    <cellStyle name="20% - Accent3 4 3 2 2 2 2 2 3 2" xfId="40324" xr:uid="{00000000-0005-0000-0000-00006C1F0000}"/>
    <cellStyle name="20% - Accent3 4 3 2 2 2 2 2 4" xfId="29023" xr:uid="{00000000-0005-0000-0000-00006D1F0000}"/>
    <cellStyle name="20% - Accent3 4 3 2 2 2 2 3" xfId="9239" xr:uid="{00000000-0005-0000-0000-00006E1F0000}"/>
    <cellStyle name="20% - Accent3 4 3 2 2 2 2 3 2" xfId="20540" xr:uid="{00000000-0005-0000-0000-00006F1F0000}"/>
    <cellStyle name="20% - Accent3 4 3 2 2 2 2 3 2 2" xfId="43142" xr:uid="{00000000-0005-0000-0000-0000701F0000}"/>
    <cellStyle name="20% - Accent3 4 3 2 2 2 2 3 3" xfId="31841" xr:uid="{00000000-0005-0000-0000-0000711F0000}"/>
    <cellStyle name="20% - Accent3 4 3 2 2 2 2 4" xfId="14890" xr:uid="{00000000-0005-0000-0000-0000721F0000}"/>
    <cellStyle name="20% - Accent3 4 3 2 2 2 2 4 2" xfId="37492" xr:uid="{00000000-0005-0000-0000-0000731F0000}"/>
    <cellStyle name="20% - Accent3 4 3 2 2 2 2 5" xfId="26191" xr:uid="{00000000-0005-0000-0000-0000741F0000}"/>
    <cellStyle name="20% - Accent3 4 3 2 2 2 3" xfId="5187" xr:uid="{00000000-0005-0000-0000-0000751F0000}"/>
    <cellStyle name="20% - Accent3 4 3 2 2 2 3 2" xfId="10837" xr:uid="{00000000-0005-0000-0000-0000761F0000}"/>
    <cellStyle name="20% - Accent3 4 3 2 2 2 3 2 2" xfId="22138" xr:uid="{00000000-0005-0000-0000-0000771F0000}"/>
    <cellStyle name="20% - Accent3 4 3 2 2 2 3 2 2 2" xfId="44740" xr:uid="{00000000-0005-0000-0000-0000781F0000}"/>
    <cellStyle name="20% - Accent3 4 3 2 2 2 3 2 3" xfId="33439" xr:uid="{00000000-0005-0000-0000-0000791F0000}"/>
    <cellStyle name="20% - Accent3 4 3 2 2 2 3 3" xfId="16488" xr:uid="{00000000-0005-0000-0000-00007A1F0000}"/>
    <cellStyle name="20% - Accent3 4 3 2 2 2 3 3 2" xfId="39090" xr:uid="{00000000-0005-0000-0000-00007B1F0000}"/>
    <cellStyle name="20% - Accent3 4 3 2 2 2 3 4" xfId="27789" xr:uid="{00000000-0005-0000-0000-00007C1F0000}"/>
    <cellStyle name="20% - Accent3 4 3 2 2 2 4" xfId="7509" xr:uid="{00000000-0005-0000-0000-00007D1F0000}"/>
    <cellStyle name="20% - Accent3 4 3 2 2 2 4 2" xfId="18810" xr:uid="{00000000-0005-0000-0000-00007E1F0000}"/>
    <cellStyle name="20% - Accent3 4 3 2 2 2 4 2 2" xfId="41412" xr:uid="{00000000-0005-0000-0000-00007F1F0000}"/>
    <cellStyle name="20% - Accent3 4 3 2 2 2 4 3" xfId="30111" xr:uid="{00000000-0005-0000-0000-0000801F0000}"/>
    <cellStyle name="20% - Accent3 4 3 2 2 2 5" xfId="13160" xr:uid="{00000000-0005-0000-0000-0000811F0000}"/>
    <cellStyle name="20% - Accent3 4 3 2 2 2 5 2" xfId="35762" xr:uid="{00000000-0005-0000-0000-0000821F0000}"/>
    <cellStyle name="20% - Accent3 4 3 2 2 2 6" xfId="24461" xr:uid="{00000000-0005-0000-0000-0000831F0000}"/>
    <cellStyle name="20% - Accent3 4 3 2 2 3" xfId="2778" xr:uid="{00000000-0005-0000-0000-0000841F0000}"/>
    <cellStyle name="20% - Accent3 4 3 2 2 3 2" xfId="5797" xr:uid="{00000000-0005-0000-0000-0000851F0000}"/>
    <cellStyle name="20% - Accent3 4 3 2 2 3 2 2" xfId="11447" xr:uid="{00000000-0005-0000-0000-0000861F0000}"/>
    <cellStyle name="20% - Accent3 4 3 2 2 3 2 2 2" xfId="22748" xr:uid="{00000000-0005-0000-0000-0000871F0000}"/>
    <cellStyle name="20% - Accent3 4 3 2 2 3 2 2 2 2" xfId="45350" xr:uid="{00000000-0005-0000-0000-0000881F0000}"/>
    <cellStyle name="20% - Accent3 4 3 2 2 3 2 2 3" xfId="34049" xr:uid="{00000000-0005-0000-0000-0000891F0000}"/>
    <cellStyle name="20% - Accent3 4 3 2 2 3 2 3" xfId="17098" xr:uid="{00000000-0005-0000-0000-00008A1F0000}"/>
    <cellStyle name="20% - Accent3 4 3 2 2 3 2 3 2" xfId="39700" xr:uid="{00000000-0005-0000-0000-00008B1F0000}"/>
    <cellStyle name="20% - Accent3 4 3 2 2 3 2 4" xfId="28399" xr:uid="{00000000-0005-0000-0000-00008C1F0000}"/>
    <cellStyle name="20% - Accent3 4 3 2 2 3 3" xfId="8614" xr:uid="{00000000-0005-0000-0000-00008D1F0000}"/>
    <cellStyle name="20% - Accent3 4 3 2 2 3 3 2" xfId="19915" xr:uid="{00000000-0005-0000-0000-00008E1F0000}"/>
    <cellStyle name="20% - Accent3 4 3 2 2 3 3 2 2" xfId="42517" xr:uid="{00000000-0005-0000-0000-00008F1F0000}"/>
    <cellStyle name="20% - Accent3 4 3 2 2 3 3 3" xfId="31216" xr:uid="{00000000-0005-0000-0000-0000901F0000}"/>
    <cellStyle name="20% - Accent3 4 3 2 2 3 4" xfId="14265" xr:uid="{00000000-0005-0000-0000-0000911F0000}"/>
    <cellStyle name="20% - Accent3 4 3 2 2 3 4 2" xfId="36867" xr:uid="{00000000-0005-0000-0000-0000921F0000}"/>
    <cellStyle name="20% - Accent3 4 3 2 2 3 5" xfId="25566" xr:uid="{00000000-0005-0000-0000-0000931F0000}"/>
    <cellStyle name="20% - Accent3 4 3 2 2 4" xfId="4563" xr:uid="{00000000-0005-0000-0000-0000941F0000}"/>
    <cellStyle name="20% - Accent3 4 3 2 2 4 2" xfId="10213" xr:uid="{00000000-0005-0000-0000-0000951F0000}"/>
    <cellStyle name="20% - Accent3 4 3 2 2 4 2 2" xfId="21514" xr:uid="{00000000-0005-0000-0000-0000961F0000}"/>
    <cellStyle name="20% - Accent3 4 3 2 2 4 2 2 2" xfId="44116" xr:uid="{00000000-0005-0000-0000-0000971F0000}"/>
    <cellStyle name="20% - Accent3 4 3 2 2 4 2 3" xfId="32815" xr:uid="{00000000-0005-0000-0000-0000981F0000}"/>
    <cellStyle name="20% - Accent3 4 3 2 2 4 3" xfId="15864" xr:uid="{00000000-0005-0000-0000-0000991F0000}"/>
    <cellStyle name="20% - Accent3 4 3 2 2 4 3 2" xfId="38466" xr:uid="{00000000-0005-0000-0000-00009A1F0000}"/>
    <cellStyle name="20% - Accent3 4 3 2 2 4 4" xfId="27165" xr:uid="{00000000-0005-0000-0000-00009B1F0000}"/>
    <cellStyle name="20% - Accent3 4 3 2 2 5" xfId="7359" xr:uid="{00000000-0005-0000-0000-00009C1F0000}"/>
    <cellStyle name="20% - Accent3 4 3 2 2 5 2" xfId="18660" xr:uid="{00000000-0005-0000-0000-00009D1F0000}"/>
    <cellStyle name="20% - Accent3 4 3 2 2 5 2 2" xfId="41262" xr:uid="{00000000-0005-0000-0000-00009E1F0000}"/>
    <cellStyle name="20% - Accent3 4 3 2 2 5 3" xfId="29961" xr:uid="{00000000-0005-0000-0000-00009F1F0000}"/>
    <cellStyle name="20% - Accent3 4 3 2 2 6" xfId="13010" xr:uid="{00000000-0005-0000-0000-0000A01F0000}"/>
    <cellStyle name="20% - Accent3 4 3 2 2 6 2" xfId="35612" xr:uid="{00000000-0005-0000-0000-0000A11F0000}"/>
    <cellStyle name="20% - Accent3 4 3 2 2 7" xfId="24311" xr:uid="{00000000-0005-0000-0000-0000A21F0000}"/>
    <cellStyle name="20% - Accent3 4 3 2 3" xfId="1078" xr:uid="{00000000-0005-0000-0000-0000A31F0000}"/>
    <cellStyle name="20% - Accent3 4 3 2 3 2" xfId="3141" xr:uid="{00000000-0005-0000-0000-0000A41F0000}"/>
    <cellStyle name="20% - Accent3 4 3 2 3 2 2" xfId="6113" xr:uid="{00000000-0005-0000-0000-0000A51F0000}"/>
    <cellStyle name="20% - Accent3 4 3 2 3 2 2 2" xfId="11763" xr:uid="{00000000-0005-0000-0000-0000A61F0000}"/>
    <cellStyle name="20% - Accent3 4 3 2 3 2 2 2 2" xfId="23064" xr:uid="{00000000-0005-0000-0000-0000A71F0000}"/>
    <cellStyle name="20% - Accent3 4 3 2 3 2 2 2 2 2" xfId="45666" xr:uid="{00000000-0005-0000-0000-0000A81F0000}"/>
    <cellStyle name="20% - Accent3 4 3 2 3 2 2 2 3" xfId="34365" xr:uid="{00000000-0005-0000-0000-0000A91F0000}"/>
    <cellStyle name="20% - Accent3 4 3 2 3 2 2 3" xfId="17414" xr:uid="{00000000-0005-0000-0000-0000AA1F0000}"/>
    <cellStyle name="20% - Accent3 4 3 2 3 2 2 3 2" xfId="40016" xr:uid="{00000000-0005-0000-0000-0000AB1F0000}"/>
    <cellStyle name="20% - Accent3 4 3 2 3 2 2 4" xfId="28715" xr:uid="{00000000-0005-0000-0000-0000AC1F0000}"/>
    <cellStyle name="20% - Accent3 4 3 2 3 2 3" xfId="8931" xr:uid="{00000000-0005-0000-0000-0000AD1F0000}"/>
    <cellStyle name="20% - Accent3 4 3 2 3 2 3 2" xfId="20232" xr:uid="{00000000-0005-0000-0000-0000AE1F0000}"/>
    <cellStyle name="20% - Accent3 4 3 2 3 2 3 2 2" xfId="42834" xr:uid="{00000000-0005-0000-0000-0000AF1F0000}"/>
    <cellStyle name="20% - Accent3 4 3 2 3 2 3 3" xfId="31533" xr:uid="{00000000-0005-0000-0000-0000B01F0000}"/>
    <cellStyle name="20% - Accent3 4 3 2 3 2 4" xfId="14582" xr:uid="{00000000-0005-0000-0000-0000B11F0000}"/>
    <cellStyle name="20% - Accent3 4 3 2 3 2 4 2" xfId="37184" xr:uid="{00000000-0005-0000-0000-0000B21F0000}"/>
    <cellStyle name="20% - Accent3 4 3 2 3 2 5" xfId="25883" xr:uid="{00000000-0005-0000-0000-0000B31F0000}"/>
    <cellStyle name="20% - Accent3 4 3 2 3 3" xfId="4879" xr:uid="{00000000-0005-0000-0000-0000B41F0000}"/>
    <cellStyle name="20% - Accent3 4 3 2 3 3 2" xfId="10529" xr:uid="{00000000-0005-0000-0000-0000B51F0000}"/>
    <cellStyle name="20% - Accent3 4 3 2 3 3 2 2" xfId="21830" xr:uid="{00000000-0005-0000-0000-0000B61F0000}"/>
    <cellStyle name="20% - Accent3 4 3 2 3 3 2 2 2" xfId="44432" xr:uid="{00000000-0005-0000-0000-0000B71F0000}"/>
    <cellStyle name="20% - Accent3 4 3 2 3 3 2 3" xfId="33131" xr:uid="{00000000-0005-0000-0000-0000B81F0000}"/>
    <cellStyle name="20% - Accent3 4 3 2 3 3 3" xfId="16180" xr:uid="{00000000-0005-0000-0000-0000B91F0000}"/>
    <cellStyle name="20% - Accent3 4 3 2 3 3 3 2" xfId="38782" xr:uid="{00000000-0005-0000-0000-0000BA1F0000}"/>
    <cellStyle name="20% - Accent3 4 3 2 3 3 4" xfId="27481" xr:uid="{00000000-0005-0000-0000-0000BB1F0000}"/>
    <cellStyle name="20% - Accent3 4 3 2 3 4" xfId="7066" xr:uid="{00000000-0005-0000-0000-0000BC1F0000}"/>
    <cellStyle name="20% - Accent3 4 3 2 3 4 2" xfId="18367" xr:uid="{00000000-0005-0000-0000-0000BD1F0000}"/>
    <cellStyle name="20% - Accent3 4 3 2 3 4 2 2" xfId="40969" xr:uid="{00000000-0005-0000-0000-0000BE1F0000}"/>
    <cellStyle name="20% - Accent3 4 3 2 3 4 3" xfId="29668" xr:uid="{00000000-0005-0000-0000-0000BF1F0000}"/>
    <cellStyle name="20% - Accent3 4 3 2 3 5" xfId="12717" xr:uid="{00000000-0005-0000-0000-0000C01F0000}"/>
    <cellStyle name="20% - Accent3 4 3 2 3 5 2" xfId="35319" xr:uid="{00000000-0005-0000-0000-0000C11F0000}"/>
    <cellStyle name="20% - Accent3 4 3 2 3 6" xfId="24018" xr:uid="{00000000-0005-0000-0000-0000C21F0000}"/>
    <cellStyle name="20% - Accent3 4 3 2 4" xfId="1652" xr:uid="{00000000-0005-0000-0000-0000C31F0000}"/>
    <cellStyle name="20% - Accent3 4 3 2 4 2" xfId="3621" xr:uid="{00000000-0005-0000-0000-0000C41F0000}"/>
    <cellStyle name="20% - Accent3 4 3 2 4 2 2" xfId="9334" xr:uid="{00000000-0005-0000-0000-0000C51F0000}"/>
    <cellStyle name="20% - Accent3 4 3 2 4 2 2 2" xfId="20635" xr:uid="{00000000-0005-0000-0000-0000C61F0000}"/>
    <cellStyle name="20% - Accent3 4 3 2 4 2 2 2 2" xfId="43237" xr:uid="{00000000-0005-0000-0000-0000C71F0000}"/>
    <cellStyle name="20% - Accent3 4 3 2 4 2 2 3" xfId="31936" xr:uid="{00000000-0005-0000-0000-0000C81F0000}"/>
    <cellStyle name="20% - Accent3 4 3 2 4 2 3" xfId="14985" xr:uid="{00000000-0005-0000-0000-0000C91F0000}"/>
    <cellStyle name="20% - Accent3 4 3 2 4 2 3 2" xfId="37587" xr:uid="{00000000-0005-0000-0000-0000CA1F0000}"/>
    <cellStyle name="20% - Accent3 4 3 2 4 2 4" xfId="26286" xr:uid="{00000000-0005-0000-0000-0000CB1F0000}"/>
    <cellStyle name="20% - Accent3 4 3 2 4 3" xfId="5489" xr:uid="{00000000-0005-0000-0000-0000CC1F0000}"/>
    <cellStyle name="20% - Accent3 4 3 2 4 3 2" xfId="11139" xr:uid="{00000000-0005-0000-0000-0000CD1F0000}"/>
    <cellStyle name="20% - Accent3 4 3 2 4 3 2 2" xfId="22440" xr:uid="{00000000-0005-0000-0000-0000CE1F0000}"/>
    <cellStyle name="20% - Accent3 4 3 2 4 3 2 2 2" xfId="45042" xr:uid="{00000000-0005-0000-0000-0000CF1F0000}"/>
    <cellStyle name="20% - Accent3 4 3 2 4 3 2 3" xfId="33741" xr:uid="{00000000-0005-0000-0000-0000D01F0000}"/>
    <cellStyle name="20% - Accent3 4 3 2 4 3 3" xfId="16790" xr:uid="{00000000-0005-0000-0000-0000D11F0000}"/>
    <cellStyle name="20% - Accent3 4 3 2 4 3 3 2" xfId="39392" xr:uid="{00000000-0005-0000-0000-0000D21F0000}"/>
    <cellStyle name="20% - Accent3 4 3 2 4 3 4" xfId="28091" xr:uid="{00000000-0005-0000-0000-0000D31F0000}"/>
    <cellStyle name="20% - Accent3 4 3 2 4 4" xfId="7508" xr:uid="{00000000-0005-0000-0000-0000D41F0000}"/>
    <cellStyle name="20% - Accent3 4 3 2 4 4 2" xfId="18809" xr:uid="{00000000-0005-0000-0000-0000D51F0000}"/>
    <cellStyle name="20% - Accent3 4 3 2 4 4 2 2" xfId="41411" xr:uid="{00000000-0005-0000-0000-0000D61F0000}"/>
    <cellStyle name="20% - Accent3 4 3 2 4 4 3" xfId="30110" xr:uid="{00000000-0005-0000-0000-0000D71F0000}"/>
    <cellStyle name="20% - Accent3 4 3 2 4 5" xfId="13159" xr:uid="{00000000-0005-0000-0000-0000D81F0000}"/>
    <cellStyle name="20% - Accent3 4 3 2 4 5 2" xfId="35761" xr:uid="{00000000-0005-0000-0000-0000D91F0000}"/>
    <cellStyle name="20% - Accent3 4 3 2 4 6" xfId="24460" xr:uid="{00000000-0005-0000-0000-0000DA1F0000}"/>
    <cellStyle name="20% - Accent3 4 3 2 5" xfId="2470" xr:uid="{00000000-0005-0000-0000-0000DB1F0000}"/>
    <cellStyle name="20% - Accent3 4 3 2 5 2" xfId="8306" xr:uid="{00000000-0005-0000-0000-0000DC1F0000}"/>
    <cellStyle name="20% - Accent3 4 3 2 5 2 2" xfId="19607" xr:uid="{00000000-0005-0000-0000-0000DD1F0000}"/>
    <cellStyle name="20% - Accent3 4 3 2 5 2 2 2" xfId="42209" xr:uid="{00000000-0005-0000-0000-0000DE1F0000}"/>
    <cellStyle name="20% - Accent3 4 3 2 5 2 3" xfId="30908" xr:uid="{00000000-0005-0000-0000-0000DF1F0000}"/>
    <cellStyle name="20% - Accent3 4 3 2 5 3" xfId="13957" xr:uid="{00000000-0005-0000-0000-0000E01F0000}"/>
    <cellStyle name="20% - Accent3 4 3 2 5 3 2" xfId="36559" xr:uid="{00000000-0005-0000-0000-0000E11F0000}"/>
    <cellStyle name="20% - Accent3 4 3 2 5 4" xfId="25258" xr:uid="{00000000-0005-0000-0000-0000E21F0000}"/>
    <cellStyle name="20% - Accent3 4 3 2 6" xfId="4255" xr:uid="{00000000-0005-0000-0000-0000E31F0000}"/>
    <cellStyle name="20% - Accent3 4 3 2 6 2" xfId="9905" xr:uid="{00000000-0005-0000-0000-0000E41F0000}"/>
    <cellStyle name="20% - Accent3 4 3 2 6 2 2" xfId="21206" xr:uid="{00000000-0005-0000-0000-0000E51F0000}"/>
    <cellStyle name="20% - Accent3 4 3 2 6 2 2 2" xfId="43808" xr:uid="{00000000-0005-0000-0000-0000E61F0000}"/>
    <cellStyle name="20% - Accent3 4 3 2 6 2 3" xfId="32507" xr:uid="{00000000-0005-0000-0000-0000E71F0000}"/>
    <cellStyle name="20% - Accent3 4 3 2 6 3" xfId="15556" xr:uid="{00000000-0005-0000-0000-0000E81F0000}"/>
    <cellStyle name="20% - Accent3 4 3 2 6 3 2" xfId="38158" xr:uid="{00000000-0005-0000-0000-0000E91F0000}"/>
    <cellStyle name="20% - Accent3 4 3 2 6 4" xfId="26857" xr:uid="{00000000-0005-0000-0000-0000EA1F0000}"/>
    <cellStyle name="20% - Accent3 4 3 2 7" xfId="6735" xr:uid="{00000000-0005-0000-0000-0000EB1F0000}"/>
    <cellStyle name="20% - Accent3 4 3 2 7 2" xfId="18036" xr:uid="{00000000-0005-0000-0000-0000EC1F0000}"/>
    <cellStyle name="20% - Accent3 4 3 2 7 2 2" xfId="40638" xr:uid="{00000000-0005-0000-0000-0000ED1F0000}"/>
    <cellStyle name="20% - Accent3 4 3 2 7 3" xfId="29337" xr:uid="{00000000-0005-0000-0000-0000EE1F0000}"/>
    <cellStyle name="20% - Accent3 4 3 2 8" xfId="12386" xr:uid="{00000000-0005-0000-0000-0000EF1F0000}"/>
    <cellStyle name="20% - Accent3 4 3 2 8 2" xfId="34988" xr:uid="{00000000-0005-0000-0000-0000F01F0000}"/>
    <cellStyle name="20% - Accent3 4 3 2 9" xfId="23687" xr:uid="{00000000-0005-0000-0000-0000F11F0000}"/>
    <cellStyle name="20% - Accent3 4 3 3" xfId="1242" xr:uid="{00000000-0005-0000-0000-0000F21F0000}"/>
    <cellStyle name="20% - Accent3 4 3 3 2" xfId="1654" xr:uid="{00000000-0005-0000-0000-0000F31F0000}"/>
    <cellStyle name="20% - Accent3 4 3 3 2 2" xfId="3310" xr:uid="{00000000-0005-0000-0000-0000F41F0000}"/>
    <cellStyle name="20% - Accent3 4 3 3 2 2 2" xfId="6282" xr:uid="{00000000-0005-0000-0000-0000F51F0000}"/>
    <cellStyle name="20% - Accent3 4 3 3 2 2 2 2" xfId="11932" xr:uid="{00000000-0005-0000-0000-0000F61F0000}"/>
    <cellStyle name="20% - Accent3 4 3 3 2 2 2 2 2" xfId="23233" xr:uid="{00000000-0005-0000-0000-0000F71F0000}"/>
    <cellStyle name="20% - Accent3 4 3 3 2 2 2 2 2 2" xfId="45835" xr:uid="{00000000-0005-0000-0000-0000F81F0000}"/>
    <cellStyle name="20% - Accent3 4 3 3 2 2 2 2 3" xfId="34534" xr:uid="{00000000-0005-0000-0000-0000F91F0000}"/>
    <cellStyle name="20% - Accent3 4 3 3 2 2 2 3" xfId="17583" xr:uid="{00000000-0005-0000-0000-0000FA1F0000}"/>
    <cellStyle name="20% - Accent3 4 3 3 2 2 2 3 2" xfId="40185" xr:uid="{00000000-0005-0000-0000-0000FB1F0000}"/>
    <cellStyle name="20% - Accent3 4 3 3 2 2 2 4" xfId="28884" xr:uid="{00000000-0005-0000-0000-0000FC1F0000}"/>
    <cellStyle name="20% - Accent3 4 3 3 2 2 3" xfId="9100" xr:uid="{00000000-0005-0000-0000-0000FD1F0000}"/>
    <cellStyle name="20% - Accent3 4 3 3 2 2 3 2" xfId="20401" xr:uid="{00000000-0005-0000-0000-0000FE1F0000}"/>
    <cellStyle name="20% - Accent3 4 3 3 2 2 3 2 2" xfId="43003" xr:uid="{00000000-0005-0000-0000-0000FF1F0000}"/>
    <cellStyle name="20% - Accent3 4 3 3 2 2 3 3" xfId="31702" xr:uid="{00000000-0005-0000-0000-000000200000}"/>
    <cellStyle name="20% - Accent3 4 3 3 2 2 4" xfId="14751" xr:uid="{00000000-0005-0000-0000-000001200000}"/>
    <cellStyle name="20% - Accent3 4 3 3 2 2 4 2" xfId="37353" xr:uid="{00000000-0005-0000-0000-000002200000}"/>
    <cellStyle name="20% - Accent3 4 3 3 2 2 5" xfId="26052" xr:uid="{00000000-0005-0000-0000-000003200000}"/>
    <cellStyle name="20% - Accent3 4 3 3 2 3" xfId="5048" xr:uid="{00000000-0005-0000-0000-000004200000}"/>
    <cellStyle name="20% - Accent3 4 3 3 2 3 2" xfId="10698" xr:uid="{00000000-0005-0000-0000-000005200000}"/>
    <cellStyle name="20% - Accent3 4 3 3 2 3 2 2" xfId="21999" xr:uid="{00000000-0005-0000-0000-000006200000}"/>
    <cellStyle name="20% - Accent3 4 3 3 2 3 2 2 2" xfId="44601" xr:uid="{00000000-0005-0000-0000-000007200000}"/>
    <cellStyle name="20% - Accent3 4 3 3 2 3 2 3" xfId="33300" xr:uid="{00000000-0005-0000-0000-000008200000}"/>
    <cellStyle name="20% - Accent3 4 3 3 2 3 3" xfId="16349" xr:uid="{00000000-0005-0000-0000-000009200000}"/>
    <cellStyle name="20% - Accent3 4 3 3 2 3 3 2" xfId="38951" xr:uid="{00000000-0005-0000-0000-00000A200000}"/>
    <cellStyle name="20% - Accent3 4 3 3 2 3 4" xfId="27650" xr:uid="{00000000-0005-0000-0000-00000B200000}"/>
    <cellStyle name="20% - Accent3 4 3 3 2 4" xfId="7510" xr:uid="{00000000-0005-0000-0000-00000C200000}"/>
    <cellStyle name="20% - Accent3 4 3 3 2 4 2" xfId="18811" xr:uid="{00000000-0005-0000-0000-00000D200000}"/>
    <cellStyle name="20% - Accent3 4 3 3 2 4 2 2" xfId="41413" xr:uid="{00000000-0005-0000-0000-00000E200000}"/>
    <cellStyle name="20% - Accent3 4 3 3 2 4 3" xfId="30112" xr:uid="{00000000-0005-0000-0000-00000F200000}"/>
    <cellStyle name="20% - Accent3 4 3 3 2 5" xfId="13161" xr:uid="{00000000-0005-0000-0000-000010200000}"/>
    <cellStyle name="20% - Accent3 4 3 3 2 5 2" xfId="35763" xr:uid="{00000000-0005-0000-0000-000011200000}"/>
    <cellStyle name="20% - Accent3 4 3 3 2 6" xfId="24462" xr:uid="{00000000-0005-0000-0000-000012200000}"/>
    <cellStyle name="20% - Accent3 4 3 3 3" xfId="2639" xr:uid="{00000000-0005-0000-0000-000013200000}"/>
    <cellStyle name="20% - Accent3 4 3 3 3 2" xfId="5658" xr:uid="{00000000-0005-0000-0000-000014200000}"/>
    <cellStyle name="20% - Accent3 4 3 3 3 2 2" xfId="11308" xr:uid="{00000000-0005-0000-0000-000015200000}"/>
    <cellStyle name="20% - Accent3 4 3 3 3 2 2 2" xfId="22609" xr:uid="{00000000-0005-0000-0000-000016200000}"/>
    <cellStyle name="20% - Accent3 4 3 3 3 2 2 2 2" xfId="45211" xr:uid="{00000000-0005-0000-0000-000017200000}"/>
    <cellStyle name="20% - Accent3 4 3 3 3 2 2 3" xfId="33910" xr:uid="{00000000-0005-0000-0000-000018200000}"/>
    <cellStyle name="20% - Accent3 4 3 3 3 2 3" xfId="16959" xr:uid="{00000000-0005-0000-0000-000019200000}"/>
    <cellStyle name="20% - Accent3 4 3 3 3 2 3 2" xfId="39561" xr:uid="{00000000-0005-0000-0000-00001A200000}"/>
    <cellStyle name="20% - Accent3 4 3 3 3 2 4" xfId="28260" xr:uid="{00000000-0005-0000-0000-00001B200000}"/>
    <cellStyle name="20% - Accent3 4 3 3 3 3" xfId="8475" xr:uid="{00000000-0005-0000-0000-00001C200000}"/>
    <cellStyle name="20% - Accent3 4 3 3 3 3 2" xfId="19776" xr:uid="{00000000-0005-0000-0000-00001D200000}"/>
    <cellStyle name="20% - Accent3 4 3 3 3 3 2 2" xfId="42378" xr:uid="{00000000-0005-0000-0000-00001E200000}"/>
    <cellStyle name="20% - Accent3 4 3 3 3 3 3" xfId="31077" xr:uid="{00000000-0005-0000-0000-00001F200000}"/>
    <cellStyle name="20% - Accent3 4 3 3 3 4" xfId="14126" xr:uid="{00000000-0005-0000-0000-000020200000}"/>
    <cellStyle name="20% - Accent3 4 3 3 3 4 2" xfId="36728" xr:uid="{00000000-0005-0000-0000-000021200000}"/>
    <cellStyle name="20% - Accent3 4 3 3 3 5" xfId="25427" xr:uid="{00000000-0005-0000-0000-000022200000}"/>
    <cellStyle name="20% - Accent3 4 3 3 4" xfId="4424" xr:uid="{00000000-0005-0000-0000-000023200000}"/>
    <cellStyle name="20% - Accent3 4 3 3 4 2" xfId="10074" xr:uid="{00000000-0005-0000-0000-000024200000}"/>
    <cellStyle name="20% - Accent3 4 3 3 4 2 2" xfId="21375" xr:uid="{00000000-0005-0000-0000-000025200000}"/>
    <cellStyle name="20% - Accent3 4 3 3 4 2 2 2" xfId="43977" xr:uid="{00000000-0005-0000-0000-000026200000}"/>
    <cellStyle name="20% - Accent3 4 3 3 4 2 3" xfId="32676" xr:uid="{00000000-0005-0000-0000-000027200000}"/>
    <cellStyle name="20% - Accent3 4 3 3 4 3" xfId="15725" xr:uid="{00000000-0005-0000-0000-000028200000}"/>
    <cellStyle name="20% - Accent3 4 3 3 4 3 2" xfId="38327" xr:uid="{00000000-0005-0000-0000-000029200000}"/>
    <cellStyle name="20% - Accent3 4 3 3 4 4" xfId="27026" xr:uid="{00000000-0005-0000-0000-00002A200000}"/>
    <cellStyle name="20% - Accent3 4 3 3 5" xfId="7221" xr:uid="{00000000-0005-0000-0000-00002B200000}"/>
    <cellStyle name="20% - Accent3 4 3 3 5 2" xfId="18522" xr:uid="{00000000-0005-0000-0000-00002C200000}"/>
    <cellStyle name="20% - Accent3 4 3 3 5 2 2" xfId="41124" xr:uid="{00000000-0005-0000-0000-00002D200000}"/>
    <cellStyle name="20% - Accent3 4 3 3 5 3" xfId="29823" xr:uid="{00000000-0005-0000-0000-00002E200000}"/>
    <cellStyle name="20% - Accent3 4 3 3 6" xfId="12872" xr:uid="{00000000-0005-0000-0000-00002F200000}"/>
    <cellStyle name="20% - Accent3 4 3 3 6 2" xfId="35474" xr:uid="{00000000-0005-0000-0000-000030200000}"/>
    <cellStyle name="20% - Accent3 4 3 3 7" xfId="24173" xr:uid="{00000000-0005-0000-0000-000031200000}"/>
    <cellStyle name="20% - Accent3 4 3 4" xfId="933" xr:uid="{00000000-0005-0000-0000-000032200000}"/>
    <cellStyle name="20% - Accent3 4 3 4 2" xfId="3003" xr:uid="{00000000-0005-0000-0000-000033200000}"/>
    <cellStyle name="20% - Accent3 4 3 4 2 2" xfId="5975" xr:uid="{00000000-0005-0000-0000-000034200000}"/>
    <cellStyle name="20% - Accent3 4 3 4 2 2 2" xfId="11625" xr:uid="{00000000-0005-0000-0000-000035200000}"/>
    <cellStyle name="20% - Accent3 4 3 4 2 2 2 2" xfId="22926" xr:uid="{00000000-0005-0000-0000-000036200000}"/>
    <cellStyle name="20% - Accent3 4 3 4 2 2 2 2 2" xfId="45528" xr:uid="{00000000-0005-0000-0000-000037200000}"/>
    <cellStyle name="20% - Accent3 4 3 4 2 2 2 3" xfId="34227" xr:uid="{00000000-0005-0000-0000-000038200000}"/>
    <cellStyle name="20% - Accent3 4 3 4 2 2 3" xfId="17276" xr:uid="{00000000-0005-0000-0000-000039200000}"/>
    <cellStyle name="20% - Accent3 4 3 4 2 2 3 2" xfId="39878" xr:uid="{00000000-0005-0000-0000-00003A200000}"/>
    <cellStyle name="20% - Accent3 4 3 4 2 2 4" xfId="28577" xr:uid="{00000000-0005-0000-0000-00003B200000}"/>
    <cellStyle name="20% - Accent3 4 3 4 2 3" xfId="8793" xr:uid="{00000000-0005-0000-0000-00003C200000}"/>
    <cellStyle name="20% - Accent3 4 3 4 2 3 2" xfId="20094" xr:uid="{00000000-0005-0000-0000-00003D200000}"/>
    <cellStyle name="20% - Accent3 4 3 4 2 3 2 2" xfId="42696" xr:uid="{00000000-0005-0000-0000-00003E200000}"/>
    <cellStyle name="20% - Accent3 4 3 4 2 3 3" xfId="31395" xr:uid="{00000000-0005-0000-0000-00003F200000}"/>
    <cellStyle name="20% - Accent3 4 3 4 2 4" xfId="14444" xr:uid="{00000000-0005-0000-0000-000040200000}"/>
    <cellStyle name="20% - Accent3 4 3 4 2 4 2" xfId="37046" xr:uid="{00000000-0005-0000-0000-000041200000}"/>
    <cellStyle name="20% - Accent3 4 3 4 2 5" xfId="25745" xr:uid="{00000000-0005-0000-0000-000042200000}"/>
    <cellStyle name="20% - Accent3 4 3 4 3" xfId="4741" xr:uid="{00000000-0005-0000-0000-000043200000}"/>
    <cellStyle name="20% - Accent3 4 3 4 3 2" xfId="10391" xr:uid="{00000000-0005-0000-0000-000044200000}"/>
    <cellStyle name="20% - Accent3 4 3 4 3 2 2" xfId="21692" xr:uid="{00000000-0005-0000-0000-000045200000}"/>
    <cellStyle name="20% - Accent3 4 3 4 3 2 2 2" xfId="44294" xr:uid="{00000000-0005-0000-0000-000046200000}"/>
    <cellStyle name="20% - Accent3 4 3 4 3 2 3" xfId="32993" xr:uid="{00000000-0005-0000-0000-000047200000}"/>
    <cellStyle name="20% - Accent3 4 3 4 3 3" xfId="16042" xr:uid="{00000000-0005-0000-0000-000048200000}"/>
    <cellStyle name="20% - Accent3 4 3 4 3 3 2" xfId="38644" xr:uid="{00000000-0005-0000-0000-000049200000}"/>
    <cellStyle name="20% - Accent3 4 3 4 3 4" xfId="27343" xr:uid="{00000000-0005-0000-0000-00004A200000}"/>
    <cellStyle name="20% - Accent3 4 3 4 4" xfId="6928" xr:uid="{00000000-0005-0000-0000-00004B200000}"/>
    <cellStyle name="20% - Accent3 4 3 4 4 2" xfId="18229" xr:uid="{00000000-0005-0000-0000-00004C200000}"/>
    <cellStyle name="20% - Accent3 4 3 4 4 2 2" xfId="40831" xr:uid="{00000000-0005-0000-0000-00004D200000}"/>
    <cellStyle name="20% - Accent3 4 3 4 4 3" xfId="29530" xr:uid="{00000000-0005-0000-0000-00004E200000}"/>
    <cellStyle name="20% - Accent3 4 3 4 5" xfId="12579" xr:uid="{00000000-0005-0000-0000-00004F200000}"/>
    <cellStyle name="20% - Accent3 4 3 4 5 2" xfId="35181" xr:uid="{00000000-0005-0000-0000-000050200000}"/>
    <cellStyle name="20% - Accent3 4 3 4 6" xfId="23880" xr:uid="{00000000-0005-0000-0000-000051200000}"/>
    <cellStyle name="20% - Accent3 4 3 5" xfId="1651" xr:uid="{00000000-0005-0000-0000-000052200000}"/>
    <cellStyle name="20% - Accent3 4 3 5 2" xfId="3620" xr:uid="{00000000-0005-0000-0000-000053200000}"/>
    <cellStyle name="20% - Accent3 4 3 5 2 2" xfId="9333" xr:uid="{00000000-0005-0000-0000-000054200000}"/>
    <cellStyle name="20% - Accent3 4 3 5 2 2 2" xfId="20634" xr:uid="{00000000-0005-0000-0000-000055200000}"/>
    <cellStyle name="20% - Accent3 4 3 5 2 2 2 2" xfId="43236" xr:uid="{00000000-0005-0000-0000-000056200000}"/>
    <cellStyle name="20% - Accent3 4 3 5 2 2 3" xfId="31935" xr:uid="{00000000-0005-0000-0000-000057200000}"/>
    <cellStyle name="20% - Accent3 4 3 5 2 3" xfId="14984" xr:uid="{00000000-0005-0000-0000-000058200000}"/>
    <cellStyle name="20% - Accent3 4 3 5 2 3 2" xfId="37586" xr:uid="{00000000-0005-0000-0000-000059200000}"/>
    <cellStyle name="20% - Accent3 4 3 5 2 4" xfId="26285" xr:uid="{00000000-0005-0000-0000-00005A200000}"/>
    <cellStyle name="20% - Accent3 4 3 5 3" xfId="5351" xr:uid="{00000000-0005-0000-0000-00005B200000}"/>
    <cellStyle name="20% - Accent3 4 3 5 3 2" xfId="11001" xr:uid="{00000000-0005-0000-0000-00005C200000}"/>
    <cellStyle name="20% - Accent3 4 3 5 3 2 2" xfId="22302" xr:uid="{00000000-0005-0000-0000-00005D200000}"/>
    <cellStyle name="20% - Accent3 4 3 5 3 2 2 2" xfId="44904" xr:uid="{00000000-0005-0000-0000-00005E200000}"/>
    <cellStyle name="20% - Accent3 4 3 5 3 2 3" xfId="33603" xr:uid="{00000000-0005-0000-0000-00005F200000}"/>
    <cellStyle name="20% - Accent3 4 3 5 3 3" xfId="16652" xr:uid="{00000000-0005-0000-0000-000060200000}"/>
    <cellStyle name="20% - Accent3 4 3 5 3 3 2" xfId="39254" xr:uid="{00000000-0005-0000-0000-000061200000}"/>
    <cellStyle name="20% - Accent3 4 3 5 3 4" xfId="27953" xr:uid="{00000000-0005-0000-0000-000062200000}"/>
    <cellStyle name="20% - Accent3 4 3 5 4" xfId="7507" xr:uid="{00000000-0005-0000-0000-000063200000}"/>
    <cellStyle name="20% - Accent3 4 3 5 4 2" xfId="18808" xr:uid="{00000000-0005-0000-0000-000064200000}"/>
    <cellStyle name="20% - Accent3 4 3 5 4 2 2" xfId="41410" xr:uid="{00000000-0005-0000-0000-000065200000}"/>
    <cellStyle name="20% - Accent3 4 3 5 4 3" xfId="30109" xr:uid="{00000000-0005-0000-0000-000066200000}"/>
    <cellStyle name="20% - Accent3 4 3 5 5" xfId="13158" xr:uid="{00000000-0005-0000-0000-000067200000}"/>
    <cellStyle name="20% - Accent3 4 3 5 5 2" xfId="35760" xr:uid="{00000000-0005-0000-0000-000068200000}"/>
    <cellStyle name="20% - Accent3 4 3 5 6" xfId="24459" xr:uid="{00000000-0005-0000-0000-000069200000}"/>
    <cellStyle name="20% - Accent3 4 3 6" xfId="2330" xr:uid="{00000000-0005-0000-0000-00006A200000}"/>
    <cellStyle name="20% - Accent3 4 3 6 2" xfId="8166" xr:uid="{00000000-0005-0000-0000-00006B200000}"/>
    <cellStyle name="20% - Accent3 4 3 6 2 2" xfId="19467" xr:uid="{00000000-0005-0000-0000-00006C200000}"/>
    <cellStyle name="20% - Accent3 4 3 6 2 2 2" xfId="42069" xr:uid="{00000000-0005-0000-0000-00006D200000}"/>
    <cellStyle name="20% - Accent3 4 3 6 2 3" xfId="30768" xr:uid="{00000000-0005-0000-0000-00006E200000}"/>
    <cellStyle name="20% - Accent3 4 3 6 3" xfId="13817" xr:uid="{00000000-0005-0000-0000-00006F200000}"/>
    <cellStyle name="20% - Accent3 4 3 6 3 2" xfId="36419" xr:uid="{00000000-0005-0000-0000-000070200000}"/>
    <cellStyle name="20% - Accent3 4 3 6 4" xfId="25118" xr:uid="{00000000-0005-0000-0000-000071200000}"/>
    <cellStyle name="20% - Accent3 4 3 7" xfId="4117" xr:uid="{00000000-0005-0000-0000-000072200000}"/>
    <cellStyle name="20% - Accent3 4 3 7 2" xfId="9767" xr:uid="{00000000-0005-0000-0000-000073200000}"/>
    <cellStyle name="20% - Accent3 4 3 7 2 2" xfId="21068" xr:uid="{00000000-0005-0000-0000-000074200000}"/>
    <cellStyle name="20% - Accent3 4 3 7 2 2 2" xfId="43670" xr:uid="{00000000-0005-0000-0000-000075200000}"/>
    <cellStyle name="20% - Accent3 4 3 7 2 3" xfId="32369" xr:uid="{00000000-0005-0000-0000-000076200000}"/>
    <cellStyle name="20% - Accent3 4 3 7 3" xfId="15418" xr:uid="{00000000-0005-0000-0000-000077200000}"/>
    <cellStyle name="20% - Accent3 4 3 7 3 2" xfId="38020" xr:uid="{00000000-0005-0000-0000-000078200000}"/>
    <cellStyle name="20% - Accent3 4 3 7 4" xfId="26719" xr:uid="{00000000-0005-0000-0000-000079200000}"/>
    <cellStyle name="20% - Accent3 4 3 8" xfId="6568" xr:uid="{00000000-0005-0000-0000-00007A200000}"/>
    <cellStyle name="20% - Accent3 4 3 8 2" xfId="17869" xr:uid="{00000000-0005-0000-0000-00007B200000}"/>
    <cellStyle name="20% - Accent3 4 3 8 2 2" xfId="40471" xr:uid="{00000000-0005-0000-0000-00007C200000}"/>
    <cellStyle name="20% - Accent3 4 3 8 3" xfId="29170" xr:uid="{00000000-0005-0000-0000-00007D200000}"/>
    <cellStyle name="20% - Accent3 4 3 9" xfId="12219" xr:uid="{00000000-0005-0000-0000-00007E200000}"/>
    <cellStyle name="20% - Accent3 4 3 9 2" xfId="34821" xr:uid="{00000000-0005-0000-0000-00007F200000}"/>
    <cellStyle name="20% - Accent3 4 4" xfId="572" xr:uid="{00000000-0005-0000-0000-000080200000}"/>
    <cellStyle name="20% - Accent3 4 4 2" xfId="1146" xr:uid="{00000000-0005-0000-0000-000081200000}"/>
    <cellStyle name="20% - Accent3 4 4 2 2" xfId="1656" xr:uid="{00000000-0005-0000-0000-000082200000}"/>
    <cellStyle name="20% - Accent3 4 4 2 2 2" xfId="3214" xr:uid="{00000000-0005-0000-0000-000083200000}"/>
    <cellStyle name="20% - Accent3 4 4 2 2 2 2" xfId="6186" xr:uid="{00000000-0005-0000-0000-000084200000}"/>
    <cellStyle name="20% - Accent3 4 4 2 2 2 2 2" xfId="11836" xr:uid="{00000000-0005-0000-0000-000085200000}"/>
    <cellStyle name="20% - Accent3 4 4 2 2 2 2 2 2" xfId="23137" xr:uid="{00000000-0005-0000-0000-000086200000}"/>
    <cellStyle name="20% - Accent3 4 4 2 2 2 2 2 2 2" xfId="45739" xr:uid="{00000000-0005-0000-0000-000087200000}"/>
    <cellStyle name="20% - Accent3 4 4 2 2 2 2 2 3" xfId="34438" xr:uid="{00000000-0005-0000-0000-000088200000}"/>
    <cellStyle name="20% - Accent3 4 4 2 2 2 2 3" xfId="17487" xr:uid="{00000000-0005-0000-0000-000089200000}"/>
    <cellStyle name="20% - Accent3 4 4 2 2 2 2 3 2" xfId="40089" xr:uid="{00000000-0005-0000-0000-00008A200000}"/>
    <cellStyle name="20% - Accent3 4 4 2 2 2 2 4" xfId="28788" xr:uid="{00000000-0005-0000-0000-00008B200000}"/>
    <cellStyle name="20% - Accent3 4 4 2 2 2 3" xfId="9004" xr:uid="{00000000-0005-0000-0000-00008C200000}"/>
    <cellStyle name="20% - Accent3 4 4 2 2 2 3 2" xfId="20305" xr:uid="{00000000-0005-0000-0000-00008D200000}"/>
    <cellStyle name="20% - Accent3 4 4 2 2 2 3 2 2" xfId="42907" xr:uid="{00000000-0005-0000-0000-00008E200000}"/>
    <cellStyle name="20% - Accent3 4 4 2 2 2 3 3" xfId="31606" xr:uid="{00000000-0005-0000-0000-00008F200000}"/>
    <cellStyle name="20% - Accent3 4 4 2 2 2 4" xfId="14655" xr:uid="{00000000-0005-0000-0000-000090200000}"/>
    <cellStyle name="20% - Accent3 4 4 2 2 2 4 2" xfId="37257" xr:uid="{00000000-0005-0000-0000-000091200000}"/>
    <cellStyle name="20% - Accent3 4 4 2 2 2 5" xfId="25956" xr:uid="{00000000-0005-0000-0000-000092200000}"/>
    <cellStyle name="20% - Accent3 4 4 2 2 3" xfId="4952" xr:uid="{00000000-0005-0000-0000-000093200000}"/>
    <cellStyle name="20% - Accent3 4 4 2 2 3 2" xfId="10602" xr:uid="{00000000-0005-0000-0000-000094200000}"/>
    <cellStyle name="20% - Accent3 4 4 2 2 3 2 2" xfId="21903" xr:uid="{00000000-0005-0000-0000-000095200000}"/>
    <cellStyle name="20% - Accent3 4 4 2 2 3 2 2 2" xfId="44505" xr:uid="{00000000-0005-0000-0000-000096200000}"/>
    <cellStyle name="20% - Accent3 4 4 2 2 3 2 3" xfId="33204" xr:uid="{00000000-0005-0000-0000-000097200000}"/>
    <cellStyle name="20% - Accent3 4 4 2 2 3 3" xfId="16253" xr:uid="{00000000-0005-0000-0000-000098200000}"/>
    <cellStyle name="20% - Accent3 4 4 2 2 3 3 2" xfId="38855" xr:uid="{00000000-0005-0000-0000-000099200000}"/>
    <cellStyle name="20% - Accent3 4 4 2 2 3 4" xfId="27554" xr:uid="{00000000-0005-0000-0000-00009A200000}"/>
    <cellStyle name="20% - Accent3 4 4 2 2 4" xfId="7512" xr:uid="{00000000-0005-0000-0000-00009B200000}"/>
    <cellStyle name="20% - Accent3 4 4 2 2 4 2" xfId="18813" xr:uid="{00000000-0005-0000-0000-00009C200000}"/>
    <cellStyle name="20% - Accent3 4 4 2 2 4 2 2" xfId="41415" xr:uid="{00000000-0005-0000-0000-00009D200000}"/>
    <cellStyle name="20% - Accent3 4 4 2 2 4 3" xfId="30114" xr:uid="{00000000-0005-0000-0000-00009E200000}"/>
    <cellStyle name="20% - Accent3 4 4 2 2 5" xfId="13163" xr:uid="{00000000-0005-0000-0000-00009F200000}"/>
    <cellStyle name="20% - Accent3 4 4 2 2 5 2" xfId="35765" xr:uid="{00000000-0005-0000-0000-0000A0200000}"/>
    <cellStyle name="20% - Accent3 4 4 2 2 6" xfId="24464" xr:uid="{00000000-0005-0000-0000-0000A1200000}"/>
    <cellStyle name="20% - Accent3 4 4 2 3" xfId="2543" xr:uid="{00000000-0005-0000-0000-0000A2200000}"/>
    <cellStyle name="20% - Accent3 4 4 2 3 2" xfId="5562" xr:uid="{00000000-0005-0000-0000-0000A3200000}"/>
    <cellStyle name="20% - Accent3 4 4 2 3 2 2" xfId="11212" xr:uid="{00000000-0005-0000-0000-0000A4200000}"/>
    <cellStyle name="20% - Accent3 4 4 2 3 2 2 2" xfId="22513" xr:uid="{00000000-0005-0000-0000-0000A5200000}"/>
    <cellStyle name="20% - Accent3 4 4 2 3 2 2 2 2" xfId="45115" xr:uid="{00000000-0005-0000-0000-0000A6200000}"/>
    <cellStyle name="20% - Accent3 4 4 2 3 2 2 3" xfId="33814" xr:uid="{00000000-0005-0000-0000-0000A7200000}"/>
    <cellStyle name="20% - Accent3 4 4 2 3 2 3" xfId="16863" xr:uid="{00000000-0005-0000-0000-0000A8200000}"/>
    <cellStyle name="20% - Accent3 4 4 2 3 2 3 2" xfId="39465" xr:uid="{00000000-0005-0000-0000-0000A9200000}"/>
    <cellStyle name="20% - Accent3 4 4 2 3 2 4" xfId="28164" xr:uid="{00000000-0005-0000-0000-0000AA200000}"/>
    <cellStyle name="20% - Accent3 4 4 2 3 3" xfId="8379" xr:uid="{00000000-0005-0000-0000-0000AB200000}"/>
    <cellStyle name="20% - Accent3 4 4 2 3 3 2" xfId="19680" xr:uid="{00000000-0005-0000-0000-0000AC200000}"/>
    <cellStyle name="20% - Accent3 4 4 2 3 3 2 2" xfId="42282" xr:uid="{00000000-0005-0000-0000-0000AD200000}"/>
    <cellStyle name="20% - Accent3 4 4 2 3 3 3" xfId="30981" xr:uid="{00000000-0005-0000-0000-0000AE200000}"/>
    <cellStyle name="20% - Accent3 4 4 2 3 4" xfId="14030" xr:uid="{00000000-0005-0000-0000-0000AF200000}"/>
    <cellStyle name="20% - Accent3 4 4 2 3 4 2" xfId="36632" xr:uid="{00000000-0005-0000-0000-0000B0200000}"/>
    <cellStyle name="20% - Accent3 4 4 2 3 5" xfId="25331" xr:uid="{00000000-0005-0000-0000-0000B1200000}"/>
    <cellStyle name="20% - Accent3 4 4 2 4" xfId="4328" xr:uid="{00000000-0005-0000-0000-0000B2200000}"/>
    <cellStyle name="20% - Accent3 4 4 2 4 2" xfId="9978" xr:uid="{00000000-0005-0000-0000-0000B3200000}"/>
    <cellStyle name="20% - Accent3 4 4 2 4 2 2" xfId="21279" xr:uid="{00000000-0005-0000-0000-0000B4200000}"/>
    <cellStyle name="20% - Accent3 4 4 2 4 2 2 2" xfId="43881" xr:uid="{00000000-0005-0000-0000-0000B5200000}"/>
    <cellStyle name="20% - Accent3 4 4 2 4 2 3" xfId="32580" xr:uid="{00000000-0005-0000-0000-0000B6200000}"/>
    <cellStyle name="20% - Accent3 4 4 2 4 3" xfId="15629" xr:uid="{00000000-0005-0000-0000-0000B7200000}"/>
    <cellStyle name="20% - Accent3 4 4 2 4 3 2" xfId="38231" xr:uid="{00000000-0005-0000-0000-0000B8200000}"/>
    <cellStyle name="20% - Accent3 4 4 2 4 4" xfId="26930" xr:uid="{00000000-0005-0000-0000-0000B9200000}"/>
    <cellStyle name="20% - Accent3 4 4 2 5" xfId="7125" xr:uid="{00000000-0005-0000-0000-0000BA200000}"/>
    <cellStyle name="20% - Accent3 4 4 2 5 2" xfId="18426" xr:uid="{00000000-0005-0000-0000-0000BB200000}"/>
    <cellStyle name="20% - Accent3 4 4 2 5 2 2" xfId="41028" xr:uid="{00000000-0005-0000-0000-0000BC200000}"/>
    <cellStyle name="20% - Accent3 4 4 2 5 3" xfId="29727" xr:uid="{00000000-0005-0000-0000-0000BD200000}"/>
    <cellStyle name="20% - Accent3 4 4 2 6" xfId="12776" xr:uid="{00000000-0005-0000-0000-0000BE200000}"/>
    <cellStyle name="20% - Accent3 4 4 2 6 2" xfId="35378" xr:uid="{00000000-0005-0000-0000-0000BF200000}"/>
    <cellStyle name="20% - Accent3 4 4 2 7" xfId="24077" xr:uid="{00000000-0005-0000-0000-0000C0200000}"/>
    <cellStyle name="20% - Accent3 4 4 3" xfId="820" xr:uid="{00000000-0005-0000-0000-0000C1200000}"/>
    <cellStyle name="20% - Accent3 4 4 3 2" xfId="2907" xr:uid="{00000000-0005-0000-0000-0000C2200000}"/>
    <cellStyle name="20% - Accent3 4 4 3 2 2" xfId="5879" xr:uid="{00000000-0005-0000-0000-0000C3200000}"/>
    <cellStyle name="20% - Accent3 4 4 3 2 2 2" xfId="11529" xr:uid="{00000000-0005-0000-0000-0000C4200000}"/>
    <cellStyle name="20% - Accent3 4 4 3 2 2 2 2" xfId="22830" xr:uid="{00000000-0005-0000-0000-0000C5200000}"/>
    <cellStyle name="20% - Accent3 4 4 3 2 2 2 2 2" xfId="45432" xr:uid="{00000000-0005-0000-0000-0000C6200000}"/>
    <cellStyle name="20% - Accent3 4 4 3 2 2 2 3" xfId="34131" xr:uid="{00000000-0005-0000-0000-0000C7200000}"/>
    <cellStyle name="20% - Accent3 4 4 3 2 2 3" xfId="17180" xr:uid="{00000000-0005-0000-0000-0000C8200000}"/>
    <cellStyle name="20% - Accent3 4 4 3 2 2 3 2" xfId="39782" xr:uid="{00000000-0005-0000-0000-0000C9200000}"/>
    <cellStyle name="20% - Accent3 4 4 3 2 2 4" xfId="28481" xr:uid="{00000000-0005-0000-0000-0000CA200000}"/>
    <cellStyle name="20% - Accent3 4 4 3 2 3" xfId="8697" xr:uid="{00000000-0005-0000-0000-0000CB200000}"/>
    <cellStyle name="20% - Accent3 4 4 3 2 3 2" xfId="19998" xr:uid="{00000000-0005-0000-0000-0000CC200000}"/>
    <cellStyle name="20% - Accent3 4 4 3 2 3 2 2" xfId="42600" xr:uid="{00000000-0005-0000-0000-0000CD200000}"/>
    <cellStyle name="20% - Accent3 4 4 3 2 3 3" xfId="31299" xr:uid="{00000000-0005-0000-0000-0000CE200000}"/>
    <cellStyle name="20% - Accent3 4 4 3 2 4" xfId="14348" xr:uid="{00000000-0005-0000-0000-0000CF200000}"/>
    <cellStyle name="20% - Accent3 4 4 3 2 4 2" xfId="36950" xr:uid="{00000000-0005-0000-0000-0000D0200000}"/>
    <cellStyle name="20% - Accent3 4 4 3 2 5" xfId="25649" xr:uid="{00000000-0005-0000-0000-0000D1200000}"/>
    <cellStyle name="20% - Accent3 4 4 3 3" xfId="4645" xr:uid="{00000000-0005-0000-0000-0000D2200000}"/>
    <cellStyle name="20% - Accent3 4 4 3 3 2" xfId="10295" xr:uid="{00000000-0005-0000-0000-0000D3200000}"/>
    <cellStyle name="20% - Accent3 4 4 3 3 2 2" xfId="21596" xr:uid="{00000000-0005-0000-0000-0000D4200000}"/>
    <cellStyle name="20% - Accent3 4 4 3 3 2 2 2" xfId="44198" xr:uid="{00000000-0005-0000-0000-0000D5200000}"/>
    <cellStyle name="20% - Accent3 4 4 3 3 2 3" xfId="32897" xr:uid="{00000000-0005-0000-0000-0000D6200000}"/>
    <cellStyle name="20% - Accent3 4 4 3 3 3" xfId="15946" xr:uid="{00000000-0005-0000-0000-0000D7200000}"/>
    <cellStyle name="20% - Accent3 4 4 3 3 3 2" xfId="38548" xr:uid="{00000000-0005-0000-0000-0000D8200000}"/>
    <cellStyle name="20% - Accent3 4 4 3 3 4" xfId="27247" xr:uid="{00000000-0005-0000-0000-0000D9200000}"/>
    <cellStyle name="20% - Accent3 4 4 3 4" xfId="6828" xr:uid="{00000000-0005-0000-0000-0000DA200000}"/>
    <cellStyle name="20% - Accent3 4 4 3 4 2" xfId="18129" xr:uid="{00000000-0005-0000-0000-0000DB200000}"/>
    <cellStyle name="20% - Accent3 4 4 3 4 2 2" xfId="40731" xr:uid="{00000000-0005-0000-0000-0000DC200000}"/>
    <cellStyle name="20% - Accent3 4 4 3 4 3" xfId="29430" xr:uid="{00000000-0005-0000-0000-0000DD200000}"/>
    <cellStyle name="20% - Accent3 4 4 3 5" xfId="12479" xr:uid="{00000000-0005-0000-0000-0000DE200000}"/>
    <cellStyle name="20% - Accent3 4 4 3 5 2" xfId="35081" xr:uid="{00000000-0005-0000-0000-0000DF200000}"/>
    <cellStyle name="20% - Accent3 4 4 3 6" xfId="23780" xr:uid="{00000000-0005-0000-0000-0000E0200000}"/>
    <cellStyle name="20% - Accent3 4 4 4" xfId="1655" xr:uid="{00000000-0005-0000-0000-0000E1200000}"/>
    <cellStyle name="20% - Accent3 4 4 4 2" xfId="3622" xr:uid="{00000000-0005-0000-0000-0000E2200000}"/>
    <cellStyle name="20% - Accent3 4 4 4 2 2" xfId="9335" xr:uid="{00000000-0005-0000-0000-0000E3200000}"/>
    <cellStyle name="20% - Accent3 4 4 4 2 2 2" xfId="20636" xr:uid="{00000000-0005-0000-0000-0000E4200000}"/>
    <cellStyle name="20% - Accent3 4 4 4 2 2 2 2" xfId="43238" xr:uid="{00000000-0005-0000-0000-0000E5200000}"/>
    <cellStyle name="20% - Accent3 4 4 4 2 2 3" xfId="31937" xr:uid="{00000000-0005-0000-0000-0000E6200000}"/>
    <cellStyle name="20% - Accent3 4 4 4 2 3" xfId="14986" xr:uid="{00000000-0005-0000-0000-0000E7200000}"/>
    <cellStyle name="20% - Accent3 4 4 4 2 3 2" xfId="37588" xr:uid="{00000000-0005-0000-0000-0000E8200000}"/>
    <cellStyle name="20% - Accent3 4 4 4 2 4" xfId="26287" xr:uid="{00000000-0005-0000-0000-0000E9200000}"/>
    <cellStyle name="20% - Accent3 4 4 4 3" xfId="5255" xr:uid="{00000000-0005-0000-0000-0000EA200000}"/>
    <cellStyle name="20% - Accent3 4 4 4 3 2" xfId="10905" xr:uid="{00000000-0005-0000-0000-0000EB200000}"/>
    <cellStyle name="20% - Accent3 4 4 4 3 2 2" xfId="22206" xr:uid="{00000000-0005-0000-0000-0000EC200000}"/>
    <cellStyle name="20% - Accent3 4 4 4 3 2 2 2" xfId="44808" xr:uid="{00000000-0005-0000-0000-0000ED200000}"/>
    <cellStyle name="20% - Accent3 4 4 4 3 2 3" xfId="33507" xr:uid="{00000000-0005-0000-0000-0000EE200000}"/>
    <cellStyle name="20% - Accent3 4 4 4 3 3" xfId="16556" xr:uid="{00000000-0005-0000-0000-0000EF200000}"/>
    <cellStyle name="20% - Accent3 4 4 4 3 3 2" xfId="39158" xr:uid="{00000000-0005-0000-0000-0000F0200000}"/>
    <cellStyle name="20% - Accent3 4 4 4 3 4" xfId="27857" xr:uid="{00000000-0005-0000-0000-0000F1200000}"/>
    <cellStyle name="20% - Accent3 4 4 4 4" xfId="7511" xr:uid="{00000000-0005-0000-0000-0000F2200000}"/>
    <cellStyle name="20% - Accent3 4 4 4 4 2" xfId="18812" xr:uid="{00000000-0005-0000-0000-0000F3200000}"/>
    <cellStyle name="20% - Accent3 4 4 4 4 2 2" xfId="41414" xr:uid="{00000000-0005-0000-0000-0000F4200000}"/>
    <cellStyle name="20% - Accent3 4 4 4 4 3" xfId="30113" xr:uid="{00000000-0005-0000-0000-0000F5200000}"/>
    <cellStyle name="20% - Accent3 4 4 4 5" xfId="13162" xr:uid="{00000000-0005-0000-0000-0000F6200000}"/>
    <cellStyle name="20% - Accent3 4 4 4 5 2" xfId="35764" xr:uid="{00000000-0005-0000-0000-0000F7200000}"/>
    <cellStyle name="20% - Accent3 4 4 4 6" xfId="24463" xr:uid="{00000000-0005-0000-0000-0000F8200000}"/>
    <cellStyle name="20% - Accent3 4 4 5" xfId="2227" xr:uid="{00000000-0005-0000-0000-0000F9200000}"/>
    <cellStyle name="20% - Accent3 4 4 5 2" xfId="8069" xr:uid="{00000000-0005-0000-0000-0000FA200000}"/>
    <cellStyle name="20% - Accent3 4 4 5 2 2" xfId="19370" xr:uid="{00000000-0005-0000-0000-0000FB200000}"/>
    <cellStyle name="20% - Accent3 4 4 5 2 2 2" xfId="41972" xr:uid="{00000000-0005-0000-0000-0000FC200000}"/>
    <cellStyle name="20% - Accent3 4 4 5 2 3" xfId="30671" xr:uid="{00000000-0005-0000-0000-0000FD200000}"/>
    <cellStyle name="20% - Accent3 4 4 5 3" xfId="13720" xr:uid="{00000000-0005-0000-0000-0000FE200000}"/>
    <cellStyle name="20% - Accent3 4 4 5 3 2" xfId="36322" xr:uid="{00000000-0005-0000-0000-0000FF200000}"/>
    <cellStyle name="20% - Accent3 4 4 5 4" xfId="25021" xr:uid="{00000000-0005-0000-0000-000000210000}"/>
    <cellStyle name="20% - Accent3 4 4 6" xfId="4021" xr:uid="{00000000-0005-0000-0000-000001210000}"/>
    <cellStyle name="20% - Accent3 4 4 6 2" xfId="9671" xr:uid="{00000000-0005-0000-0000-000002210000}"/>
    <cellStyle name="20% - Accent3 4 4 6 2 2" xfId="20972" xr:uid="{00000000-0005-0000-0000-000003210000}"/>
    <cellStyle name="20% - Accent3 4 4 6 2 2 2" xfId="43574" xr:uid="{00000000-0005-0000-0000-000004210000}"/>
    <cellStyle name="20% - Accent3 4 4 6 2 3" xfId="32273" xr:uid="{00000000-0005-0000-0000-000005210000}"/>
    <cellStyle name="20% - Accent3 4 4 6 3" xfId="15322" xr:uid="{00000000-0005-0000-0000-000006210000}"/>
    <cellStyle name="20% - Accent3 4 4 6 3 2" xfId="37924" xr:uid="{00000000-0005-0000-0000-000007210000}"/>
    <cellStyle name="20% - Accent3 4 4 6 4" xfId="26623" xr:uid="{00000000-0005-0000-0000-000008210000}"/>
    <cellStyle name="20% - Accent3 4 4 7" xfId="6639" xr:uid="{00000000-0005-0000-0000-000009210000}"/>
    <cellStyle name="20% - Accent3 4 4 7 2" xfId="17940" xr:uid="{00000000-0005-0000-0000-00000A210000}"/>
    <cellStyle name="20% - Accent3 4 4 7 2 2" xfId="40542" xr:uid="{00000000-0005-0000-0000-00000B210000}"/>
    <cellStyle name="20% - Accent3 4 4 7 3" xfId="29241" xr:uid="{00000000-0005-0000-0000-00000C210000}"/>
    <cellStyle name="20% - Accent3 4 4 8" xfId="12290" xr:uid="{00000000-0005-0000-0000-00000D210000}"/>
    <cellStyle name="20% - Accent3 4 4 8 2" xfId="34892" xr:uid="{00000000-0005-0000-0000-00000E210000}"/>
    <cellStyle name="20% - Accent3 4 4 9" xfId="23591" xr:uid="{00000000-0005-0000-0000-00000F210000}"/>
    <cellStyle name="20% - Accent3 4 5" xfId="516" xr:uid="{00000000-0005-0000-0000-000010210000}"/>
    <cellStyle name="20% - Accent3 4 5 2" xfId="1285" xr:uid="{00000000-0005-0000-0000-000011210000}"/>
    <cellStyle name="20% - Accent3 4 5 2 2" xfId="1658" xr:uid="{00000000-0005-0000-0000-000012210000}"/>
    <cellStyle name="20% - Accent3 4 5 2 2 2" xfId="3354" xr:uid="{00000000-0005-0000-0000-000013210000}"/>
    <cellStyle name="20% - Accent3 4 5 2 2 2 2" xfId="6326" xr:uid="{00000000-0005-0000-0000-000014210000}"/>
    <cellStyle name="20% - Accent3 4 5 2 2 2 2 2" xfId="11976" xr:uid="{00000000-0005-0000-0000-000015210000}"/>
    <cellStyle name="20% - Accent3 4 5 2 2 2 2 2 2" xfId="23277" xr:uid="{00000000-0005-0000-0000-000016210000}"/>
    <cellStyle name="20% - Accent3 4 5 2 2 2 2 2 2 2" xfId="45879" xr:uid="{00000000-0005-0000-0000-000017210000}"/>
    <cellStyle name="20% - Accent3 4 5 2 2 2 2 2 3" xfId="34578" xr:uid="{00000000-0005-0000-0000-000018210000}"/>
    <cellStyle name="20% - Accent3 4 5 2 2 2 2 3" xfId="17627" xr:uid="{00000000-0005-0000-0000-000019210000}"/>
    <cellStyle name="20% - Accent3 4 5 2 2 2 2 3 2" xfId="40229" xr:uid="{00000000-0005-0000-0000-00001A210000}"/>
    <cellStyle name="20% - Accent3 4 5 2 2 2 2 4" xfId="28928" xr:uid="{00000000-0005-0000-0000-00001B210000}"/>
    <cellStyle name="20% - Accent3 4 5 2 2 2 3" xfId="9144" xr:uid="{00000000-0005-0000-0000-00001C210000}"/>
    <cellStyle name="20% - Accent3 4 5 2 2 2 3 2" xfId="20445" xr:uid="{00000000-0005-0000-0000-00001D210000}"/>
    <cellStyle name="20% - Accent3 4 5 2 2 2 3 2 2" xfId="43047" xr:uid="{00000000-0005-0000-0000-00001E210000}"/>
    <cellStyle name="20% - Accent3 4 5 2 2 2 3 3" xfId="31746" xr:uid="{00000000-0005-0000-0000-00001F210000}"/>
    <cellStyle name="20% - Accent3 4 5 2 2 2 4" xfId="14795" xr:uid="{00000000-0005-0000-0000-000020210000}"/>
    <cellStyle name="20% - Accent3 4 5 2 2 2 4 2" xfId="37397" xr:uid="{00000000-0005-0000-0000-000021210000}"/>
    <cellStyle name="20% - Accent3 4 5 2 2 2 5" xfId="26096" xr:uid="{00000000-0005-0000-0000-000022210000}"/>
    <cellStyle name="20% - Accent3 4 5 2 2 3" xfId="5092" xr:uid="{00000000-0005-0000-0000-000023210000}"/>
    <cellStyle name="20% - Accent3 4 5 2 2 3 2" xfId="10742" xr:uid="{00000000-0005-0000-0000-000024210000}"/>
    <cellStyle name="20% - Accent3 4 5 2 2 3 2 2" xfId="22043" xr:uid="{00000000-0005-0000-0000-000025210000}"/>
    <cellStyle name="20% - Accent3 4 5 2 2 3 2 2 2" xfId="44645" xr:uid="{00000000-0005-0000-0000-000026210000}"/>
    <cellStyle name="20% - Accent3 4 5 2 2 3 2 3" xfId="33344" xr:uid="{00000000-0005-0000-0000-000027210000}"/>
    <cellStyle name="20% - Accent3 4 5 2 2 3 3" xfId="16393" xr:uid="{00000000-0005-0000-0000-000028210000}"/>
    <cellStyle name="20% - Accent3 4 5 2 2 3 3 2" xfId="38995" xr:uid="{00000000-0005-0000-0000-000029210000}"/>
    <cellStyle name="20% - Accent3 4 5 2 2 3 4" xfId="27694" xr:uid="{00000000-0005-0000-0000-00002A210000}"/>
    <cellStyle name="20% - Accent3 4 5 2 2 4" xfId="7514" xr:uid="{00000000-0005-0000-0000-00002B210000}"/>
    <cellStyle name="20% - Accent3 4 5 2 2 4 2" xfId="18815" xr:uid="{00000000-0005-0000-0000-00002C210000}"/>
    <cellStyle name="20% - Accent3 4 5 2 2 4 2 2" xfId="41417" xr:uid="{00000000-0005-0000-0000-00002D210000}"/>
    <cellStyle name="20% - Accent3 4 5 2 2 4 3" xfId="30116" xr:uid="{00000000-0005-0000-0000-00002E210000}"/>
    <cellStyle name="20% - Accent3 4 5 2 2 5" xfId="13165" xr:uid="{00000000-0005-0000-0000-00002F210000}"/>
    <cellStyle name="20% - Accent3 4 5 2 2 5 2" xfId="35767" xr:uid="{00000000-0005-0000-0000-000030210000}"/>
    <cellStyle name="20% - Accent3 4 5 2 2 6" xfId="24466" xr:uid="{00000000-0005-0000-0000-000031210000}"/>
    <cellStyle name="20% - Accent3 4 5 2 3" xfId="2683" xr:uid="{00000000-0005-0000-0000-000032210000}"/>
    <cellStyle name="20% - Accent3 4 5 2 3 2" xfId="5702" xr:uid="{00000000-0005-0000-0000-000033210000}"/>
    <cellStyle name="20% - Accent3 4 5 2 3 2 2" xfId="11352" xr:uid="{00000000-0005-0000-0000-000034210000}"/>
    <cellStyle name="20% - Accent3 4 5 2 3 2 2 2" xfId="22653" xr:uid="{00000000-0005-0000-0000-000035210000}"/>
    <cellStyle name="20% - Accent3 4 5 2 3 2 2 2 2" xfId="45255" xr:uid="{00000000-0005-0000-0000-000036210000}"/>
    <cellStyle name="20% - Accent3 4 5 2 3 2 2 3" xfId="33954" xr:uid="{00000000-0005-0000-0000-000037210000}"/>
    <cellStyle name="20% - Accent3 4 5 2 3 2 3" xfId="17003" xr:uid="{00000000-0005-0000-0000-000038210000}"/>
    <cellStyle name="20% - Accent3 4 5 2 3 2 3 2" xfId="39605" xr:uid="{00000000-0005-0000-0000-000039210000}"/>
    <cellStyle name="20% - Accent3 4 5 2 3 2 4" xfId="28304" xr:uid="{00000000-0005-0000-0000-00003A210000}"/>
    <cellStyle name="20% - Accent3 4 5 2 3 3" xfId="8519" xr:uid="{00000000-0005-0000-0000-00003B210000}"/>
    <cellStyle name="20% - Accent3 4 5 2 3 3 2" xfId="19820" xr:uid="{00000000-0005-0000-0000-00003C210000}"/>
    <cellStyle name="20% - Accent3 4 5 2 3 3 2 2" xfId="42422" xr:uid="{00000000-0005-0000-0000-00003D210000}"/>
    <cellStyle name="20% - Accent3 4 5 2 3 3 3" xfId="31121" xr:uid="{00000000-0005-0000-0000-00003E210000}"/>
    <cellStyle name="20% - Accent3 4 5 2 3 4" xfId="14170" xr:uid="{00000000-0005-0000-0000-00003F210000}"/>
    <cellStyle name="20% - Accent3 4 5 2 3 4 2" xfId="36772" xr:uid="{00000000-0005-0000-0000-000040210000}"/>
    <cellStyle name="20% - Accent3 4 5 2 3 5" xfId="25471" xr:uid="{00000000-0005-0000-0000-000041210000}"/>
    <cellStyle name="20% - Accent3 4 5 2 4" xfId="4468" xr:uid="{00000000-0005-0000-0000-000042210000}"/>
    <cellStyle name="20% - Accent3 4 5 2 4 2" xfId="10118" xr:uid="{00000000-0005-0000-0000-000043210000}"/>
    <cellStyle name="20% - Accent3 4 5 2 4 2 2" xfId="21419" xr:uid="{00000000-0005-0000-0000-000044210000}"/>
    <cellStyle name="20% - Accent3 4 5 2 4 2 2 2" xfId="44021" xr:uid="{00000000-0005-0000-0000-000045210000}"/>
    <cellStyle name="20% - Accent3 4 5 2 4 2 3" xfId="32720" xr:uid="{00000000-0005-0000-0000-000046210000}"/>
    <cellStyle name="20% - Accent3 4 5 2 4 3" xfId="15769" xr:uid="{00000000-0005-0000-0000-000047210000}"/>
    <cellStyle name="20% - Accent3 4 5 2 4 3 2" xfId="38371" xr:uid="{00000000-0005-0000-0000-000048210000}"/>
    <cellStyle name="20% - Accent3 4 5 2 4 4" xfId="27070" xr:uid="{00000000-0005-0000-0000-000049210000}"/>
    <cellStyle name="20% - Accent3 4 5 2 5" xfId="7264" xr:uid="{00000000-0005-0000-0000-00004A210000}"/>
    <cellStyle name="20% - Accent3 4 5 2 5 2" xfId="18565" xr:uid="{00000000-0005-0000-0000-00004B210000}"/>
    <cellStyle name="20% - Accent3 4 5 2 5 2 2" xfId="41167" xr:uid="{00000000-0005-0000-0000-00004C210000}"/>
    <cellStyle name="20% - Accent3 4 5 2 5 3" xfId="29866" xr:uid="{00000000-0005-0000-0000-00004D210000}"/>
    <cellStyle name="20% - Accent3 4 5 2 6" xfId="12915" xr:uid="{00000000-0005-0000-0000-00004E210000}"/>
    <cellStyle name="20% - Accent3 4 5 2 6 2" xfId="35517" xr:uid="{00000000-0005-0000-0000-00004F210000}"/>
    <cellStyle name="20% - Accent3 4 5 2 7" xfId="24216" xr:uid="{00000000-0005-0000-0000-000050210000}"/>
    <cellStyle name="20% - Accent3 4 5 3" xfId="983" xr:uid="{00000000-0005-0000-0000-000051210000}"/>
    <cellStyle name="20% - Accent3 4 5 3 2" xfId="3046" xr:uid="{00000000-0005-0000-0000-000052210000}"/>
    <cellStyle name="20% - Accent3 4 5 3 2 2" xfId="6018" xr:uid="{00000000-0005-0000-0000-000053210000}"/>
    <cellStyle name="20% - Accent3 4 5 3 2 2 2" xfId="11668" xr:uid="{00000000-0005-0000-0000-000054210000}"/>
    <cellStyle name="20% - Accent3 4 5 3 2 2 2 2" xfId="22969" xr:uid="{00000000-0005-0000-0000-000055210000}"/>
    <cellStyle name="20% - Accent3 4 5 3 2 2 2 2 2" xfId="45571" xr:uid="{00000000-0005-0000-0000-000056210000}"/>
    <cellStyle name="20% - Accent3 4 5 3 2 2 2 3" xfId="34270" xr:uid="{00000000-0005-0000-0000-000057210000}"/>
    <cellStyle name="20% - Accent3 4 5 3 2 2 3" xfId="17319" xr:uid="{00000000-0005-0000-0000-000058210000}"/>
    <cellStyle name="20% - Accent3 4 5 3 2 2 3 2" xfId="39921" xr:uid="{00000000-0005-0000-0000-000059210000}"/>
    <cellStyle name="20% - Accent3 4 5 3 2 2 4" xfId="28620" xr:uid="{00000000-0005-0000-0000-00005A210000}"/>
    <cellStyle name="20% - Accent3 4 5 3 2 3" xfId="8836" xr:uid="{00000000-0005-0000-0000-00005B210000}"/>
    <cellStyle name="20% - Accent3 4 5 3 2 3 2" xfId="20137" xr:uid="{00000000-0005-0000-0000-00005C210000}"/>
    <cellStyle name="20% - Accent3 4 5 3 2 3 2 2" xfId="42739" xr:uid="{00000000-0005-0000-0000-00005D210000}"/>
    <cellStyle name="20% - Accent3 4 5 3 2 3 3" xfId="31438" xr:uid="{00000000-0005-0000-0000-00005E210000}"/>
    <cellStyle name="20% - Accent3 4 5 3 2 4" xfId="14487" xr:uid="{00000000-0005-0000-0000-00005F210000}"/>
    <cellStyle name="20% - Accent3 4 5 3 2 4 2" xfId="37089" xr:uid="{00000000-0005-0000-0000-000060210000}"/>
    <cellStyle name="20% - Accent3 4 5 3 2 5" xfId="25788" xr:uid="{00000000-0005-0000-0000-000061210000}"/>
    <cellStyle name="20% - Accent3 4 5 3 3" xfId="4784" xr:uid="{00000000-0005-0000-0000-000062210000}"/>
    <cellStyle name="20% - Accent3 4 5 3 3 2" xfId="10434" xr:uid="{00000000-0005-0000-0000-000063210000}"/>
    <cellStyle name="20% - Accent3 4 5 3 3 2 2" xfId="21735" xr:uid="{00000000-0005-0000-0000-000064210000}"/>
    <cellStyle name="20% - Accent3 4 5 3 3 2 2 2" xfId="44337" xr:uid="{00000000-0005-0000-0000-000065210000}"/>
    <cellStyle name="20% - Accent3 4 5 3 3 2 3" xfId="33036" xr:uid="{00000000-0005-0000-0000-000066210000}"/>
    <cellStyle name="20% - Accent3 4 5 3 3 3" xfId="16085" xr:uid="{00000000-0005-0000-0000-000067210000}"/>
    <cellStyle name="20% - Accent3 4 5 3 3 3 2" xfId="38687" xr:uid="{00000000-0005-0000-0000-000068210000}"/>
    <cellStyle name="20% - Accent3 4 5 3 3 4" xfId="27386" xr:uid="{00000000-0005-0000-0000-000069210000}"/>
    <cellStyle name="20% - Accent3 4 5 3 4" xfId="6971" xr:uid="{00000000-0005-0000-0000-00006A210000}"/>
    <cellStyle name="20% - Accent3 4 5 3 4 2" xfId="18272" xr:uid="{00000000-0005-0000-0000-00006B210000}"/>
    <cellStyle name="20% - Accent3 4 5 3 4 2 2" xfId="40874" xr:uid="{00000000-0005-0000-0000-00006C210000}"/>
    <cellStyle name="20% - Accent3 4 5 3 4 3" xfId="29573" xr:uid="{00000000-0005-0000-0000-00006D210000}"/>
    <cellStyle name="20% - Accent3 4 5 3 5" xfId="12622" xr:uid="{00000000-0005-0000-0000-00006E210000}"/>
    <cellStyle name="20% - Accent3 4 5 3 5 2" xfId="35224" xr:uid="{00000000-0005-0000-0000-00006F210000}"/>
    <cellStyle name="20% - Accent3 4 5 3 6" xfId="23923" xr:uid="{00000000-0005-0000-0000-000070210000}"/>
    <cellStyle name="20% - Accent3 4 5 4" xfId="1657" xr:uid="{00000000-0005-0000-0000-000071210000}"/>
    <cellStyle name="20% - Accent3 4 5 4 2" xfId="3623" xr:uid="{00000000-0005-0000-0000-000072210000}"/>
    <cellStyle name="20% - Accent3 4 5 4 2 2" xfId="9336" xr:uid="{00000000-0005-0000-0000-000073210000}"/>
    <cellStyle name="20% - Accent3 4 5 4 2 2 2" xfId="20637" xr:uid="{00000000-0005-0000-0000-000074210000}"/>
    <cellStyle name="20% - Accent3 4 5 4 2 2 2 2" xfId="43239" xr:uid="{00000000-0005-0000-0000-000075210000}"/>
    <cellStyle name="20% - Accent3 4 5 4 2 2 3" xfId="31938" xr:uid="{00000000-0005-0000-0000-000076210000}"/>
    <cellStyle name="20% - Accent3 4 5 4 2 3" xfId="14987" xr:uid="{00000000-0005-0000-0000-000077210000}"/>
    <cellStyle name="20% - Accent3 4 5 4 2 3 2" xfId="37589" xr:uid="{00000000-0005-0000-0000-000078210000}"/>
    <cellStyle name="20% - Accent3 4 5 4 2 4" xfId="26288" xr:uid="{00000000-0005-0000-0000-000079210000}"/>
    <cellStyle name="20% - Accent3 4 5 4 3" xfId="5394" xr:uid="{00000000-0005-0000-0000-00007A210000}"/>
    <cellStyle name="20% - Accent3 4 5 4 3 2" xfId="11044" xr:uid="{00000000-0005-0000-0000-00007B210000}"/>
    <cellStyle name="20% - Accent3 4 5 4 3 2 2" xfId="22345" xr:uid="{00000000-0005-0000-0000-00007C210000}"/>
    <cellStyle name="20% - Accent3 4 5 4 3 2 2 2" xfId="44947" xr:uid="{00000000-0005-0000-0000-00007D210000}"/>
    <cellStyle name="20% - Accent3 4 5 4 3 2 3" xfId="33646" xr:uid="{00000000-0005-0000-0000-00007E210000}"/>
    <cellStyle name="20% - Accent3 4 5 4 3 3" xfId="16695" xr:uid="{00000000-0005-0000-0000-00007F210000}"/>
    <cellStyle name="20% - Accent3 4 5 4 3 3 2" xfId="39297" xr:uid="{00000000-0005-0000-0000-000080210000}"/>
    <cellStyle name="20% - Accent3 4 5 4 3 4" xfId="27996" xr:uid="{00000000-0005-0000-0000-000081210000}"/>
    <cellStyle name="20% - Accent3 4 5 4 4" xfId="7513" xr:uid="{00000000-0005-0000-0000-000082210000}"/>
    <cellStyle name="20% - Accent3 4 5 4 4 2" xfId="18814" xr:uid="{00000000-0005-0000-0000-000083210000}"/>
    <cellStyle name="20% - Accent3 4 5 4 4 2 2" xfId="41416" xr:uid="{00000000-0005-0000-0000-000084210000}"/>
    <cellStyle name="20% - Accent3 4 5 4 4 3" xfId="30115" xr:uid="{00000000-0005-0000-0000-000085210000}"/>
    <cellStyle name="20% - Accent3 4 5 4 5" xfId="13164" xr:uid="{00000000-0005-0000-0000-000086210000}"/>
    <cellStyle name="20% - Accent3 4 5 4 5 2" xfId="35766" xr:uid="{00000000-0005-0000-0000-000087210000}"/>
    <cellStyle name="20% - Accent3 4 5 4 6" xfId="24465" xr:uid="{00000000-0005-0000-0000-000088210000}"/>
    <cellStyle name="20% - Accent3 4 5 5" xfId="2375" xr:uid="{00000000-0005-0000-0000-000089210000}"/>
    <cellStyle name="20% - Accent3 4 5 5 2" xfId="8211" xr:uid="{00000000-0005-0000-0000-00008A210000}"/>
    <cellStyle name="20% - Accent3 4 5 5 2 2" xfId="19512" xr:uid="{00000000-0005-0000-0000-00008B210000}"/>
    <cellStyle name="20% - Accent3 4 5 5 2 2 2" xfId="42114" xr:uid="{00000000-0005-0000-0000-00008C210000}"/>
    <cellStyle name="20% - Accent3 4 5 5 2 3" xfId="30813" xr:uid="{00000000-0005-0000-0000-00008D210000}"/>
    <cellStyle name="20% - Accent3 4 5 5 3" xfId="13862" xr:uid="{00000000-0005-0000-0000-00008E210000}"/>
    <cellStyle name="20% - Accent3 4 5 5 3 2" xfId="36464" xr:uid="{00000000-0005-0000-0000-00008F210000}"/>
    <cellStyle name="20% - Accent3 4 5 5 4" xfId="25163" xr:uid="{00000000-0005-0000-0000-000090210000}"/>
    <cellStyle name="20% - Accent3 4 5 6" xfId="4160" xr:uid="{00000000-0005-0000-0000-000091210000}"/>
    <cellStyle name="20% - Accent3 4 5 6 2" xfId="9810" xr:uid="{00000000-0005-0000-0000-000092210000}"/>
    <cellStyle name="20% - Accent3 4 5 6 2 2" xfId="21111" xr:uid="{00000000-0005-0000-0000-000093210000}"/>
    <cellStyle name="20% - Accent3 4 5 6 2 2 2" xfId="43713" xr:uid="{00000000-0005-0000-0000-000094210000}"/>
    <cellStyle name="20% - Accent3 4 5 6 2 3" xfId="32412" xr:uid="{00000000-0005-0000-0000-000095210000}"/>
    <cellStyle name="20% - Accent3 4 5 6 3" xfId="15461" xr:uid="{00000000-0005-0000-0000-000096210000}"/>
    <cellStyle name="20% - Accent3 4 5 6 3 2" xfId="38063" xr:uid="{00000000-0005-0000-0000-000097210000}"/>
    <cellStyle name="20% - Accent3 4 5 6 4" xfId="26762" xr:uid="{00000000-0005-0000-0000-000098210000}"/>
    <cellStyle name="20% - Accent3 4 5 7" xfId="6611" xr:uid="{00000000-0005-0000-0000-000099210000}"/>
    <cellStyle name="20% - Accent3 4 5 7 2" xfId="17912" xr:uid="{00000000-0005-0000-0000-00009A210000}"/>
    <cellStyle name="20% - Accent3 4 5 7 2 2" xfId="40514" xr:uid="{00000000-0005-0000-0000-00009B210000}"/>
    <cellStyle name="20% - Accent3 4 5 7 3" xfId="29213" xr:uid="{00000000-0005-0000-0000-00009C210000}"/>
    <cellStyle name="20% - Accent3 4 5 8" xfId="12262" xr:uid="{00000000-0005-0000-0000-00009D210000}"/>
    <cellStyle name="20% - Accent3 4 5 8 2" xfId="34864" xr:uid="{00000000-0005-0000-0000-00009E210000}"/>
    <cellStyle name="20% - Accent3 4 5 9" xfId="23563" xr:uid="{00000000-0005-0000-0000-00009F210000}"/>
    <cellStyle name="20% - Accent3 4 6" xfId="1118" xr:uid="{00000000-0005-0000-0000-0000A0210000}"/>
    <cellStyle name="20% - Accent3 4 6 2" xfId="1659" xr:uid="{00000000-0005-0000-0000-0000A1210000}"/>
    <cellStyle name="20% - Accent3 4 6 2 2" xfId="3185" xr:uid="{00000000-0005-0000-0000-0000A2210000}"/>
    <cellStyle name="20% - Accent3 4 6 2 2 2" xfId="6157" xr:uid="{00000000-0005-0000-0000-0000A3210000}"/>
    <cellStyle name="20% - Accent3 4 6 2 2 2 2" xfId="11807" xr:uid="{00000000-0005-0000-0000-0000A4210000}"/>
    <cellStyle name="20% - Accent3 4 6 2 2 2 2 2" xfId="23108" xr:uid="{00000000-0005-0000-0000-0000A5210000}"/>
    <cellStyle name="20% - Accent3 4 6 2 2 2 2 2 2" xfId="45710" xr:uid="{00000000-0005-0000-0000-0000A6210000}"/>
    <cellStyle name="20% - Accent3 4 6 2 2 2 2 3" xfId="34409" xr:uid="{00000000-0005-0000-0000-0000A7210000}"/>
    <cellStyle name="20% - Accent3 4 6 2 2 2 3" xfId="17458" xr:uid="{00000000-0005-0000-0000-0000A8210000}"/>
    <cellStyle name="20% - Accent3 4 6 2 2 2 3 2" xfId="40060" xr:uid="{00000000-0005-0000-0000-0000A9210000}"/>
    <cellStyle name="20% - Accent3 4 6 2 2 2 4" xfId="28759" xr:uid="{00000000-0005-0000-0000-0000AA210000}"/>
    <cellStyle name="20% - Accent3 4 6 2 2 3" xfId="8975" xr:uid="{00000000-0005-0000-0000-0000AB210000}"/>
    <cellStyle name="20% - Accent3 4 6 2 2 3 2" xfId="20276" xr:uid="{00000000-0005-0000-0000-0000AC210000}"/>
    <cellStyle name="20% - Accent3 4 6 2 2 3 2 2" xfId="42878" xr:uid="{00000000-0005-0000-0000-0000AD210000}"/>
    <cellStyle name="20% - Accent3 4 6 2 2 3 3" xfId="31577" xr:uid="{00000000-0005-0000-0000-0000AE210000}"/>
    <cellStyle name="20% - Accent3 4 6 2 2 4" xfId="14626" xr:uid="{00000000-0005-0000-0000-0000AF210000}"/>
    <cellStyle name="20% - Accent3 4 6 2 2 4 2" xfId="37228" xr:uid="{00000000-0005-0000-0000-0000B0210000}"/>
    <cellStyle name="20% - Accent3 4 6 2 2 5" xfId="25927" xr:uid="{00000000-0005-0000-0000-0000B1210000}"/>
    <cellStyle name="20% - Accent3 4 6 2 3" xfId="4923" xr:uid="{00000000-0005-0000-0000-0000B2210000}"/>
    <cellStyle name="20% - Accent3 4 6 2 3 2" xfId="10573" xr:uid="{00000000-0005-0000-0000-0000B3210000}"/>
    <cellStyle name="20% - Accent3 4 6 2 3 2 2" xfId="21874" xr:uid="{00000000-0005-0000-0000-0000B4210000}"/>
    <cellStyle name="20% - Accent3 4 6 2 3 2 2 2" xfId="44476" xr:uid="{00000000-0005-0000-0000-0000B5210000}"/>
    <cellStyle name="20% - Accent3 4 6 2 3 2 3" xfId="33175" xr:uid="{00000000-0005-0000-0000-0000B6210000}"/>
    <cellStyle name="20% - Accent3 4 6 2 3 3" xfId="16224" xr:uid="{00000000-0005-0000-0000-0000B7210000}"/>
    <cellStyle name="20% - Accent3 4 6 2 3 3 2" xfId="38826" xr:uid="{00000000-0005-0000-0000-0000B8210000}"/>
    <cellStyle name="20% - Accent3 4 6 2 3 4" xfId="27525" xr:uid="{00000000-0005-0000-0000-0000B9210000}"/>
    <cellStyle name="20% - Accent3 4 6 2 4" xfId="7515" xr:uid="{00000000-0005-0000-0000-0000BA210000}"/>
    <cellStyle name="20% - Accent3 4 6 2 4 2" xfId="18816" xr:uid="{00000000-0005-0000-0000-0000BB210000}"/>
    <cellStyle name="20% - Accent3 4 6 2 4 2 2" xfId="41418" xr:uid="{00000000-0005-0000-0000-0000BC210000}"/>
    <cellStyle name="20% - Accent3 4 6 2 4 3" xfId="30117" xr:uid="{00000000-0005-0000-0000-0000BD210000}"/>
    <cellStyle name="20% - Accent3 4 6 2 5" xfId="13166" xr:uid="{00000000-0005-0000-0000-0000BE210000}"/>
    <cellStyle name="20% - Accent3 4 6 2 5 2" xfId="35768" xr:uid="{00000000-0005-0000-0000-0000BF210000}"/>
    <cellStyle name="20% - Accent3 4 6 2 6" xfId="24467" xr:uid="{00000000-0005-0000-0000-0000C0210000}"/>
    <cellStyle name="20% - Accent3 4 6 3" xfId="2514" xr:uid="{00000000-0005-0000-0000-0000C1210000}"/>
    <cellStyle name="20% - Accent3 4 6 3 2" xfId="5533" xr:uid="{00000000-0005-0000-0000-0000C2210000}"/>
    <cellStyle name="20% - Accent3 4 6 3 2 2" xfId="11183" xr:uid="{00000000-0005-0000-0000-0000C3210000}"/>
    <cellStyle name="20% - Accent3 4 6 3 2 2 2" xfId="22484" xr:uid="{00000000-0005-0000-0000-0000C4210000}"/>
    <cellStyle name="20% - Accent3 4 6 3 2 2 2 2" xfId="45086" xr:uid="{00000000-0005-0000-0000-0000C5210000}"/>
    <cellStyle name="20% - Accent3 4 6 3 2 2 3" xfId="33785" xr:uid="{00000000-0005-0000-0000-0000C6210000}"/>
    <cellStyle name="20% - Accent3 4 6 3 2 3" xfId="16834" xr:uid="{00000000-0005-0000-0000-0000C7210000}"/>
    <cellStyle name="20% - Accent3 4 6 3 2 3 2" xfId="39436" xr:uid="{00000000-0005-0000-0000-0000C8210000}"/>
    <cellStyle name="20% - Accent3 4 6 3 2 4" xfId="28135" xr:uid="{00000000-0005-0000-0000-0000C9210000}"/>
    <cellStyle name="20% - Accent3 4 6 3 3" xfId="8350" xr:uid="{00000000-0005-0000-0000-0000CA210000}"/>
    <cellStyle name="20% - Accent3 4 6 3 3 2" xfId="19651" xr:uid="{00000000-0005-0000-0000-0000CB210000}"/>
    <cellStyle name="20% - Accent3 4 6 3 3 2 2" xfId="42253" xr:uid="{00000000-0005-0000-0000-0000CC210000}"/>
    <cellStyle name="20% - Accent3 4 6 3 3 3" xfId="30952" xr:uid="{00000000-0005-0000-0000-0000CD210000}"/>
    <cellStyle name="20% - Accent3 4 6 3 4" xfId="14001" xr:uid="{00000000-0005-0000-0000-0000CE210000}"/>
    <cellStyle name="20% - Accent3 4 6 3 4 2" xfId="36603" xr:uid="{00000000-0005-0000-0000-0000CF210000}"/>
    <cellStyle name="20% - Accent3 4 6 3 5" xfId="25302" xr:uid="{00000000-0005-0000-0000-0000D0210000}"/>
    <cellStyle name="20% - Accent3 4 6 4" xfId="4299" xr:uid="{00000000-0005-0000-0000-0000D1210000}"/>
    <cellStyle name="20% - Accent3 4 6 4 2" xfId="9949" xr:uid="{00000000-0005-0000-0000-0000D2210000}"/>
    <cellStyle name="20% - Accent3 4 6 4 2 2" xfId="21250" xr:uid="{00000000-0005-0000-0000-0000D3210000}"/>
    <cellStyle name="20% - Accent3 4 6 4 2 2 2" xfId="43852" xr:uid="{00000000-0005-0000-0000-0000D4210000}"/>
    <cellStyle name="20% - Accent3 4 6 4 2 3" xfId="32551" xr:uid="{00000000-0005-0000-0000-0000D5210000}"/>
    <cellStyle name="20% - Accent3 4 6 4 3" xfId="15600" xr:uid="{00000000-0005-0000-0000-0000D6210000}"/>
    <cellStyle name="20% - Accent3 4 6 4 3 2" xfId="38202" xr:uid="{00000000-0005-0000-0000-0000D7210000}"/>
    <cellStyle name="20% - Accent3 4 6 4 4" xfId="26901" xr:uid="{00000000-0005-0000-0000-0000D8210000}"/>
    <cellStyle name="20% - Accent3 4 6 5" xfId="7097" xr:uid="{00000000-0005-0000-0000-0000D9210000}"/>
    <cellStyle name="20% - Accent3 4 6 5 2" xfId="18398" xr:uid="{00000000-0005-0000-0000-0000DA210000}"/>
    <cellStyle name="20% - Accent3 4 6 5 2 2" xfId="41000" xr:uid="{00000000-0005-0000-0000-0000DB210000}"/>
    <cellStyle name="20% - Accent3 4 6 5 3" xfId="29699" xr:uid="{00000000-0005-0000-0000-0000DC210000}"/>
    <cellStyle name="20% - Accent3 4 6 6" xfId="12748" xr:uid="{00000000-0005-0000-0000-0000DD210000}"/>
    <cellStyle name="20% - Accent3 4 6 6 2" xfId="35350" xr:uid="{00000000-0005-0000-0000-0000DE210000}"/>
    <cellStyle name="20% - Accent3 4 6 7" xfId="24049" xr:uid="{00000000-0005-0000-0000-0000DF210000}"/>
    <cellStyle name="20% - Accent3 4 7" xfId="782" xr:uid="{00000000-0005-0000-0000-0000E0210000}"/>
    <cellStyle name="20% - Accent3 4 7 2" xfId="2879" xr:uid="{00000000-0005-0000-0000-0000E1210000}"/>
    <cellStyle name="20% - Accent3 4 7 2 2" xfId="5851" xr:uid="{00000000-0005-0000-0000-0000E2210000}"/>
    <cellStyle name="20% - Accent3 4 7 2 2 2" xfId="11501" xr:uid="{00000000-0005-0000-0000-0000E3210000}"/>
    <cellStyle name="20% - Accent3 4 7 2 2 2 2" xfId="22802" xr:uid="{00000000-0005-0000-0000-0000E4210000}"/>
    <cellStyle name="20% - Accent3 4 7 2 2 2 2 2" xfId="45404" xr:uid="{00000000-0005-0000-0000-0000E5210000}"/>
    <cellStyle name="20% - Accent3 4 7 2 2 2 3" xfId="34103" xr:uid="{00000000-0005-0000-0000-0000E6210000}"/>
    <cellStyle name="20% - Accent3 4 7 2 2 3" xfId="17152" xr:uid="{00000000-0005-0000-0000-0000E7210000}"/>
    <cellStyle name="20% - Accent3 4 7 2 2 3 2" xfId="39754" xr:uid="{00000000-0005-0000-0000-0000E8210000}"/>
    <cellStyle name="20% - Accent3 4 7 2 2 4" xfId="28453" xr:uid="{00000000-0005-0000-0000-0000E9210000}"/>
    <cellStyle name="20% - Accent3 4 7 2 3" xfId="8669" xr:uid="{00000000-0005-0000-0000-0000EA210000}"/>
    <cellStyle name="20% - Accent3 4 7 2 3 2" xfId="19970" xr:uid="{00000000-0005-0000-0000-0000EB210000}"/>
    <cellStyle name="20% - Accent3 4 7 2 3 2 2" xfId="42572" xr:uid="{00000000-0005-0000-0000-0000EC210000}"/>
    <cellStyle name="20% - Accent3 4 7 2 3 3" xfId="31271" xr:uid="{00000000-0005-0000-0000-0000ED210000}"/>
    <cellStyle name="20% - Accent3 4 7 2 4" xfId="14320" xr:uid="{00000000-0005-0000-0000-0000EE210000}"/>
    <cellStyle name="20% - Accent3 4 7 2 4 2" xfId="36922" xr:uid="{00000000-0005-0000-0000-0000EF210000}"/>
    <cellStyle name="20% - Accent3 4 7 2 5" xfId="25621" xr:uid="{00000000-0005-0000-0000-0000F0210000}"/>
    <cellStyle name="20% - Accent3 4 7 3" xfId="4617" xr:uid="{00000000-0005-0000-0000-0000F1210000}"/>
    <cellStyle name="20% - Accent3 4 7 3 2" xfId="10267" xr:uid="{00000000-0005-0000-0000-0000F2210000}"/>
    <cellStyle name="20% - Accent3 4 7 3 2 2" xfId="21568" xr:uid="{00000000-0005-0000-0000-0000F3210000}"/>
    <cellStyle name="20% - Accent3 4 7 3 2 2 2" xfId="44170" xr:uid="{00000000-0005-0000-0000-0000F4210000}"/>
    <cellStyle name="20% - Accent3 4 7 3 2 3" xfId="32869" xr:uid="{00000000-0005-0000-0000-0000F5210000}"/>
    <cellStyle name="20% - Accent3 4 7 3 3" xfId="15918" xr:uid="{00000000-0005-0000-0000-0000F6210000}"/>
    <cellStyle name="20% - Accent3 4 7 3 3 2" xfId="38520" xr:uid="{00000000-0005-0000-0000-0000F7210000}"/>
    <cellStyle name="20% - Accent3 4 7 3 4" xfId="27219" xr:uid="{00000000-0005-0000-0000-0000F8210000}"/>
    <cellStyle name="20% - Accent3 4 7 4" xfId="6799" xr:uid="{00000000-0005-0000-0000-0000F9210000}"/>
    <cellStyle name="20% - Accent3 4 7 4 2" xfId="18100" xr:uid="{00000000-0005-0000-0000-0000FA210000}"/>
    <cellStyle name="20% - Accent3 4 7 4 2 2" xfId="40702" xr:uid="{00000000-0005-0000-0000-0000FB210000}"/>
    <cellStyle name="20% - Accent3 4 7 4 3" xfId="29401" xr:uid="{00000000-0005-0000-0000-0000FC210000}"/>
    <cellStyle name="20% - Accent3 4 7 5" xfId="12450" xr:uid="{00000000-0005-0000-0000-0000FD210000}"/>
    <cellStyle name="20% - Accent3 4 7 5 2" xfId="35052" xr:uid="{00000000-0005-0000-0000-0000FE210000}"/>
    <cellStyle name="20% - Accent3 4 7 6" xfId="23751" xr:uid="{00000000-0005-0000-0000-0000FF210000}"/>
    <cellStyle name="20% - Accent3 4 8" xfId="1646" xr:uid="{00000000-0005-0000-0000-000000220000}"/>
    <cellStyle name="20% - Accent3 4 8 2" xfId="3617" xr:uid="{00000000-0005-0000-0000-000001220000}"/>
    <cellStyle name="20% - Accent3 4 8 2 2" xfId="9330" xr:uid="{00000000-0005-0000-0000-000002220000}"/>
    <cellStyle name="20% - Accent3 4 8 2 2 2" xfId="20631" xr:uid="{00000000-0005-0000-0000-000003220000}"/>
    <cellStyle name="20% - Accent3 4 8 2 2 2 2" xfId="43233" xr:uid="{00000000-0005-0000-0000-000004220000}"/>
    <cellStyle name="20% - Accent3 4 8 2 2 3" xfId="31932" xr:uid="{00000000-0005-0000-0000-000005220000}"/>
    <cellStyle name="20% - Accent3 4 8 2 3" xfId="14981" xr:uid="{00000000-0005-0000-0000-000006220000}"/>
    <cellStyle name="20% - Accent3 4 8 2 3 2" xfId="37583" xr:uid="{00000000-0005-0000-0000-000007220000}"/>
    <cellStyle name="20% - Accent3 4 8 2 4" xfId="26282" xr:uid="{00000000-0005-0000-0000-000008220000}"/>
    <cellStyle name="20% - Accent3 4 8 3" xfId="5227" xr:uid="{00000000-0005-0000-0000-000009220000}"/>
    <cellStyle name="20% - Accent3 4 8 3 2" xfId="10877" xr:uid="{00000000-0005-0000-0000-00000A220000}"/>
    <cellStyle name="20% - Accent3 4 8 3 2 2" xfId="22178" xr:uid="{00000000-0005-0000-0000-00000B220000}"/>
    <cellStyle name="20% - Accent3 4 8 3 2 2 2" xfId="44780" xr:uid="{00000000-0005-0000-0000-00000C220000}"/>
    <cellStyle name="20% - Accent3 4 8 3 2 3" xfId="33479" xr:uid="{00000000-0005-0000-0000-00000D220000}"/>
    <cellStyle name="20% - Accent3 4 8 3 3" xfId="16528" xr:uid="{00000000-0005-0000-0000-00000E220000}"/>
    <cellStyle name="20% - Accent3 4 8 3 3 2" xfId="39130" xr:uid="{00000000-0005-0000-0000-00000F220000}"/>
    <cellStyle name="20% - Accent3 4 8 3 4" xfId="27829" xr:uid="{00000000-0005-0000-0000-000010220000}"/>
    <cellStyle name="20% - Accent3 4 8 4" xfId="7502" xr:uid="{00000000-0005-0000-0000-000011220000}"/>
    <cellStyle name="20% - Accent3 4 8 4 2" xfId="18803" xr:uid="{00000000-0005-0000-0000-000012220000}"/>
    <cellStyle name="20% - Accent3 4 8 4 2 2" xfId="41405" xr:uid="{00000000-0005-0000-0000-000013220000}"/>
    <cellStyle name="20% - Accent3 4 8 4 3" xfId="30104" xr:uid="{00000000-0005-0000-0000-000014220000}"/>
    <cellStyle name="20% - Accent3 4 8 5" xfId="13153" xr:uid="{00000000-0005-0000-0000-000015220000}"/>
    <cellStyle name="20% - Accent3 4 8 5 2" xfId="35755" xr:uid="{00000000-0005-0000-0000-000016220000}"/>
    <cellStyle name="20% - Accent3 4 8 6" xfId="24454" xr:uid="{00000000-0005-0000-0000-000017220000}"/>
    <cellStyle name="20% - Accent3 4 9" xfId="2198" xr:uid="{00000000-0005-0000-0000-000018220000}"/>
    <cellStyle name="20% - Accent3 4 9 2" xfId="8041" xr:uid="{00000000-0005-0000-0000-000019220000}"/>
    <cellStyle name="20% - Accent3 4 9 2 2" xfId="19342" xr:uid="{00000000-0005-0000-0000-00001A220000}"/>
    <cellStyle name="20% - Accent3 4 9 2 2 2" xfId="41944" xr:uid="{00000000-0005-0000-0000-00001B220000}"/>
    <cellStyle name="20% - Accent3 4 9 2 3" xfId="30643" xr:uid="{00000000-0005-0000-0000-00001C220000}"/>
    <cellStyle name="20% - Accent3 4 9 3" xfId="13692" xr:uid="{00000000-0005-0000-0000-00001D220000}"/>
    <cellStyle name="20% - Accent3 4 9 3 2" xfId="36294" xr:uid="{00000000-0005-0000-0000-00001E220000}"/>
    <cellStyle name="20% - Accent3 4 9 4" xfId="24993" xr:uid="{00000000-0005-0000-0000-00001F220000}"/>
    <cellStyle name="20% - Accent3 5" xfId="270" xr:uid="{00000000-0005-0000-0000-000020220000}"/>
    <cellStyle name="20% - Accent3 5 10" xfId="12135" xr:uid="{00000000-0005-0000-0000-000021220000}"/>
    <cellStyle name="20% - Accent3 5 10 2" xfId="34737" xr:uid="{00000000-0005-0000-0000-000022220000}"/>
    <cellStyle name="20% - Accent3 5 11" xfId="23436" xr:uid="{00000000-0005-0000-0000-000023220000}"/>
    <cellStyle name="20% - Accent3 5 2" xfId="437" xr:uid="{00000000-0005-0000-0000-000024220000}"/>
    <cellStyle name="20% - Accent3 5 2 10" xfId="23532" xr:uid="{00000000-0005-0000-0000-000025220000}"/>
    <cellStyle name="20% - Accent3 5 2 2" xfId="682" xr:uid="{00000000-0005-0000-0000-000026220000}"/>
    <cellStyle name="20% - Accent3 5 2 2 2" xfId="1392" xr:uid="{00000000-0005-0000-0000-000027220000}"/>
    <cellStyle name="20% - Accent3 5 2 2 2 2" xfId="1663" xr:uid="{00000000-0005-0000-0000-000028220000}"/>
    <cellStyle name="20% - Accent3 5 2 2 2 2 2" xfId="3461" xr:uid="{00000000-0005-0000-0000-000029220000}"/>
    <cellStyle name="20% - Accent3 5 2 2 2 2 2 2" xfId="6433" xr:uid="{00000000-0005-0000-0000-00002A220000}"/>
    <cellStyle name="20% - Accent3 5 2 2 2 2 2 2 2" xfId="12083" xr:uid="{00000000-0005-0000-0000-00002B220000}"/>
    <cellStyle name="20% - Accent3 5 2 2 2 2 2 2 2 2" xfId="23384" xr:uid="{00000000-0005-0000-0000-00002C220000}"/>
    <cellStyle name="20% - Accent3 5 2 2 2 2 2 2 2 2 2" xfId="45986" xr:uid="{00000000-0005-0000-0000-00002D220000}"/>
    <cellStyle name="20% - Accent3 5 2 2 2 2 2 2 2 3" xfId="34685" xr:uid="{00000000-0005-0000-0000-00002E220000}"/>
    <cellStyle name="20% - Accent3 5 2 2 2 2 2 2 3" xfId="17734" xr:uid="{00000000-0005-0000-0000-00002F220000}"/>
    <cellStyle name="20% - Accent3 5 2 2 2 2 2 2 3 2" xfId="40336" xr:uid="{00000000-0005-0000-0000-000030220000}"/>
    <cellStyle name="20% - Accent3 5 2 2 2 2 2 2 4" xfId="29035" xr:uid="{00000000-0005-0000-0000-000031220000}"/>
    <cellStyle name="20% - Accent3 5 2 2 2 2 2 3" xfId="9251" xr:uid="{00000000-0005-0000-0000-000032220000}"/>
    <cellStyle name="20% - Accent3 5 2 2 2 2 2 3 2" xfId="20552" xr:uid="{00000000-0005-0000-0000-000033220000}"/>
    <cellStyle name="20% - Accent3 5 2 2 2 2 2 3 2 2" xfId="43154" xr:uid="{00000000-0005-0000-0000-000034220000}"/>
    <cellStyle name="20% - Accent3 5 2 2 2 2 2 3 3" xfId="31853" xr:uid="{00000000-0005-0000-0000-000035220000}"/>
    <cellStyle name="20% - Accent3 5 2 2 2 2 2 4" xfId="14902" xr:uid="{00000000-0005-0000-0000-000036220000}"/>
    <cellStyle name="20% - Accent3 5 2 2 2 2 2 4 2" xfId="37504" xr:uid="{00000000-0005-0000-0000-000037220000}"/>
    <cellStyle name="20% - Accent3 5 2 2 2 2 2 5" xfId="26203" xr:uid="{00000000-0005-0000-0000-000038220000}"/>
    <cellStyle name="20% - Accent3 5 2 2 2 2 3" xfId="5199" xr:uid="{00000000-0005-0000-0000-000039220000}"/>
    <cellStyle name="20% - Accent3 5 2 2 2 2 3 2" xfId="10849" xr:uid="{00000000-0005-0000-0000-00003A220000}"/>
    <cellStyle name="20% - Accent3 5 2 2 2 2 3 2 2" xfId="22150" xr:uid="{00000000-0005-0000-0000-00003B220000}"/>
    <cellStyle name="20% - Accent3 5 2 2 2 2 3 2 2 2" xfId="44752" xr:uid="{00000000-0005-0000-0000-00003C220000}"/>
    <cellStyle name="20% - Accent3 5 2 2 2 2 3 2 3" xfId="33451" xr:uid="{00000000-0005-0000-0000-00003D220000}"/>
    <cellStyle name="20% - Accent3 5 2 2 2 2 3 3" xfId="16500" xr:uid="{00000000-0005-0000-0000-00003E220000}"/>
    <cellStyle name="20% - Accent3 5 2 2 2 2 3 3 2" xfId="39102" xr:uid="{00000000-0005-0000-0000-00003F220000}"/>
    <cellStyle name="20% - Accent3 5 2 2 2 2 3 4" xfId="27801" xr:uid="{00000000-0005-0000-0000-000040220000}"/>
    <cellStyle name="20% - Accent3 5 2 2 2 2 4" xfId="7519" xr:uid="{00000000-0005-0000-0000-000041220000}"/>
    <cellStyle name="20% - Accent3 5 2 2 2 2 4 2" xfId="18820" xr:uid="{00000000-0005-0000-0000-000042220000}"/>
    <cellStyle name="20% - Accent3 5 2 2 2 2 4 2 2" xfId="41422" xr:uid="{00000000-0005-0000-0000-000043220000}"/>
    <cellStyle name="20% - Accent3 5 2 2 2 2 4 3" xfId="30121" xr:uid="{00000000-0005-0000-0000-000044220000}"/>
    <cellStyle name="20% - Accent3 5 2 2 2 2 5" xfId="13170" xr:uid="{00000000-0005-0000-0000-000045220000}"/>
    <cellStyle name="20% - Accent3 5 2 2 2 2 5 2" xfId="35772" xr:uid="{00000000-0005-0000-0000-000046220000}"/>
    <cellStyle name="20% - Accent3 5 2 2 2 2 6" xfId="24471" xr:uid="{00000000-0005-0000-0000-000047220000}"/>
    <cellStyle name="20% - Accent3 5 2 2 2 3" xfId="2790" xr:uid="{00000000-0005-0000-0000-000048220000}"/>
    <cellStyle name="20% - Accent3 5 2 2 2 3 2" xfId="5809" xr:uid="{00000000-0005-0000-0000-000049220000}"/>
    <cellStyle name="20% - Accent3 5 2 2 2 3 2 2" xfId="11459" xr:uid="{00000000-0005-0000-0000-00004A220000}"/>
    <cellStyle name="20% - Accent3 5 2 2 2 3 2 2 2" xfId="22760" xr:uid="{00000000-0005-0000-0000-00004B220000}"/>
    <cellStyle name="20% - Accent3 5 2 2 2 3 2 2 2 2" xfId="45362" xr:uid="{00000000-0005-0000-0000-00004C220000}"/>
    <cellStyle name="20% - Accent3 5 2 2 2 3 2 2 3" xfId="34061" xr:uid="{00000000-0005-0000-0000-00004D220000}"/>
    <cellStyle name="20% - Accent3 5 2 2 2 3 2 3" xfId="17110" xr:uid="{00000000-0005-0000-0000-00004E220000}"/>
    <cellStyle name="20% - Accent3 5 2 2 2 3 2 3 2" xfId="39712" xr:uid="{00000000-0005-0000-0000-00004F220000}"/>
    <cellStyle name="20% - Accent3 5 2 2 2 3 2 4" xfId="28411" xr:uid="{00000000-0005-0000-0000-000050220000}"/>
    <cellStyle name="20% - Accent3 5 2 2 2 3 3" xfId="8626" xr:uid="{00000000-0005-0000-0000-000051220000}"/>
    <cellStyle name="20% - Accent3 5 2 2 2 3 3 2" xfId="19927" xr:uid="{00000000-0005-0000-0000-000052220000}"/>
    <cellStyle name="20% - Accent3 5 2 2 2 3 3 2 2" xfId="42529" xr:uid="{00000000-0005-0000-0000-000053220000}"/>
    <cellStyle name="20% - Accent3 5 2 2 2 3 3 3" xfId="31228" xr:uid="{00000000-0005-0000-0000-000054220000}"/>
    <cellStyle name="20% - Accent3 5 2 2 2 3 4" xfId="14277" xr:uid="{00000000-0005-0000-0000-000055220000}"/>
    <cellStyle name="20% - Accent3 5 2 2 2 3 4 2" xfId="36879" xr:uid="{00000000-0005-0000-0000-000056220000}"/>
    <cellStyle name="20% - Accent3 5 2 2 2 3 5" xfId="25578" xr:uid="{00000000-0005-0000-0000-000057220000}"/>
    <cellStyle name="20% - Accent3 5 2 2 2 4" xfId="4575" xr:uid="{00000000-0005-0000-0000-000058220000}"/>
    <cellStyle name="20% - Accent3 5 2 2 2 4 2" xfId="10225" xr:uid="{00000000-0005-0000-0000-000059220000}"/>
    <cellStyle name="20% - Accent3 5 2 2 2 4 2 2" xfId="21526" xr:uid="{00000000-0005-0000-0000-00005A220000}"/>
    <cellStyle name="20% - Accent3 5 2 2 2 4 2 2 2" xfId="44128" xr:uid="{00000000-0005-0000-0000-00005B220000}"/>
    <cellStyle name="20% - Accent3 5 2 2 2 4 2 3" xfId="32827" xr:uid="{00000000-0005-0000-0000-00005C220000}"/>
    <cellStyle name="20% - Accent3 5 2 2 2 4 3" xfId="15876" xr:uid="{00000000-0005-0000-0000-00005D220000}"/>
    <cellStyle name="20% - Accent3 5 2 2 2 4 3 2" xfId="38478" xr:uid="{00000000-0005-0000-0000-00005E220000}"/>
    <cellStyle name="20% - Accent3 5 2 2 2 4 4" xfId="27177" xr:uid="{00000000-0005-0000-0000-00005F220000}"/>
    <cellStyle name="20% - Accent3 5 2 2 2 5" xfId="7371" xr:uid="{00000000-0005-0000-0000-000060220000}"/>
    <cellStyle name="20% - Accent3 5 2 2 2 5 2" xfId="18672" xr:uid="{00000000-0005-0000-0000-000061220000}"/>
    <cellStyle name="20% - Accent3 5 2 2 2 5 2 2" xfId="41274" xr:uid="{00000000-0005-0000-0000-000062220000}"/>
    <cellStyle name="20% - Accent3 5 2 2 2 5 3" xfId="29973" xr:uid="{00000000-0005-0000-0000-000063220000}"/>
    <cellStyle name="20% - Accent3 5 2 2 2 6" xfId="13022" xr:uid="{00000000-0005-0000-0000-000064220000}"/>
    <cellStyle name="20% - Accent3 5 2 2 2 6 2" xfId="35624" xr:uid="{00000000-0005-0000-0000-000065220000}"/>
    <cellStyle name="20% - Accent3 5 2 2 2 7" xfId="24323" xr:uid="{00000000-0005-0000-0000-000066220000}"/>
    <cellStyle name="20% - Accent3 5 2 2 3" xfId="1090" xr:uid="{00000000-0005-0000-0000-000067220000}"/>
    <cellStyle name="20% - Accent3 5 2 2 3 2" xfId="3153" xr:uid="{00000000-0005-0000-0000-000068220000}"/>
    <cellStyle name="20% - Accent3 5 2 2 3 2 2" xfId="6125" xr:uid="{00000000-0005-0000-0000-000069220000}"/>
    <cellStyle name="20% - Accent3 5 2 2 3 2 2 2" xfId="11775" xr:uid="{00000000-0005-0000-0000-00006A220000}"/>
    <cellStyle name="20% - Accent3 5 2 2 3 2 2 2 2" xfId="23076" xr:uid="{00000000-0005-0000-0000-00006B220000}"/>
    <cellStyle name="20% - Accent3 5 2 2 3 2 2 2 2 2" xfId="45678" xr:uid="{00000000-0005-0000-0000-00006C220000}"/>
    <cellStyle name="20% - Accent3 5 2 2 3 2 2 2 3" xfId="34377" xr:uid="{00000000-0005-0000-0000-00006D220000}"/>
    <cellStyle name="20% - Accent3 5 2 2 3 2 2 3" xfId="17426" xr:uid="{00000000-0005-0000-0000-00006E220000}"/>
    <cellStyle name="20% - Accent3 5 2 2 3 2 2 3 2" xfId="40028" xr:uid="{00000000-0005-0000-0000-00006F220000}"/>
    <cellStyle name="20% - Accent3 5 2 2 3 2 2 4" xfId="28727" xr:uid="{00000000-0005-0000-0000-000070220000}"/>
    <cellStyle name="20% - Accent3 5 2 2 3 2 3" xfId="8943" xr:uid="{00000000-0005-0000-0000-000071220000}"/>
    <cellStyle name="20% - Accent3 5 2 2 3 2 3 2" xfId="20244" xr:uid="{00000000-0005-0000-0000-000072220000}"/>
    <cellStyle name="20% - Accent3 5 2 2 3 2 3 2 2" xfId="42846" xr:uid="{00000000-0005-0000-0000-000073220000}"/>
    <cellStyle name="20% - Accent3 5 2 2 3 2 3 3" xfId="31545" xr:uid="{00000000-0005-0000-0000-000074220000}"/>
    <cellStyle name="20% - Accent3 5 2 2 3 2 4" xfId="14594" xr:uid="{00000000-0005-0000-0000-000075220000}"/>
    <cellStyle name="20% - Accent3 5 2 2 3 2 4 2" xfId="37196" xr:uid="{00000000-0005-0000-0000-000076220000}"/>
    <cellStyle name="20% - Accent3 5 2 2 3 2 5" xfId="25895" xr:uid="{00000000-0005-0000-0000-000077220000}"/>
    <cellStyle name="20% - Accent3 5 2 2 3 3" xfId="4891" xr:uid="{00000000-0005-0000-0000-000078220000}"/>
    <cellStyle name="20% - Accent3 5 2 2 3 3 2" xfId="10541" xr:uid="{00000000-0005-0000-0000-000079220000}"/>
    <cellStyle name="20% - Accent3 5 2 2 3 3 2 2" xfId="21842" xr:uid="{00000000-0005-0000-0000-00007A220000}"/>
    <cellStyle name="20% - Accent3 5 2 2 3 3 2 2 2" xfId="44444" xr:uid="{00000000-0005-0000-0000-00007B220000}"/>
    <cellStyle name="20% - Accent3 5 2 2 3 3 2 3" xfId="33143" xr:uid="{00000000-0005-0000-0000-00007C220000}"/>
    <cellStyle name="20% - Accent3 5 2 2 3 3 3" xfId="16192" xr:uid="{00000000-0005-0000-0000-00007D220000}"/>
    <cellStyle name="20% - Accent3 5 2 2 3 3 3 2" xfId="38794" xr:uid="{00000000-0005-0000-0000-00007E220000}"/>
    <cellStyle name="20% - Accent3 5 2 2 3 3 4" xfId="27493" xr:uid="{00000000-0005-0000-0000-00007F220000}"/>
    <cellStyle name="20% - Accent3 5 2 2 3 4" xfId="7078" xr:uid="{00000000-0005-0000-0000-000080220000}"/>
    <cellStyle name="20% - Accent3 5 2 2 3 4 2" xfId="18379" xr:uid="{00000000-0005-0000-0000-000081220000}"/>
    <cellStyle name="20% - Accent3 5 2 2 3 4 2 2" xfId="40981" xr:uid="{00000000-0005-0000-0000-000082220000}"/>
    <cellStyle name="20% - Accent3 5 2 2 3 4 3" xfId="29680" xr:uid="{00000000-0005-0000-0000-000083220000}"/>
    <cellStyle name="20% - Accent3 5 2 2 3 5" xfId="12729" xr:uid="{00000000-0005-0000-0000-000084220000}"/>
    <cellStyle name="20% - Accent3 5 2 2 3 5 2" xfId="35331" xr:uid="{00000000-0005-0000-0000-000085220000}"/>
    <cellStyle name="20% - Accent3 5 2 2 3 6" xfId="24030" xr:uid="{00000000-0005-0000-0000-000086220000}"/>
    <cellStyle name="20% - Accent3 5 2 2 4" xfId="1662" xr:uid="{00000000-0005-0000-0000-000087220000}"/>
    <cellStyle name="20% - Accent3 5 2 2 4 2" xfId="3626" xr:uid="{00000000-0005-0000-0000-000088220000}"/>
    <cellStyle name="20% - Accent3 5 2 2 4 2 2" xfId="9339" xr:uid="{00000000-0005-0000-0000-000089220000}"/>
    <cellStyle name="20% - Accent3 5 2 2 4 2 2 2" xfId="20640" xr:uid="{00000000-0005-0000-0000-00008A220000}"/>
    <cellStyle name="20% - Accent3 5 2 2 4 2 2 2 2" xfId="43242" xr:uid="{00000000-0005-0000-0000-00008B220000}"/>
    <cellStyle name="20% - Accent3 5 2 2 4 2 2 3" xfId="31941" xr:uid="{00000000-0005-0000-0000-00008C220000}"/>
    <cellStyle name="20% - Accent3 5 2 2 4 2 3" xfId="14990" xr:uid="{00000000-0005-0000-0000-00008D220000}"/>
    <cellStyle name="20% - Accent3 5 2 2 4 2 3 2" xfId="37592" xr:uid="{00000000-0005-0000-0000-00008E220000}"/>
    <cellStyle name="20% - Accent3 5 2 2 4 2 4" xfId="26291" xr:uid="{00000000-0005-0000-0000-00008F220000}"/>
    <cellStyle name="20% - Accent3 5 2 2 4 3" xfId="5501" xr:uid="{00000000-0005-0000-0000-000090220000}"/>
    <cellStyle name="20% - Accent3 5 2 2 4 3 2" xfId="11151" xr:uid="{00000000-0005-0000-0000-000091220000}"/>
    <cellStyle name="20% - Accent3 5 2 2 4 3 2 2" xfId="22452" xr:uid="{00000000-0005-0000-0000-000092220000}"/>
    <cellStyle name="20% - Accent3 5 2 2 4 3 2 2 2" xfId="45054" xr:uid="{00000000-0005-0000-0000-000093220000}"/>
    <cellStyle name="20% - Accent3 5 2 2 4 3 2 3" xfId="33753" xr:uid="{00000000-0005-0000-0000-000094220000}"/>
    <cellStyle name="20% - Accent3 5 2 2 4 3 3" xfId="16802" xr:uid="{00000000-0005-0000-0000-000095220000}"/>
    <cellStyle name="20% - Accent3 5 2 2 4 3 3 2" xfId="39404" xr:uid="{00000000-0005-0000-0000-000096220000}"/>
    <cellStyle name="20% - Accent3 5 2 2 4 3 4" xfId="28103" xr:uid="{00000000-0005-0000-0000-000097220000}"/>
    <cellStyle name="20% - Accent3 5 2 2 4 4" xfId="7518" xr:uid="{00000000-0005-0000-0000-000098220000}"/>
    <cellStyle name="20% - Accent3 5 2 2 4 4 2" xfId="18819" xr:uid="{00000000-0005-0000-0000-000099220000}"/>
    <cellStyle name="20% - Accent3 5 2 2 4 4 2 2" xfId="41421" xr:uid="{00000000-0005-0000-0000-00009A220000}"/>
    <cellStyle name="20% - Accent3 5 2 2 4 4 3" xfId="30120" xr:uid="{00000000-0005-0000-0000-00009B220000}"/>
    <cellStyle name="20% - Accent3 5 2 2 4 5" xfId="13169" xr:uid="{00000000-0005-0000-0000-00009C220000}"/>
    <cellStyle name="20% - Accent3 5 2 2 4 5 2" xfId="35771" xr:uid="{00000000-0005-0000-0000-00009D220000}"/>
    <cellStyle name="20% - Accent3 5 2 2 4 6" xfId="24470" xr:uid="{00000000-0005-0000-0000-00009E220000}"/>
    <cellStyle name="20% - Accent3 5 2 2 5" xfId="2482" xr:uid="{00000000-0005-0000-0000-00009F220000}"/>
    <cellStyle name="20% - Accent3 5 2 2 5 2" xfId="8318" xr:uid="{00000000-0005-0000-0000-0000A0220000}"/>
    <cellStyle name="20% - Accent3 5 2 2 5 2 2" xfId="19619" xr:uid="{00000000-0005-0000-0000-0000A1220000}"/>
    <cellStyle name="20% - Accent3 5 2 2 5 2 2 2" xfId="42221" xr:uid="{00000000-0005-0000-0000-0000A2220000}"/>
    <cellStyle name="20% - Accent3 5 2 2 5 2 3" xfId="30920" xr:uid="{00000000-0005-0000-0000-0000A3220000}"/>
    <cellStyle name="20% - Accent3 5 2 2 5 3" xfId="13969" xr:uid="{00000000-0005-0000-0000-0000A4220000}"/>
    <cellStyle name="20% - Accent3 5 2 2 5 3 2" xfId="36571" xr:uid="{00000000-0005-0000-0000-0000A5220000}"/>
    <cellStyle name="20% - Accent3 5 2 2 5 4" xfId="25270" xr:uid="{00000000-0005-0000-0000-0000A6220000}"/>
    <cellStyle name="20% - Accent3 5 2 2 6" xfId="4267" xr:uid="{00000000-0005-0000-0000-0000A7220000}"/>
    <cellStyle name="20% - Accent3 5 2 2 6 2" xfId="9917" xr:uid="{00000000-0005-0000-0000-0000A8220000}"/>
    <cellStyle name="20% - Accent3 5 2 2 6 2 2" xfId="21218" xr:uid="{00000000-0005-0000-0000-0000A9220000}"/>
    <cellStyle name="20% - Accent3 5 2 2 6 2 2 2" xfId="43820" xr:uid="{00000000-0005-0000-0000-0000AA220000}"/>
    <cellStyle name="20% - Accent3 5 2 2 6 2 3" xfId="32519" xr:uid="{00000000-0005-0000-0000-0000AB220000}"/>
    <cellStyle name="20% - Accent3 5 2 2 6 3" xfId="15568" xr:uid="{00000000-0005-0000-0000-0000AC220000}"/>
    <cellStyle name="20% - Accent3 5 2 2 6 3 2" xfId="38170" xr:uid="{00000000-0005-0000-0000-0000AD220000}"/>
    <cellStyle name="20% - Accent3 5 2 2 6 4" xfId="26869" xr:uid="{00000000-0005-0000-0000-0000AE220000}"/>
    <cellStyle name="20% - Accent3 5 2 2 7" xfId="6747" xr:uid="{00000000-0005-0000-0000-0000AF220000}"/>
    <cellStyle name="20% - Accent3 5 2 2 7 2" xfId="18048" xr:uid="{00000000-0005-0000-0000-0000B0220000}"/>
    <cellStyle name="20% - Accent3 5 2 2 7 2 2" xfId="40650" xr:uid="{00000000-0005-0000-0000-0000B1220000}"/>
    <cellStyle name="20% - Accent3 5 2 2 7 3" xfId="29349" xr:uid="{00000000-0005-0000-0000-0000B2220000}"/>
    <cellStyle name="20% - Accent3 5 2 2 8" xfId="12398" xr:uid="{00000000-0005-0000-0000-0000B3220000}"/>
    <cellStyle name="20% - Accent3 5 2 2 8 2" xfId="35000" xr:uid="{00000000-0005-0000-0000-0000B4220000}"/>
    <cellStyle name="20% - Accent3 5 2 2 9" xfId="23699" xr:uid="{00000000-0005-0000-0000-0000B5220000}"/>
    <cellStyle name="20% - Accent3 5 2 3" xfId="1254" xr:uid="{00000000-0005-0000-0000-0000B6220000}"/>
    <cellStyle name="20% - Accent3 5 2 3 2" xfId="1664" xr:uid="{00000000-0005-0000-0000-0000B7220000}"/>
    <cellStyle name="20% - Accent3 5 2 3 2 2" xfId="3322" xr:uid="{00000000-0005-0000-0000-0000B8220000}"/>
    <cellStyle name="20% - Accent3 5 2 3 2 2 2" xfId="6294" xr:uid="{00000000-0005-0000-0000-0000B9220000}"/>
    <cellStyle name="20% - Accent3 5 2 3 2 2 2 2" xfId="11944" xr:uid="{00000000-0005-0000-0000-0000BA220000}"/>
    <cellStyle name="20% - Accent3 5 2 3 2 2 2 2 2" xfId="23245" xr:uid="{00000000-0005-0000-0000-0000BB220000}"/>
    <cellStyle name="20% - Accent3 5 2 3 2 2 2 2 2 2" xfId="45847" xr:uid="{00000000-0005-0000-0000-0000BC220000}"/>
    <cellStyle name="20% - Accent3 5 2 3 2 2 2 2 3" xfId="34546" xr:uid="{00000000-0005-0000-0000-0000BD220000}"/>
    <cellStyle name="20% - Accent3 5 2 3 2 2 2 3" xfId="17595" xr:uid="{00000000-0005-0000-0000-0000BE220000}"/>
    <cellStyle name="20% - Accent3 5 2 3 2 2 2 3 2" xfId="40197" xr:uid="{00000000-0005-0000-0000-0000BF220000}"/>
    <cellStyle name="20% - Accent3 5 2 3 2 2 2 4" xfId="28896" xr:uid="{00000000-0005-0000-0000-0000C0220000}"/>
    <cellStyle name="20% - Accent3 5 2 3 2 2 3" xfId="9112" xr:uid="{00000000-0005-0000-0000-0000C1220000}"/>
    <cellStyle name="20% - Accent3 5 2 3 2 2 3 2" xfId="20413" xr:uid="{00000000-0005-0000-0000-0000C2220000}"/>
    <cellStyle name="20% - Accent3 5 2 3 2 2 3 2 2" xfId="43015" xr:uid="{00000000-0005-0000-0000-0000C3220000}"/>
    <cellStyle name="20% - Accent3 5 2 3 2 2 3 3" xfId="31714" xr:uid="{00000000-0005-0000-0000-0000C4220000}"/>
    <cellStyle name="20% - Accent3 5 2 3 2 2 4" xfId="14763" xr:uid="{00000000-0005-0000-0000-0000C5220000}"/>
    <cellStyle name="20% - Accent3 5 2 3 2 2 4 2" xfId="37365" xr:uid="{00000000-0005-0000-0000-0000C6220000}"/>
    <cellStyle name="20% - Accent3 5 2 3 2 2 5" xfId="26064" xr:uid="{00000000-0005-0000-0000-0000C7220000}"/>
    <cellStyle name="20% - Accent3 5 2 3 2 3" xfId="5060" xr:uid="{00000000-0005-0000-0000-0000C8220000}"/>
    <cellStyle name="20% - Accent3 5 2 3 2 3 2" xfId="10710" xr:uid="{00000000-0005-0000-0000-0000C9220000}"/>
    <cellStyle name="20% - Accent3 5 2 3 2 3 2 2" xfId="22011" xr:uid="{00000000-0005-0000-0000-0000CA220000}"/>
    <cellStyle name="20% - Accent3 5 2 3 2 3 2 2 2" xfId="44613" xr:uid="{00000000-0005-0000-0000-0000CB220000}"/>
    <cellStyle name="20% - Accent3 5 2 3 2 3 2 3" xfId="33312" xr:uid="{00000000-0005-0000-0000-0000CC220000}"/>
    <cellStyle name="20% - Accent3 5 2 3 2 3 3" xfId="16361" xr:uid="{00000000-0005-0000-0000-0000CD220000}"/>
    <cellStyle name="20% - Accent3 5 2 3 2 3 3 2" xfId="38963" xr:uid="{00000000-0005-0000-0000-0000CE220000}"/>
    <cellStyle name="20% - Accent3 5 2 3 2 3 4" xfId="27662" xr:uid="{00000000-0005-0000-0000-0000CF220000}"/>
    <cellStyle name="20% - Accent3 5 2 3 2 4" xfId="7520" xr:uid="{00000000-0005-0000-0000-0000D0220000}"/>
    <cellStyle name="20% - Accent3 5 2 3 2 4 2" xfId="18821" xr:uid="{00000000-0005-0000-0000-0000D1220000}"/>
    <cellStyle name="20% - Accent3 5 2 3 2 4 2 2" xfId="41423" xr:uid="{00000000-0005-0000-0000-0000D2220000}"/>
    <cellStyle name="20% - Accent3 5 2 3 2 4 3" xfId="30122" xr:uid="{00000000-0005-0000-0000-0000D3220000}"/>
    <cellStyle name="20% - Accent3 5 2 3 2 5" xfId="13171" xr:uid="{00000000-0005-0000-0000-0000D4220000}"/>
    <cellStyle name="20% - Accent3 5 2 3 2 5 2" xfId="35773" xr:uid="{00000000-0005-0000-0000-0000D5220000}"/>
    <cellStyle name="20% - Accent3 5 2 3 2 6" xfId="24472" xr:uid="{00000000-0005-0000-0000-0000D6220000}"/>
    <cellStyle name="20% - Accent3 5 2 3 3" xfId="2651" xr:uid="{00000000-0005-0000-0000-0000D7220000}"/>
    <cellStyle name="20% - Accent3 5 2 3 3 2" xfId="5670" xr:uid="{00000000-0005-0000-0000-0000D8220000}"/>
    <cellStyle name="20% - Accent3 5 2 3 3 2 2" xfId="11320" xr:uid="{00000000-0005-0000-0000-0000D9220000}"/>
    <cellStyle name="20% - Accent3 5 2 3 3 2 2 2" xfId="22621" xr:uid="{00000000-0005-0000-0000-0000DA220000}"/>
    <cellStyle name="20% - Accent3 5 2 3 3 2 2 2 2" xfId="45223" xr:uid="{00000000-0005-0000-0000-0000DB220000}"/>
    <cellStyle name="20% - Accent3 5 2 3 3 2 2 3" xfId="33922" xr:uid="{00000000-0005-0000-0000-0000DC220000}"/>
    <cellStyle name="20% - Accent3 5 2 3 3 2 3" xfId="16971" xr:uid="{00000000-0005-0000-0000-0000DD220000}"/>
    <cellStyle name="20% - Accent3 5 2 3 3 2 3 2" xfId="39573" xr:uid="{00000000-0005-0000-0000-0000DE220000}"/>
    <cellStyle name="20% - Accent3 5 2 3 3 2 4" xfId="28272" xr:uid="{00000000-0005-0000-0000-0000DF220000}"/>
    <cellStyle name="20% - Accent3 5 2 3 3 3" xfId="8487" xr:uid="{00000000-0005-0000-0000-0000E0220000}"/>
    <cellStyle name="20% - Accent3 5 2 3 3 3 2" xfId="19788" xr:uid="{00000000-0005-0000-0000-0000E1220000}"/>
    <cellStyle name="20% - Accent3 5 2 3 3 3 2 2" xfId="42390" xr:uid="{00000000-0005-0000-0000-0000E2220000}"/>
    <cellStyle name="20% - Accent3 5 2 3 3 3 3" xfId="31089" xr:uid="{00000000-0005-0000-0000-0000E3220000}"/>
    <cellStyle name="20% - Accent3 5 2 3 3 4" xfId="14138" xr:uid="{00000000-0005-0000-0000-0000E4220000}"/>
    <cellStyle name="20% - Accent3 5 2 3 3 4 2" xfId="36740" xr:uid="{00000000-0005-0000-0000-0000E5220000}"/>
    <cellStyle name="20% - Accent3 5 2 3 3 5" xfId="25439" xr:uid="{00000000-0005-0000-0000-0000E6220000}"/>
    <cellStyle name="20% - Accent3 5 2 3 4" xfId="4436" xr:uid="{00000000-0005-0000-0000-0000E7220000}"/>
    <cellStyle name="20% - Accent3 5 2 3 4 2" xfId="10086" xr:uid="{00000000-0005-0000-0000-0000E8220000}"/>
    <cellStyle name="20% - Accent3 5 2 3 4 2 2" xfId="21387" xr:uid="{00000000-0005-0000-0000-0000E9220000}"/>
    <cellStyle name="20% - Accent3 5 2 3 4 2 2 2" xfId="43989" xr:uid="{00000000-0005-0000-0000-0000EA220000}"/>
    <cellStyle name="20% - Accent3 5 2 3 4 2 3" xfId="32688" xr:uid="{00000000-0005-0000-0000-0000EB220000}"/>
    <cellStyle name="20% - Accent3 5 2 3 4 3" xfId="15737" xr:uid="{00000000-0005-0000-0000-0000EC220000}"/>
    <cellStyle name="20% - Accent3 5 2 3 4 3 2" xfId="38339" xr:uid="{00000000-0005-0000-0000-0000ED220000}"/>
    <cellStyle name="20% - Accent3 5 2 3 4 4" xfId="27038" xr:uid="{00000000-0005-0000-0000-0000EE220000}"/>
    <cellStyle name="20% - Accent3 5 2 3 5" xfId="7233" xr:uid="{00000000-0005-0000-0000-0000EF220000}"/>
    <cellStyle name="20% - Accent3 5 2 3 5 2" xfId="18534" xr:uid="{00000000-0005-0000-0000-0000F0220000}"/>
    <cellStyle name="20% - Accent3 5 2 3 5 2 2" xfId="41136" xr:uid="{00000000-0005-0000-0000-0000F1220000}"/>
    <cellStyle name="20% - Accent3 5 2 3 5 3" xfId="29835" xr:uid="{00000000-0005-0000-0000-0000F2220000}"/>
    <cellStyle name="20% - Accent3 5 2 3 6" xfId="12884" xr:uid="{00000000-0005-0000-0000-0000F3220000}"/>
    <cellStyle name="20% - Accent3 5 2 3 6 2" xfId="35486" xr:uid="{00000000-0005-0000-0000-0000F4220000}"/>
    <cellStyle name="20% - Accent3 5 2 3 7" xfId="24185" xr:uid="{00000000-0005-0000-0000-0000F5220000}"/>
    <cellStyle name="20% - Accent3 5 2 4" xfId="945" xr:uid="{00000000-0005-0000-0000-0000F6220000}"/>
    <cellStyle name="20% - Accent3 5 2 4 2" xfId="3015" xr:uid="{00000000-0005-0000-0000-0000F7220000}"/>
    <cellStyle name="20% - Accent3 5 2 4 2 2" xfId="5987" xr:uid="{00000000-0005-0000-0000-0000F8220000}"/>
    <cellStyle name="20% - Accent3 5 2 4 2 2 2" xfId="11637" xr:uid="{00000000-0005-0000-0000-0000F9220000}"/>
    <cellStyle name="20% - Accent3 5 2 4 2 2 2 2" xfId="22938" xr:uid="{00000000-0005-0000-0000-0000FA220000}"/>
    <cellStyle name="20% - Accent3 5 2 4 2 2 2 2 2" xfId="45540" xr:uid="{00000000-0005-0000-0000-0000FB220000}"/>
    <cellStyle name="20% - Accent3 5 2 4 2 2 2 3" xfId="34239" xr:uid="{00000000-0005-0000-0000-0000FC220000}"/>
    <cellStyle name="20% - Accent3 5 2 4 2 2 3" xfId="17288" xr:uid="{00000000-0005-0000-0000-0000FD220000}"/>
    <cellStyle name="20% - Accent3 5 2 4 2 2 3 2" xfId="39890" xr:uid="{00000000-0005-0000-0000-0000FE220000}"/>
    <cellStyle name="20% - Accent3 5 2 4 2 2 4" xfId="28589" xr:uid="{00000000-0005-0000-0000-0000FF220000}"/>
    <cellStyle name="20% - Accent3 5 2 4 2 3" xfId="8805" xr:uid="{00000000-0005-0000-0000-000000230000}"/>
    <cellStyle name="20% - Accent3 5 2 4 2 3 2" xfId="20106" xr:uid="{00000000-0005-0000-0000-000001230000}"/>
    <cellStyle name="20% - Accent3 5 2 4 2 3 2 2" xfId="42708" xr:uid="{00000000-0005-0000-0000-000002230000}"/>
    <cellStyle name="20% - Accent3 5 2 4 2 3 3" xfId="31407" xr:uid="{00000000-0005-0000-0000-000003230000}"/>
    <cellStyle name="20% - Accent3 5 2 4 2 4" xfId="14456" xr:uid="{00000000-0005-0000-0000-000004230000}"/>
    <cellStyle name="20% - Accent3 5 2 4 2 4 2" xfId="37058" xr:uid="{00000000-0005-0000-0000-000005230000}"/>
    <cellStyle name="20% - Accent3 5 2 4 2 5" xfId="25757" xr:uid="{00000000-0005-0000-0000-000006230000}"/>
    <cellStyle name="20% - Accent3 5 2 4 3" xfId="4753" xr:uid="{00000000-0005-0000-0000-000007230000}"/>
    <cellStyle name="20% - Accent3 5 2 4 3 2" xfId="10403" xr:uid="{00000000-0005-0000-0000-000008230000}"/>
    <cellStyle name="20% - Accent3 5 2 4 3 2 2" xfId="21704" xr:uid="{00000000-0005-0000-0000-000009230000}"/>
    <cellStyle name="20% - Accent3 5 2 4 3 2 2 2" xfId="44306" xr:uid="{00000000-0005-0000-0000-00000A230000}"/>
    <cellStyle name="20% - Accent3 5 2 4 3 2 3" xfId="33005" xr:uid="{00000000-0005-0000-0000-00000B230000}"/>
    <cellStyle name="20% - Accent3 5 2 4 3 3" xfId="16054" xr:uid="{00000000-0005-0000-0000-00000C230000}"/>
    <cellStyle name="20% - Accent3 5 2 4 3 3 2" xfId="38656" xr:uid="{00000000-0005-0000-0000-00000D230000}"/>
    <cellStyle name="20% - Accent3 5 2 4 3 4" xfId="27355" xr:uid="{00000000-0005-0000-0000-00000E230000}"/>
    <cellStyle name="20% - Accent3 5 2 4 4" xfId="6940" xr:uid="{00000000-0005-0000-0000-00000F230000}"/>
    <cellStyle name="20% - Accent3 5 2 4 4 2" xfId="18241" xr:uid="{00000000-0005-0000-0000-000010230000}"/>
    <cellStyle name="20% - Accent3 5 2 4 4 2 2" xfId="40843" xr:uid="{00000000-0005-0000-0000-000011230000}"/>
    <cellStyle name="20% - Accent3 5 2 4 4 3" xfId="29542" xr:uid="{00000000-0005-0000-0000-000012230000}"/>
    <cellStyle name="20% - Accent3 5 2 4 5" xfId="12591" xr:uid="{00000000-0005-0000-0000-000013230000}"/>
    <cellStyle name="20% - Accent3 5 2 4 5 2" xfId="35193" xr:uid="{00000000-0005-0000-0000-000014230000}"/>
    <cellStyle name="20% - Accent3 5 2 4 6" xfId="23892" xr:uid="{00000000-0005-0000-0000-000015230000}"/>
    <cellStyle name="20% - Accent3 5 2 5" xfId="1661" xr:uid="{00000000-0005-0000-0000-000016230000}"/>
    <cellStyle name="20% - Accent3 5 2 5 2" xfId="3625" xr:uid="{00000000-0005-0000-0000-000017230000}"/>
    <cellStyle name="20% - Accent3 5 2 5 2 2" xfId="9338" xr:uid="{00000000-0005-0000-0000-000018230000}"/>
    <cellStyle name="20% - Accent3 5 2 5 2 2 2" xfId="20639" xr:uid="{00000000-0005-0000-0000-000019230000}"/>
    <cellStyle name="20% - Accent3 5 2 5 2 2 2 2" xfId="43241" xr:uid="{00000000-0005-0000-0000-00001A230000}"/>
    <cellStyle name="20% - Accent3 5 2 5 2 2 3" xfId="31940" xr:uid="{00000000-0005-0000-0000-00001B230000}"/>
    <cellStyle name="20% - Accent3 5 2 5 2 3" xfId="14989" xr:uid="{00000000-0005-0000-0000-00001C230000}"/>
    <cellStyle name="20% - Accent3 5 2 5 2 3 2" xfId="37591" xr:uid="{00000000-0005-0000-0000-00001D230000}"/>
    <cellStyle name="20% - Accent3 5 2 5 2 4" xfId="26290" xr:uid="{00000000-0005-0000-0000-00001E230000}"/>
    <cellStyle name="20% - Accent3 5 2 5 3" xfId="5363" xr:uid="{00000000-0005-0000-0000-00001F230000}"/>
    <cellStyle name="20% - Accent3 5 2 5 3 2" xfId="11013" xr:uid="{00000000-0005-0000-0000-000020230000}"/>
    <cellStyle name="20% - Accent3 5 2 5 3 2 2" xfId="22314" xr:uid="{00000000-0005-0000-0000-000021230000}"/>
    <cellStyle name="20% - Accent3 5 2 5 3 2 2 2" xfId="44916" xr:uid="{00000000-0005-0000-0000-000022230000}"/>
    <cellStyle name="20% - Accent3 5 2 5 3 2 3" xfId="33615" xr:uid="{00000000-0005-0000-0000-000023230000}"/>
    <cellStyle name="20% - Accent3 5 2 5 3 3" xfId="16664" xr:uid="{00000000-0005-0000-0000-000024230000}"/>
    <cellStyle name="20% - Accent3 5 2 5 3 3 2" xfId="39266" xr:uid="{00000000-0005-0000-0000-000025230000}"/>
    <cellStyle name="20% - Accent3 5 2 5 3 4" xfId="27965" xr:uid="{00000000-0005-0000-0000-000026230000}"/>
    <cellStyle name="20% - Accent3 5 2 5 4" xfId="7517" xr:uid="{00000000-0005-0000-0000-000027230000}"/>
    <cellStyle name="20% - Accent3 5 2 5 4 2" xfId="18818" xr:uid="{00000000-0005-0000-0000-000028230000}"/>
    <cellStyle name="20% - Accent3 5 2 5 4 2 2" xfId="41420" xr:uid="{00000000-0005-0000-0000-000029230000}"/>
    <cellStyle name="20% - Accent3 5 2 5 4 3" xfId="30119" xr:uid="{00000000-0005-0000-0000-00002A230000}"/>
    <cellStyle name="20% - Accent3 5 2 5 5" xfId="13168" xr:uid="{00000000-0005-0000-0000-00002B230000}"/>
    <cellStyle name="20% - Accent3 5 2 5 5 2" xfId="35770" xr:uid="{00000000-0005-0000-0000-00002C230000}"/>
    <cellStyle name="20% - Accent3 5 2 5 6" xfId="24469" xr:uid="{00000000-0005-0000-0000-00002D230000}"/>
    <cellStyle name="20% - Accent3 5 2 6" xfId="2342" xr:uid="{00000000-0005-0000-0000-00002E230000}"/>
    <cellStyle name="20% - Accent3 5 2 6 2" xfId="8178" xr:uid="{00000000-0005-0000-0000-00002F230000}"/>
    <cellStyle name="20% - Accent3 5 2 6 2 2" xfId="19479" xr:uid="{00000000-0005-0000-0000-000030230000}"/>
    <cellStyle name="20% - Accent3 5 2 6 2 2 2" xfId="42081" xr:uid="{00000000-0005-0000-0000-000031230000}"/>
    <cellStyle name="20% - Accent3 5 2 6 2 3" xfId="30780" xr:uid="{00000000-0005-0000-0000-000032230000}"/>
    <cellStyle name="20% - Accent3 5 2 6 3" xfId="13829" xr:uid="{00000000-0005-0000-0000-000033230000}"/>
    <cellStyle name="20% - Accent3 5 2 6 3 2" xfId="36431" xr:uid="{00000000-0005-0000-0000-000034230000}"/>
    <cellStyle name="20% - Accent3 5 2 6 4" xfId="25130" xr:uid="{00000000-0005-0000-0000-000035230000}"/>
    <cellStyle name="20% - Accent3 5 2 7" xfId="4129" xr:uid="{00000000-0005-0000-0000-000036230000}"/>
    <cellStyle name="20% - Accent3 5 2 7 2" xfId="9779" xr:uid="{00000000-0005-0000-0000-000037230000}"/>
    <cellStyle name="20% - Accent3 5 2 7 2 2" xfId="21080" xr:uid="{00000000-0005-0000-0000-000038230000}"/>
    <cellStyle name="20% - Accent3 5 2 7 2 2 2" xfId="43682" xr:uid="{00000000-0005-0000-0000-000039230000}"/>
    <cellStyle name="20% - Accent3 5 2 7 2 3" xfId="32381" xr:uid="{00000000-0005-0000-0000-00003A230000}"/>
    <cellStyle name="20% - Accent3 5 2 7 3" xfId="15430" xr:uid="{00000000-0005-0000-0000-00003B230000}"/>
    <cellStyle name="20% - Accent3 5 2 7 3 2" xfId="38032" xr:uid="{00000000-0005-0000-0000-00003C230000}"/>
    <cellStyle name="20% - Accent3 5 2 7 4" xfId="26731" xr:uid="{00000000-0005-0000-0000-00003D230000}"/>
    <cellStyle name="20% - Accent3 5 2 8" xfId="6580" xr:uid="{00000000-0005-0000-0000-00003E230000}"/>
    <cellStyle name="20% - Accent3 5 2 8 2" xfId="17881" xr:uid="{00000000-0005-0000-0000-00003F230000}"/>
    <cellStyle name="20% - Accent3 5 2 8 2 2" xfId="40483" xr:uid="{00000000-0005-0000-0000-000040230000}"/>
    <cellStyle name="20% - Accent3 5 2 8 3" xfId="29182" xr:uid="{00000000-0005-0000-0000-000041230000}"/>
    <cellStyle name="20% - Accent3 5 2 9" xfId="12231" xr:uid="{00000000-0005-0000-0000-000042230000}"/>
    <cellStyle name="20% - Accent3 5 2 9 2" xfId="34833" xr:uid="{00000000-0005-0000-0000-000043230000}"/>
    <cellStyle name="20% - Accent3 5 3" xfId="585" xr:uid="{00000000-0005-0000-0000-000044230000}"/>
    <cellStyle name="20% - Accent3 5 3 2" xfId="1298" xr:uid="{00000000-0005-0000-0000-000045230000}"/>
    <cellStyle name="20% - Accent3 5 3 2 2" xfId="1666" xr:uid="{00000000-0005-0000-0000-000046230000}"/>
    <cellStyle name="20% - Accent3 5 3 2 2 2" xfId="3367" xr:uid="{00000000-0005-0000-0000-000047230000}"/>
    <cellStyle name="20% - Accent3 5 3 2 2 2 2" xfId="6339" xr:uid="{00000000-0005-0000-0000-000048230000}"/>
    <cellStyle name="20% - Accent3 5 3 2 2 2 2 2" xfId="11989" xr:uid="{00000000-0005-0000-0000-000049230000}"/>
    <cellStyle name="20% - Accent3 5 3 2 2 2 2 2 2" xfId="23290" xr:uid="{00000000-0005-0000-0000-00004A230000}"/>
    <cellStyle name="20% - Accent3 5 3 2 2 2 2 2 2 2" xfId="45892" xr:uid="{00000000-0005-0000-0000-00004B230000}"/>
    <cellStyle name="20% - Accent3 5 3 2 2 2 2 2 3" xfId="34591" xr:uid="{00000000-0005-0000-0000-00004C230000}"/>
    <cellStyle name="20% - Accent3 5 3 2 2 2 2 3" xfId="17640" xr:uid="{00000000-0005-0000-0000-00004D230000}"/>
    <cellStyle name="20% - Accent3 5 3 2 2 2 2 3 2" xfId="40242" xr:uid="{00000000-0005-0000-0000-00004E230000}"/>
    <cellStyle name="20% - Accent3 5 3 2 2 2 2 4" xfId="28941" xr:uid="{00000000-0005-0000-0000-00004F230000}"/>
    <cellStyle name="20% - Accent3 5 3 2 2 2 3" xfId="9157" xr:uid="{00000000-0005-0000-0000-000050230000}"/>
    <cellStyle name="20% - Accent3 5 3 2 2 2 3 2" xfId="20458" xr:uid="{00000000-0005-0000-0000-000051230000}"/>
    <cellStyle name="20% - Accent3 5 3 2 2 2 3 2 2" xfId="43060" xr:uid="{00000000-0005-0000-0000-000052230000}"/>
    <cellStyle name="20% - Accent3 5 3 2 2 2 3 3" xfId="31759" xr:uid="{00000000-0005-0000-0000-000053230000}"/>
    <cellStyle name="20% - Accent3 5 3 2 2 2 4" xfId="14808" xr:uid="{00000000-0005-0000-0000-000054230000}"/>
    <cellStyle name="20% - Accent3 5 3 2 2 2 4 2" xfId="37410" xr:uid="{00000000-0005-0000-0000-000055230000}"/>
    <cellStyle name="20% - Accent3 5 3 2 2 2 5" xfId="26109" xr:uid="{00000000-0005-0000-0000-000056230000}"/>
    <cellStyle name="20% - Accent3 5 3 2 2 3" xfId="5105" xr:uid="{00000000-0005-0000-0000-000057230000}"/>
    <cellStyle name="20% - Accent3 5 3 2 2 3 2" xfId="10755" xr:uid="{00000000-0005-0000-0000-000058230000}"/>
    <cellStyle name="20% - Accent3 5 3 2 2 3 2 2" xfId="22056" xr:uid="{00000000-0005-0000-0000-000059230000}"/>
    <cellStyle name="20% - Accent3 5 3 2 2 3 2 2 2" xfId="44658" xr:uid="{00000000-0005-0000-0000-00005A230000}"/>
    <cellStyle name="20% - Accent3 5 3 2 2 3 2 3" xfId="33357" xr:uid="{00000000-0005-0000-0000-00005B230000}"/>
    <cellStyle name="20% - Accent3 5 3 2 2 3 3" xfId="16406" xr:uid="{00000000-0005-0000-0000-00005C230000}"/>
    <cellStyle name="20% - Accent3 5 3 2 2 3 3 2" xfId="39008" xr:uid="{00000000-0005-0000-0000-00005D230000}"/>
    <cellStyle name="20% - Accent3 5 3 2 2 3 4" xfId="27707" xr:uid="{00000000-0005-0000-0000-00005E230000}"/>
    <cellStyle name="20% - Accent3 5 3 2 2 4" xfId="7522" xr:uid="{00000000-0005-0000-0000-00005F230000}"/>
    <cellStyle name="20% - Accent3 5 3 2 2 4 2" xfId="18823" xr:uid="{00000000-0005-0000-0000-000060230000}"/>
    <cellStyle name="20% - Accent3 5 3 2 2 4 2 2" xfId="41425" xr:uid="{00000000-0005-0000-0000-000061230000}"/>
    <cellStyle name="20% - Accent3 5 3 2 2 4 3" xfId="30124" xr:uid="{00000000-0005-0000-0000-000062230000}"/>
    <cellStyle name="20% - Accent3 5 3 2 2 5" xfId="13173" xr:uid="{00000000-0005-0000-0000-000063230000}"/>
    <cellStyle name="20% - Accent3 5 3 2 2 5 2" xfId="35775" xr:uid="{00000000-0005-0000-0000-000064230000}"/>
    <cellStyle name="20% - Accent3 5 3 2 2 6" xfId="24474" xr:uid="{00000000-0005-0000-0000-000065230000}"/>
    <cellStyle name="20% - Accent3 5 3 2 3" xfId="2696" xr:uid="{00000000-0005-0000-0000-000066230000}"/>
    <cellStyle name="20% - Accent3 5 3 2 3 2" xfId="5715" xr:uid="{00000000-0005-0000-0000-000067230000}"/>
    <cellStyle name="20% - Accent3 5 3 2 3 2 2" xfId="11365" xr:uid="{00000000-0005-0000-0000-000068230000}"/>
    <cellStyle name="20% - Accent3 5 3 2 3 2 2 2" xfId="22666" xr:uid="{00000000-0005-0000-0000-000069230000}"/>
    <cellStyle name="20% - Accent3 5 3 2 3 2 2 2 2" xfId="45268" xr:uid="{00000000-0005-0000-0000-00006A230000}"/>
    <cellStyle name="20% - Accent3 5 3 2 3 2 2 3" xfId="33967" xr:uid="{00000000-0005-0000-0000-00006B230000}"/>
    <cellStyle name="20% - Accent3 5 3 2 3 2 3" xfId="17016" xr:uid="{00000000-0005-0000-0000-00006C230000}"/>
    <cellStyle name="20% - Accent3 5 3 2 3 2 3 2" xfId="39618" xr:uid="{00000000-0005-0000-0000-00006D230000}"/>
    <cellStyle name="20% - Accent3 5 3 2 3 2 4" xfId="28317" xr:uid="{00000000-0005-0000-0000-00006E230000}"/>
    <cellStyle name="20% - Accent3 5 3 2 3 3" xfId="8532" xr:uid="{00000000-0005-0000-0000-00006F230000}"/>
    <cellStyle name="20% - Accent3 5 3 2 3 3 2" xfId="19833" xr:uid="{00000000-0005-0000-0000-000070230000}"/>
    <cellStyle name="20% - Accent3 5 3 2 3 3 2 2" xfId="42435" xr:uid="{00000000-0005-0000-0000-000071230000}"/>
    <cellStyle name="20% - Accent3 5 3 2 3 3 3" xfId="31134" xr:uid="{00000000-0005-0000-0000-000072230000}"/>
    <cellStyle name="20% - Accent3 5 3 2 3 4" xfId="14183" xr:uid="{00000000-0005-0000-0000-000073230000}"/>
    <cellStyle name="20% - Accent3 5 3 2 3 4 2" xfId="36785" xr:uid="{00000000-0005-0000-0000-000074230000}"/>
    <cellStyle name="20% - Accent3 5 3 2 3 5" xfId="25484" xr:uid="{00000000-0005-0000-0000-000075230000}"/>
    <cellStyle name="20% - Accent3 5 3 2 4" xfId="4481" xr:uid="{00000000-0005-0000-0000-000076230000}"/>
    <cellStyle name="20% - Accent3 5 3 2 4 2" xfId="10131" xr:uid="{00000000-0005-0000-0000-000077230000}"/>
    <cellStyle name="20% - Accent3 5 3 2 4 2 2" xfId="21432" xr:uid="{00000000-0005-0000-0000-000078230000}"/>
    <cellStyle name="20% - Accent3 5 3 2 4 2 2 2" xfId="44034" xr:uid="{00000000-0005-0000-0000-000079230000}"/>
    <cellStyle name="20% - Accent3 5 3 2 4 2 3" xfId="32733" xr:uid="{00000000-0005-0000-0000-00007A230000}"/>
    <cellStyle name="20% - Accent3 5 3 2 4 3" xfId="15782" xr:uid="{00000000-0005-0000-0000-00007B230000}"/>
    <cellStyle name="20% - Accent3 5 3 2 4 3 2" xfId="38384" xr:uid="{00000000-0005-0000-0000-00007C230000}"/>
    <cellStyle name="20% - Accent3 5 3 2 4 4" xfId="27083" xr:uid="{00000000-0005-0000-0000-00007D230000}"/>
    <cellStyle name="20% - Accent3 5 3 2 5" xfId="7277" xr:uid="{00000000-0005-0000-0000-00007E230000}"/>
    <cellStyle name="20% - Accent3 5 3 2 5 2" xfId="18578" xr:uid="{00000000-0005-0000-0000-00007F230000}"/>
    <cellStyle name="20% - Accent3 5 3 2 5 2 2" xfId="41180" xr:uid="{00000000-0005-0000-0000-000080230000}"/>
    <cellStyle name="20% - Accent3 5 3 2 5 3" xfId="29879" xr:uid="{00000000-0005-0000-0000-000081230000}"/>
    <cellStyle name="20% - Accent3 5 3 2 6" xfId="12928" xr:uid="{00000000-0005-0000-0000-000082230000}"/>
    <cellStyle name="20% - Accent3 5 3 2 6 2" xfId="35530" xr:uid="{00000000-0005-0000-0000-000083230000}"/>
    <cellStyle name="20% - Accent3 5 3 2 7" xfId="24229" xr:uid="{00000000-0005-0000-0000-000084230000}"/>
    <cellStyle name="20% - Accent3 5 3 3" xfId="996" xr:uid="{00000000-0005-0000-0000-000085230000}"/>
    <cellStyle name="20% - Accent3 5 3 3 2" xfId="3059" xr:uid="{00000000-0005-0000-0000-000086230000}"/>
    <cellStyle name="20% - Accent3 5 3 3 2 2" xfId="6031" xr:uid="{00000000-0005-0000-0000-000087230000}"/>
    <cellStyle name="20% - Accent3 5 3 3 2 2 2" xfId="11681" xr:uid="{00000000-0005-0000-0000-000088230000}"/>
    <cellStyle name="20% - Accent3 5 3 3 2 2 2 2" xfId="22982" xr:uid="{00000000-0005-0000-0000-000089230000}"/>
    <cellStyle name="20% - Accent3 5 3 3 2 2 2 2 2" xfId="45584" xr:uid="{00000000-0005-0000-0000-00008A230000}"/>
    <cellStyle name="20% - Accent3 5 3 3 2 2 2 3" xfId="34283" xr:uid="{00000000-0005-0000-0000-00008B230000}"/>
    <cellStyle name="20% - Accent3 5 3 3 2 2 3" xfId="17332" xr:uid="{00000000-0005-0000-0000-00008C230000}"/>
    <cellStyle name="20% - Accent3 5 3 3 2 2 3 2" xfId="39934" xr:uid="{00000000-0005-0000-0000-00008D230000}"/>
    <cellStyle name="20% - Accent3 5 3 3 2 2 4" xfId="28633" xr:uid="{00000000-0005-0000-0000-00008E230000}"/>
    <cellStyle name="20% - Accent3 5 3 3 2 3" xfId="8849" xr:uid="{00000000-0005-0000-0000-00008F230000}"/>
    <cellStyle name="20% - Accent3 5 3 3 2 3 2" xfId="20150" xr:uid="{00000000-0005-0000-0000-000090230000}"/>
    <cellStyle name="20% - Accent3 5 3 3 2 3 2 2" xfId="42752" xr:uid="{00000000-0005-0000-0000-000091230000}"/>
    <cellStyle name="20% - Accent3 5 3 3 2 3 3" xfId="31451" xr:uid="{00000000-0005-0000-0000-000092230000}"/>
    <cellStyle name="20% - Accent3 5 3 3 2 4" xfId="14500" xr:uid="{00000000-0005-0000-0000-000093230000}"/>
    <cellStyle name="20% - Accent3 5 3 3 2 4 2" xfId="37102" xr:uid="{00000000-0005-0000-0000-000094230000}"/>
    <cellStyle name="20% - Accent3 5 3 3 2 5" xfId="25801" xr:uid="{00000000-0005-0000-0000-000095230000}"/>
    <cellStyle name="20% - Accent3 5 3 3 3" xfId="4797" xr:uid="{00000000-0005-0000-0000-000096230000}"/>
    <cellStyle name="20% - Accent3 5 3 3 3 2" xfId="10447" xr:uid="{00000000-0005-0000-0000-000097230000}"/>
    <cellStyle name="20% - Accent3 5 3 3 3 2 2" xfId="21748" xr:uid="{00000000-0005-0000-0000-000098230000}"/>
    <cellStyle name="20% - Accent3 5 3 3 3 2 2 2" xfId="44350" xr:uid="{00000000-0005-0000-0000-000099230000}"/>
    <cellStyle name="20% - Accent3 5 3 3 3 2 3" xfId="33049" xr:uid="{00000000-0005-0000-0000-00009A230000}"/>
    <cellStyle name="20% - Accent3 5 3 3 3 3" xfId="16098" xr:uid="{00000000-0005-0000-0000-00009B230000}"/>
    <cellStyle name="20% - Accent3 5 3 3 3 3 2" xfId="38700" xr:uid="{00000000-0005-0000-0000-00009C230000}"/>
    <cellStyle name="20% - Accent3 5 3 3 3 4" xfId="27399" xr:uid="{00000000-0005-0000-0000-00009D230000}"/>
    <cellStyle name="20% - Accent3 5 3 3 4" xfId="6984" xr:uid="{00000000-0005-0000-0000-00009E230000}"/>
    <cellStyle name="20% - Accent3 5 3 3 4 2" xfId="18285" xr:uid="{00000000-0005-0000-0000-00009F230000}"/>
    <cellStyle name="20% - Accent3 5 3 3 4 2 2" xfId="40887" xr:uid="{00000000-0005-0000-0000-0000A0230000}"/>
    <cellStyle name="20% - Accent3 5 3 3 4 3" xfId="29586" xr:uid="{00000000-0005-0000-0000-0000A1230000}"/>
    <cellStyle name="20% - Accent3 5 3 3 5" xfId="12635" xr:uid="{00000000-0005-0000-0000-0000A2230000}"/>
    <cellStyle name="20% - Accent3 5 3 3 5 2" xfId="35237" xr:uid="{00000000-0005-0000-0000-0000A3230000}"/>
    <cellStyle name="20% - Accent3 5 3 3 6" xfId="23936" xr:uid="{00000000-0005-0000-0000-0000A4230000}"/>
    <cellStyle name="20% - Accent3 5 3 4" xfId="1665" xr:uid="{00000000-0005-0000-0000-0000A5230000}"/>
    <cellStyle name="20% - Accent3 5 3 4 2" xfId="3627" xr:uid="{00000000-0005-0000-0000-0000A6230000}"/>
    <cellStyle name="20% - Accent3 5 3 4 2 2" xfId="9340" xr:uid="{00000000-0005-0000-0000-0000A7230000}"/>
    <cellStyle name="20% - Accent3 5 3 4 2 2 2" xfId="20641" xr:uid="{00000000-0005-0000-0000-0000A8230000}"/>
    <cellStyle name="20% - Accent3 5 3 4 2 2 2 2" xfId="43243" xr:uid="{00000000-0005-0000-0000-0000A9230000}"/>
    <cellStyle name="20% - Accent3 5 3 4 2 2 3" xfId="31942" xr:uid="{00000000-0005-0000-0000-0000AA230000}"/>
    <cellStyle name="20% - Accent3 5 3 4 2 3" xfId="14991" xr:uid="{00000000-0005-0000-0000-0000AB230000}"/>
    <cellStyle name="20% - Accent3 5 3 4 2 3 2" xfId="37593" xr:uid="{00000000-0005-0000-0000-0000AC230000}"/>
    <cellStyle name="20% - Accent3 5 3 4 2 4" xfId="26292" xr:uid="{00000000-0005-0000-0000-0000AD230000}"/>
    <cellStyle name="20% - Accent3 5 3 4 3" xfId="5407" xr:uid="{00000000-0005-0000-0000-0000AE230000}"/>
    <cellStyle name="20% - Accent3 5 3 4 3 2" xfId="11057" xr:uid="{00000000-0005-0000-0000-0000AF230000}"/>
    <cellStyle name="20% - Accent3 5 3 4 3 2 2" xfId="22358" xr:uid="{00000000-0005-0000-0000-0000B0230000}"/>
    <cellStyle name="20% - Accent3 5 3 4 3 2 2 2" xfId="44960" xr:uid="{00000000-0005-0000-0000-0000B1230000}"/>
    <cellStyle name="20% - Accent3 5 3 4 3 2 3" xfId="33659" xr:uid="{00000000-0005-0000-0000-0000B2230000}"/>
    <cellStyle name="20% - Accent3 5 3 4 3 3" xfId="16708" xr:uid="{00000000-0005-0000-0000-0000B3230000}"/>
    <cellStyle name="20% - Accent3 5 3 4 3 3 2" xfId="39310" xr:uid="{00000000-0005-0000-0000-0000B4230000}"/>
    <cellStyle name="20% - Accent3 5 3 4 3 4" xfId="28009" xr:uid="{00000000-0005-0000-0000-0000B5230000}"/>
    <cellStyle name="20% - Accent3 5 3 4 4" xfId="7521" xr:uid="{00000000-0005-0000-0000-0000B6230000}"/>
    <cellStyle name="20% - Accent3 5 3 4 4 2" xfId="18822" xr:uid="{00000000-0005-0000-0000-0000B7230000}"/>
    <cellStyle name="20% - Accent3 5 3 4 4 2 2" xfId="41424" xr:uid="{00000000-0005-0000-0000-0000B8230000}"/>
    <cellStyle name="20% - Accent3 5 3 4 4 3" xfId="30123" xr:uid="{00000000-0005-0000-0000-0000B9230000}"/>
    <cellStyle name="20% - Accent3 5 3 4 5" xfId="13172" xr:uid="{00000000-0005-0000-0000-0000BA230000}"/>
    <cellStyle name="20% - Accent3 5 3 4 5 2" xfId="35774" xr:uid="{00000000-0005-0000-0000-0000BB230000}"/>
    <cellStyle name="20% - Accent3 5 3 4 6" xfId="24473" xr:uid="{00000000-0005-0000-0000-0000BC230000}"/>
    <cellStyle name="20% - Accent3 5 3 5" xfId="2388" xr:uid="{00000000-0005-0000-0000-0000BD230000}"/>
    <cellStyle name="20% - Accent3 5 3 5 2" xfId="8224" xr:uid="{00000000-0005-0000-0000-0000BE230000}"/>
    <cellStyle name="20% - Accent3 5 3 5 2 2" xfId="19525" xr:uid="{00000000-0005-0000-0000-0000BF230000}"/>
    <cellStyle name="20% - Accent3 5 3 5 2 2 2" xfId="42127" xr:uid="{00000000-0005-0000-0000-0000C0230000}"/>
    <cellStyle name="20% - Accent3 5 3 5 2 3" xfId="30826" xr:uid="{00000000-0005-0000-0000-0000C1230000}"/>
    <cellStyle name="20% - Accent3 5 3 5 3" xfId="13875" xr:uid="{00000000-0005-0000-0000-0000C2230000}"/>
    <cellStyle name="20% - Accent3 5 3 5 3 2" xfId="36477" xr:uid="{00000000-0005-0000-0000-0000C3230000}"/>
    <cellStyle name="20% - Accent3 5 3 5 4" xfId="25176" xr:uid="{00000000-0005-0000-0000-0000C4230000}"/>
    <cellStyle name="20% - Accent3 5 3 6" xfId="4173" xr:uid="{00000000-0005-0000-0000-0000C5230000}"/>
    <cellStyle name="20% - Accent3 5 3 6 2" xfId="9823" xr:uid="{00000000-0005-0000-0000-0000C6230000}"/>
    <cellStyle name="20% - Accent3 5 3 6 2 2" xfId="21124" xr:uid="{00000000-0005-0000-0000-0000C7230000}"/>
    <cellStyle name="20% - Accent3 5 3 6 2 2 2" xfId="43726" xr:uid="{00000000-0005-0000-0000-0000C8230000}"/>
    <cellStyle name="20% - Accent3 5 3 6 2 3" xfId="32425" xr:uid="{00000000-0005-0000-0000-0000C9230000}"/>
    <cellStyle name="20% - Accent3 5 3 6 3" xfId="15474" xr:uid="{00000000-0005-0000-0000-0000CA230000}"/>
    <cellStyle name="20% - Accent3 5 3 6 3 2" xfId="38076" xr:uid="{00000000-0005-0000-0000-0000CB230000}"/>
    <cellStyle name="20% - Accent3 5 3 6 4" xfId="26775" xr:uid="{00000000-0005-0000-0000-0000CC230000}"/>
    <cellStyle name="20% - Accent3 5 3 7" xfId="6651" xr:uid="{00000000-0005-0000-0000-0000CD230000}"/>
    <cellStyle name="20% - Accent3 5 3 7 2" xfId="17952" xr:uid="{00000000-0005-0000-0000-0000CE230000}"/>
    <cellStyle name="20% - Accent3 5 3 7 2 2" xfId="40554" xr:uid="{00000000-0005-0000-0000-0000CF230000}"/>
    <cellStyle name="20% - Accent3 5 3 7 3" xfId="29253" xr:uid="{00000000-0005-0000-0000-0000D0230000}"/>
    <cellStyle name="20% - Accent3 5 3 8" xfId="12302" xr:uid="{00000000-0005-0000-0000-0000D1230000}"/>
    <cellStyle name="20% - Accent3 5 3 8 2" xfId="34904" xr:uid="{00000000-0005-0000-0000-0000D2230000}"/>
    <cellStyle name="20% - Accent3 5 3 9" xfId="23603" xr:uid="{00000000-0005-0000-0000-0000D3230000}"/>
    <cellStyle name="20% - Accent3 5 4" xfId="1158" xr:uid="{00000000-0005-0000-0000-0000D4230000}"/>
    <cellStyle name="20% - Accent3 5 4 2" xfId="1667" xr:uid="{00000000-0005-0000-0000-0000D5230000}"/>
    <cellStyle name="20% - Accent3 5 4 2 2" xfId="3226" xr:uid="{00000000-0005-0000-0000-0000D6230000}"/>
    <cellStyle name="20% - Accent3 5 4 2 2 2" xfId="6198" xr:uid="{00000000-0005-0000-0000-0000D7230000}"/>
    <cellStyle name="20% - Accent3 5 4 2 2 2 2" xfId="11848" xr:uid="{00000000-0005-0000-0000-0000D8230000}"/>
    <cellStyle name="20% - Accent3 5 4 2 2 2 2 2" xfId="23149" xr:uid="{00000000-0005-0000-0000-0000D9230000}"/>
    <cellStyle name="20% - Accent3 5 4 2 2 2 2 2 2" xfId="45751" xr:uid="{00000000-0005-0000-0000-0000DA230000}"/>
    <cellStyle name="20% - Accent3 5 4 2 2 2 2 3" xfId="34450" xr:uid="{00000000-0005-0000-0000-0000DB230000}"/>
    <cellStyle name="20% - Accent3 5 4 2 2 2 3" xfId="17499" xr:uid="{00000000-0005-0000-0000-0000DC230000}"/>
    <cellStyle name="20% - Accent3 5 4 2 2 2 3 2" xfId="40101" xr:uid="{00000000-0005-0000-0000-0000DD230000}"/>
    <cellStyle name="20% - Accent3 5 4 2 2 2 4" xfId="28800" xr:uid="{00000000-0005-0000-0000-0000DE230000}"/>
    <cellStyle name="20% - Accent3 5 4 2 2 3" xfId="9016" xr:uid="{00000000-0005-0000-0000-0000DF230000}"/>
    <cellStyle name="20% - Accent3 5 4 2 2 3 2" xfId="20317" xr:uid="{00000000-0005-0000-0000-0000E0230000}"/>
    <cellStyle name="20% - Accent3 5 4 2 2 3 2 2" xfId="42919" xr:uid="{00000000-0005-0000-0000-0000E1230000}"/>
    <cellStyle name="20% - Accent3 5 4 2 2 3 3" xfId="31618" xr:uid="{00000000-0005-0000-0000-0000E2230000}"/>
    <cellStyle name="20% - Accent3 5 4 2 2 4" xfId="14667" xr:uid="{00000000-0005-0000-0000-0000E3230000}"/>
    <cellStyle name="20% - Accent3 5 4 2 2 4 2" xfId="37269" xr:uid="{00000000-0005-0000-0000-0000E4230000}"/>
    <cellStyle name="20% - Accent3 5 4 2 2 5" xfId="25968" xr:uid="{00000000-0005-0000-0000-0000E5230000}"/>
    <cellStyle name="20% - Accent3 5 4 2 3" xfId="4964" xr:uid="{00000000-0005-0000-0000-0000E6230000}"/>
    <cellStyle name="20% - Accent3 5 4 2 3 2" xfId="10614" xr:uid="{00000000-0005-0000-0000-0000E7230000}"/>
    <cellStyle name="20% - Accent3 5 4 2 3 2 2" xfId="21915" xr:uid="{00000000-0005-0000-0000-0000E8230000}"/>
    <cellStyle name="20% - Accent3 5 4 2 3 2 2 2" xfId="44517" xr:uid="{00000000-0005-0000-0000-0000E9230000}"/>
    <cellStyle name="20% - Accent3 5 4 2 3 2 3" xfId="33216" xr:uid="{00000000-0005-0000-0000-0000EA230000}"/>
    <cellStyle name="20% - Accent3 5 4 2 3 3" xfId="16265" xr:uid="{00000000-0005-0000-0000-0000EB230000}"/>
    <cellStyle name="20% - Accent3 5 4 2 3 3 2" xfId="38867" xr:uid="{00000000-0005-0000-0000-0000EC230000}"/>
    <cellStyle name="20% - Accent3 5 4 2 3 4" xfId="27566" xr:uid="{00000000-0005-0000-0000-0000ED230000}"/>
    <cellStyle name="20% - Accent3 5 4 2 4" xfId="7523" xr:uid="{00000000-0005-0000-0000-0000EE230000}"/>
    <cellStyle name="20% - Accent3 5 4 2 4 2" xfId="18824" xr:uid="{00000000-0005-0000-0000-0000EF230000}"/>
    <cellStyle name="20% - Accent3 5 4 2 4 2 2" xfId="41426" xr:uid="{00000000-0005-0000-0000-0000F0230000}"/>
    <cellStyle name="20% - Accent3 5 4 2 4 3" xfId="30125" xr:uid="{00000000-0005-0000-0000-0000F1230000}"/>
    <cellStyle name="20% - Accent3 5 4 2 5" xfId="13174" xr:uid="{00000000-0005-0000-0000-0000F2230000}"/>
    <cellStyle name="20% - Accent3 5 4 2 5 2" xfId="35776" xr:uid="{00000000-0005-0000-0000-0000F3230000}"/>
    <cellStyle name="20% - Accent3 5 4 2 6" xfId="24475" xr:uid="{00000000-0005-0000-0000-0000F4230000}"/>
    <cellStyle name="20% - Accent3 5 4 3" xfId="2555" xr:uid="{00000000-0005-0000-0000-0000F5230000}"/>
    <cellStyle name="20% - Accent3 5 4 3 2" xfId="5574" xr:uid="{00000000-0005-0000-0000-0000F6230000}"/>
    <cellStyle name="20% - Accent3 5 4 3 2 2" xfId="11224" xr:uid="{00000000-0005-0000-0000-0000F7230000}"/>
    <cellStyle name="20% - Accent3 5 4 3 2 2 2" xfId="22525" xr:uid="{00000000-0005-0000-0000-0000F8230000}"/>
    <cellStyle name="20% - Accent3 5 4 3 2 2 2 2" xfId="45127" xr:uid="{00000000-0005-0000-0000-0000F9230000}"/>
    <cellStyle name="20% - Accent3 5 4 3 2 2 3" xfId="33826" xr:uid="{00000000-0005-0000-0000-0000FA230000}"/>
    <cellStyle name="20% - Accent3 5 4 3 2 3" xfId="16875" xr:uid="{00000000-0005-0000-0000-0000FB230000}"/>
    <cellStyle name="20% - Accent3 5 4 3 2 3 2" xfId="39477" xr:uid="{00000000-0005-0000-0000-0000FC230000}"/>
    <cellStyle name="20% - Accent3 5 4 3 2 4" xfId="28176" xr:uid="{00000000-0005-0000-0000-0000FD230000}"/>
    <cellStyle name="20% - Accent3 5 4 3 3" xfId="8391" xr:uid="{00000000-0005-0000-0000-0000FE230000}"/>
    <cellStyle name="20% - Accent3 5 4 3 3 2" xfId="19692" xr:uid="{00000000-0005-0000-0000-0000FF230000}"/>
    <cellStyle name="20% - Accent3 5 4 3 3 2 2" xfId="42294" xr:uid="{00000000-0005-0000-0000-000000240000}"/>
    <cellStyle name="20% - Accent3 5 4 3 3 3" xfId="30993" xr:uid="{00000000-0005-0000-0000-000001240000}"/>
    <cellStyle name="20% - Accent3 5 4 3 4" xfId="14042" xr:uid="{00000000-0005-0000-0000-000002240000}"/>
    <cellStyle name="20% - Accent3 5 4 3 4 2" xfId="36644" xr:uid="{00000000-0005-0000-0000-000003240000}"/>
    <cellStyle name="20% - Accent3 5 4 3 5" xfId="25343" xr:uid="{00000000-0005-0000-0000-000004240000}"/>
    <cellStyle name="20% - Accent3 5 4 4" xfId="4340" xr:uid="{00000000-0005-0000-0000-000005240000}"/>
    <cellStyle name="20% - Accent3 5 4 4 2" xfId="9990" xr:uid="{00000000-0005-0000-0000-000006240000}"/>
    <cellStyle name="20% - Accent3 5 4 4 2 2" xfId="21291" xr:uid="{00000000-0005-0000-0000-000007240000}"/>
    <cellStyle name="20% - Accent3 5 4 4 2 2 2" xfId="43893" xr:uid="{00000000-0005-0000-0000-000008240000}"/>
    <cellStyle name="20% - Accent3 5 4 4 2 3" xfId="32592" xr:uid="{00000000-0005-0000-0000-000009240000}"/>
    <cellStyle name="20% - Accent3 5 4 4 3" xfId="15641" xr:uid="{00000000-0005-0000-0000-00000A240000}"/>
    <cellStyle name="20% - Accent3 5 4 4 3 2" xfId="38243" xr:uid="{00000000-0005-0000-0000-00000B240000}"/>
    <cellStyle name="20% - Accent3 5 4 4 4" xfId="26942" xr:uid="{00000000-0005-0000-0000-00000C240000}"/>
    <cellStyle name="20% - Accent3 5 4 5" xfId="7137" xr:uid="{00000000-0005-0000-0000-00000D240000}"/>
    <cellStyle name="20% - Accent3 5 4 5 2" xfId="18438" xr:uid="{00000000-0005-0000-0000-00000E240000}"/>
    <cellStyle name="20% - Accent3 5 4 5 2 2" xfId="41040" xr:uid="{00000000-0005-0000-0000-00000F240000}"/>
    <cellStyle name="20% - Accent3 5 4 5 3" xfId="29739" xr:uid="{00000000-0005-0000-0000-000010240000}"/>
    <cellStyle name="20% - Accent3 5 4 6" xfId="12788" xr:uid="{00000000-0005-0000-0000-000011240000}"/>
    <cellStyle name="20% - Accent3 5 4 6 2" xfId="35390" xr:uid="{00000000-0005-0000-0000-000012240000}"/>
    <cellStyle name="20% - Accent3 5 4 7" xfId="24089" xr:uid="{00000000-0005-0000-0000-000013240000}"/>
    <cellStyle name="20% - Accent3 5 5" xfId="838" xr:uid="{00000000-0005-0000-0000-000014240000}"/>
    <cellStyle name="20% - Accent3 5 5 2" xfId="2919" xr:uid="{00000000-0005-0000-0000-000015240000}"/>
    <cellStyle name="20% - Accent3 5 5 2 2" xfId="5891" xr:uid="{00000000-0005-0000-0000-000016240000}"/>
    <cellStyle name="20% - Accent3 5 5 2 2 2" xfId="11541" xr:uid="{00000000-0005-0000-0000-000017240000}"/>
    <cellStyle name="20% - Accent3 5 5 2 2 2 2" xfId="22842" xr:uid="{00000000-0005-0000-0000-000018240000}"/>
    <cellStyle name="20% - Accent3 5 5 2 2 2 2 2" xfId="45444" xr:uid="{00000000-0005-0000-0000-000019240000}"/>
    <cellStyle name="20% - Accent3 5 5 2 2 2 3" xfId="34143" xr:uid="{00000000-0005-0000-0000-00001A240000}"/>
    <cellStyle name="20% - Accent3 5 5 2 2 3" xfId="17192" xr:uid="{00000000-0005-0000-0000-00001B240000}"/>
    <cellStyle name="20% - Accent3 5 5 2 2 3 2" xfId="39794" xr:uid="{00000000-0005-0000-0000-00001C240000}"/>
    <cellStyle name="20% - Accent3 5 5 2 2 4" xfId="28493" xr:uid="{00000000-0005-0000-0000-00001D240000}"/>
    <cellStyle name="20% - Accent3 5 5 2 3" xfId="8709" xr:uid="{00000000-0005-0000-0000-00001E240000}"/>
    <cellStyle name="20% - Accent3 5 5 2 3 2" xfId="20010" xr:uid="{00000000-0005-0000-0000-00001F240000}"/>
    <cellStyle name="20% - Accent3 5 5 2 3 2 2" xfId="42612" xr:uid="{00000000-0005-0000-0000-000020240000}"/>
    <cellStyle name="20% - Accent3 5 5 2 3 3" xfId="31311" xr:uid="{00000000-0005-0000-0000-000021240000}"/>
    <cellStyle name="20% - Accent3 5 5 2 4" xfId="14360" xr:uid="{00000000-0005-0000-0000-000022240000}"/>
    <cellStyle name="20% - Accent3 5 5 2 4 2" xfId="36962" xr:uid="{00000000-0005-0000-0000-000023240000}"/>
    <cellStyle name="20% - Accent3 5 5 2 5" xfId="25661" xr:uid="{00000000-0005-0000-0000-000024240000}"/>
    <cellStyle name="20% - Accent3 5 5 3" xfId="4657" xr:uid="{00000000-0005-0000-0000-000025240000}"/>
    <cellStyle name="20% - Accent3 5 5 3 2" xfId="10307" xr:uid="{00000000-0005-0000-0000-000026240000}"/>
    <cellStyle name="20% - Accent3 5 5 3 2 2" xfId="21608" xr:uid="{00000000-0005-0000-0000-000027240000}"/>
    <cellStyle name="20% - Accent3 5 5 3 2 2 2" xfId="44210" xr:uid="{00000000-0005-0000-0000-000028240000}"/>
    <cellStyle name="20% - Accent3 5 5 3 2 3" xfId="32909" xr:uid="{00000000-0005-0000-0000-000029240000}"/>
    <cellStyle name="20% - Accent3 5 5 3 3" xfId="15958" xr:uid="{00000000-0005-0000-0000-00002A240000}"/>
    <cellStyle name="20% - Accent3 5 5 3 3 2" xfId="38560" xr:uid="{00000000-0005-0000-0000-00002B240000}"/>
    <cellStyle name="20% - Accent3 5 5 3 4" xfId="27259" xr:uid="{00000000-0005-0000-0000-00002C240000}"/>
    <cellStyle name="20% - Accent3 5 5 4" xfId="6843" xr:uid="{00000000-0005-0000-0000-00002D240000}"/>
    <cellStyle name="20% - Accent3 5 5 4 2" xfId="18144" xr:uid="{00000000-0005-0000-0000-00002E240000}"/>
    <cellStyle name="20% - Accent3 5 5 4 2 2" xfId="40746" xr:uid="{00000000-0005-0000-0000-00002F240000}"/>
    <cellStyle name="20% - Accent3 5 5 4 3" xfId="29445" xr:uid="{00000000-0005-0000-0000-000030240000}"/>
    <cellStyle name="20% - Accent3 5 5 5" xfId="12494" xr:uid="{00000000-0005-0000-0000-000031240000}"/>
    <cellStyle name="20% - Accent3 5 5 5 2" xfId="35096" xr:uid="{00000000-0005-0000-0000-000032240000}"/>
    <cellStyle name="20% - Accent3 5 5 6" xfId="23795" xr:uid="{00000000-0005-0000-0000-000033240000}"/>
    <cellStyle name="20% - Accent3 5 6" xfId="1660" xr:uid="{00000000-0005-0000-0000-000034240000}"/>
    <cellStyle name="20% - Accent3 5 6 2" xfId="3624" xr:uid="{00000000-0005-0000-0000-000035240000}"/>
    <cellStyle name="20% - Accent3 5 6 2 2" xfId="9337" xr:uid="{00000000-0005-0000-0000-000036240000}"/>
    <cellStyle name="20% - Accent3 5 6 2 2 2" xfId="20638" xr:uid="{00000000-0005-0000-0000-000037240000}"/>
    <cellStyle name="20% - Accent3 5 6 2 2 2 2" xfId="43240" xr:uid="{00000000-0005-0000-0000-000038240000}"/>
    <cellStyle name="20% - Accent3 5 6 2 2 3" xfId="31939" xr:uid="{00000000-0005-0000-0000-000039240000}"/>
    <cellStyle name="20% - Accent3 5 6 2 3" xfId="14988" xr:uid="{00000000-0005-0000-0000-00003A240000}"/>
    <cellStyle name="20% - Accent3 5 6 2 3 2" xfId="37590" xr:uid="{00000000-0005-0000-0000-00003B240000}"/>
    <cellStyle name="20% - Accent3 5 6 2 4" xfId="26289" xr:uid="{00000000-0005-0000-0000-00003C240000}"/>
    <cellStyle name="20% - Accent3 5 6 3" xfId="5267" xr:uid="{00000000-0005-0000-0000-00003D240000}"/>
    <cellStyle name="20% - Accent3 5 6 3 2" xfId="10917" xr:uid="{00000000-0005-0000-0000-00003E240000}"/>
    <cellStyle name="20% - Accent3 5 6 3 2 2" xfId="22218" xr:uid="{00000000-0005-0000-0000-00003F240000}"/>
    <cellStyle name="20% - Accent3 5 6 3 2 2 2" xfId="44820" xr:uid="{00000000-0005-0000-0000-000040240000}"/>
    <cellStyle name="20% - Accent3 5 6 3 2 3" xfId="33519" xr:uid="{00000000-0005-0000-0000-000041240000}"/>
    <cellStyle name="20% - Accent3 5 6 3 3" xfId="16568" xr:uid="{00000000-0005-0000-0000-000042240000}"/>
    <cellStyle name="20% - Accent3 5 6 3 3 2" xfId="39170" xr:uid="{00000000-0005-0000-0000-000043240000}"/>
    <cellStyle name="20% - Accent3 5 6 3 4" xfId="27869" xr:uid="{00000000-0005-0000-0000-000044240000}"/>
    <cellStyle name="20% - Accent3 5 6 4" xfId="7516" xr:uid="{00000000-0005-0000-0000-000045240000}"/>
    <cellStyle name="20% - Accent3 5 6 4 2" xfId="18817" xr:uid="{00000000-0005-0000-0000-000046240000}"/>
    <cellStyle name="20% - Accent3 5 6 4 2 2" xfId="41419" xr:uid="{00000000-0005-0000-0000-000047240000}"/>
    <cellStyle name="20% - Accent3 5 6 4 3" xfId="30118" xr:uid="{00000000-0005-0000-0000-000048240000}"/>
    <cellStyle name="20% - Accent3 5 6 5" xfId="13167" xr:uid="{00000000-0005-0000-0000-000049240000}"/>
    <cellStyle name="20% - Accent3 5 6 5 2" xfId="35769" xr:uid="{00000000-0005-0000-0000-00004A240000}"/>
    <cellStyle name="20% - Accent3 5 6 6" xfId="24468" xr:uid="{00000000-0005-0000-0000-00004B240000}"/>
    <cellStyle name="20% - Accent3 5 7" xfId="2240" xr:uid="{00000000-0005-0000-0000-00004C240000}"/>
    <cellStyle name="20% - Accent3 5 7 2" xfId="8081" xr:uid="{00000000-0005-0000-0000-00004D240000}"/>
    <cellStyle name="20% - Accent3 5 7 2 2" xfId="19382" xr:uid="{00000000-0005-0000-0000-00004E240000}"/>
    <cellStyle name="20% - Accent3 5 7 2 2 2" xfId="41984" xr:uid="{00000000-0005-0000-0000-00004F240000}"/>
    <cellStyle name="20% - Accent3 5 7 2 3" xfId="30683" xr:uid="{00000000-0005-0000-0000-000050240000}"/>
    <cellStyle name="20% - Accent3 5 7 3" xfId="13732" xr:uid="{00000000-0005-0000-0000-000051240000}"/>
    <cellStyle name="20% - Accent3 5 7 3 2" xfId="36334" xr:uid="{00000000-0005-0000-0000-000052240000}"/>
    <cellStyle name="20% - Accent3 5 7 4" xfId="25033" xr:uid="{00000000-0005-0000-0000-000053240000}"/>
    <cellStyle name="20% - Accent3 5 8" xfId="4033" xr:uid="{00000000-0005-0000-0000-000054240000}"/>
    <cellStyle name="20% - Accent3 5 8 2" xfId="9683" xr:uid="{00000000-0005-0000-0000-000055240000}"/>
    <cellStyle name="20% - Accent3 5 8 2 2" xfId="20984" xr:uid="{00000000-0005-0000-0000-000056240000}"/>
    <cellStyle name="20% - Accent3 5 8 2 2 2" xfId="43586" xr:uid="{00000000-0005-0000-0000-000057240000}"/>
    <cellStyle name="20% - Accent3 5 8 2 3" xfId="32285" xr:uid="{00000000-0005-0000-0000-000058240000}"/>
    <cellStyle name="20% - Accent3 5 8 3" xfId="15334" xr:uid="{00000000-0005-0000-0000-000059240000}"/>
    <cellStyle name="20% - Accent3 5 8 3 2" xfId="37936" xr:uid="{00000000-0005-0000-0000-00005A240000}"/>
    <cellStyle name="20% - Accent3 5 8 4" xfId="26635" xr:uid="{00000000-0005-0000-0000-00005B240000}"/>
    <cellStyle name="20% - Accent3 5 9" xfId="6484" xr:uid="{00000000-0005-0000-0000-00005C240000}"/>
    <cellStyle name="20% - Accent3 5 9 2" xfId="17785" xr:uid="{00000000-0005-0000-0000-00005D240000}"/>
    <cellStyle name="20% - Accent3 5 9 2 2" xfId="40387" xr:uid="{00000000-0005-0000-0000-00005E240000}"/>
    <cellStyle name="20% - Accent3 5 9 3" xfId="29086" xr:uid="{00000000-0005-0000-0000-00005F240000}"/>
    <cellStyle name="20% - Accent3 6" xfId="290" xr:uid="{00000000-0005-0000-0000-000060240000}"/>
    <cellStyle name="20% - Accent3 7" xfId="395" xr:uid="{00000000-0005-0000-0000-000061240000}"/>
    <cellStyle name="20% - Accent3 7 10" xfId="23490" xr:uid="{00000000-0005-0000-0000-000062240000}"/>
    <cellStyle name="20% - Accent3 7 2" xfId="640" xr:uid="{00000000-0005-0000-0000-000063240000}"/>
    <cellStyle name="20% - Accent3 7 2 2" xfId="1350" xr:uid="{00000000-0005-0000-0000-000064240000}"/>
    <cellStyle name="20% - Accent3 7 2 2 2" xfId="1670" xr:uid="{00000000-0005-0000-0000-000065240000}"/>
    <cellStyle name="20% - Accent3 7 2 2 2 2" xfId="3419" xr:uid="{00000000-0005-0000-0000-000066240000}"/>
    <cellStyle name="20% - Accent3 7 2 2 2 2 2" xfId="6391" xr:uid="{00000000-0005-0000-0000-000067240000}"/>
    <cellStyle name="20% - Accent3 7 2 2 2 2 2 2" xfId="12041" xr:uid="{00000000-0005-0000-0000-000068240000}"/>
    <cellStyle name="20% - Accent3 7 2 2 2 2 2 2 2" xfId="23342" xr:uid="{00000000-0005-0000-0000-000069240000}"/>
    <cellStyle name="20% - Accent3 7 2 2 2 2 2 2 2 2" xfId="45944" xr:uid="{00000000-0005-0000-0000-00006A240000}"/>
    <cellStyle name="20% - Accent3 7 2 2 2 2 2 2 3" xfId="34643" xr:uid="{00000000-0005-0000-0000-00006B240000}"/>
    <cellStyle name="20% - Accent3 7 2 2 2 2 2 3" xfId="17692" xr:uid="{00000000-0005-0000-0000-00006C240000}"/>
    <cellStyle name="20% - Accent3 7 2 2 2 2 2 3 2" xfId="40294" xr:uid="{00000000-0005-0000-0000-00006D240000}"/>
    <cellStyle name="20% - Accent3 7 2 2 2 2 2 4" xfId="28993" xr:uid="{00000000-0005-0000-0000-00006E240000}"/>
    <cellStyle name="20% - Accent3 7 2 2 2 2 3" xfId="9209" xr:uid="{00000000-0005-0000-0000-00006F240000}"/>
    <cellStyle name="20% - Accent3 7 2 2 2 2 3 2" xfId="20510" xr:uid="{00000000-0005-0000-0000-000070240000}"/>
    <cellStyle name="20% - Accent3 7 2 2 2 2 3 2 2" xfId="43112" xr:uid="{00000000-0005-0000-0000-000071240000}"/>
    <cellStyle name="20% - Accent3 7 2 2 2 2 3 3" xfId="31811" xr:uid="{00000000-0005-0000-0000-000072240000}"/>
    <cellStyle name="20% - Accent3 7 2 2 2 2 4" xfId="14860" xr:uid="{00000000-0005-0000-0000-000073240000}"/>
    <cellStyle name="20% - Accent3 7 2 2 2 2 4 2" xfId="37462" xr:uid="{00000000-0005-0000-0000-000074240000}"/>
    <cellStyle name="20% - Accent3 7 2 2 2 2 5" xfId="26161" xr:uid="{00000000-0005-0000-0000-000075240000}"/>
    <cellStyle name="20% - Accent3 7 2 2 2 3" xfId="5157" xr:uid="{00000000-0005-0000-0000-000076240000}"/>
    <cellStyle name="20% - Accent3 7 2 2 2 3 2" xfId="10807" xr:uid="{00000000-0005-0000-0000-000077240000}"/>
    <cellStyle name="20% - Accent3 7 2 2 2 3 2 2" xfId="22108" xr:uid="{00000000-0005-0000-0000-000078240000}"/>
    <cellStyle name="20% - Accent3 7 2 2 2 3 2 2 2" xfId="44710" xr:uid="{00000000-0005-0000-0000-000079240000}"/>
    <cellStyle name="20% - Accent3 7 2 2 2 3 2 3" xfId="33409" xr:uid="{00000000-0005-0000-0000-00007A240000}"/>
    <cellStyle name="20% - Accent3 7 2 2 2 3 3" xfId="16458" xr:uid="{00000000-0005-0000-0000-00007B240000}"/>
    <cellStyle name="20% - Accent3 7 2 2 2 3 3 2" xfId="39060" xr:uid="{00000000-0005-0000-0000-00007C240000}"/>
    <cellStyle name="20% - Accent3 7 2 2 2 3 4" xfId="27759" xr:uid="{00000000-0005-0000-0000-00007D240000}"/>
    <cellStyle name="20% - Accent3 7 2 2 2 4" xfId="7526" xr:uid="{00000000-0005-0000-0000-00007E240000}"/>
    <cellStyle name="20% - Accent3 7 2 2 2 4 2" xfId="18827" xr:uid="{00000000-0005-0000-0000-00007F240000}"/>
    <cellStyle name="20% - Accent3 7 2 2 2 4 2 2" xfId="41429" xr:uid="{00000000-0005-0000-0000-000080240000}"/>
    <cellStyle name="20% - Accent3 7 2 2 2 4 3" xfId="30128" xr:uid="{00000000-0005-0000-0000-000081240000}"/>
    <cellStyle name="20% - Accent3 7 2 2 2 5" xfId="13177" xr:uid="{00000000-0005-0000-0000-000082240000}"/>
    <cellStyle name="20% - Accent3 7 2 2 2 5 2" xfId="35779" xr:uid="{00000000-0005-0000-0000-000083240000}"/>
    <cellStyle name="20% - Accent3 7 2 2 2 6" xfId="24478" xr:uid="{00000000-0005-0000-0000-000084240000}"/>
    <cellStyle name="20% - Accent3 7 2 2 3" xfId="2748" xr:uid="{00000000-0005-0000-0000-000085240000}"/>
    <cellStyle name="20% - Accent3 7 2 2 3 2" xfId="5767" xr:uid="{00000000-0005-0000-0000-000086240000}"/>
    <cellStyle name="20% - Accent3 7 2 2 3 2 2" xfId="11417" xr:uid="{00000000-0005-0000-0000-000087240000}"/>
    <cellStyle name="20% - Accent3 7 2 2 3 2 2 2" xfId="22718" xr:uid="{00000000-0005-0000-0000-000088240000}"/>
    <cellStyle name="20% - Accent3 7 2 2 3 2 2 2 2" xfId="45320" xr:uid="{00000000-0005-0000-0000-000089240000}"/>
    <cellStyle name="20% - Accent3 7 2 2 3 2 2 3" xfId="34019" xr:uid="{00000000-0005-0000-0000-00008A240000}"/>
    <cellStyle name="20% - Accent3 7 2 2 3 2 3" xfId="17068" xr:uid="{00000000-0005-0000-0000-00008B240000}"/>
    <cellStyle name="20% - Accent3 7 2 2 3 2 3 2" xfId="39670" xr:uid="{00000000-0005-0000-0000-00008C240000}"/>
    <cellStyle name="20% - Accent3 7 2 2 3 2 4" xfId="28369" xr:uid="{00000000-0005-0000-0000-00008D240000}"/>
    <cellStyle name="20% - Accent3 7 2 2 3 3" xfId="8584" xr:uid="{00000000-0005-0000-0000-00008E240000}"/>
    <cellStyle name="20% - Accent3 7 2 2 3 3 2" xfId="19885" xr:uid="{00000000-0005-0000-0000-00008F240000}"/>
    <cellStyle name="20% - Accent3 7 2 2 3 3 2 2" xfId="42487" xr:uid="{00000000-0005-0000-0000-000090240000}"/>
    <cellStyle name="20% - Accent3 7 2 2 3 3 3" xfId="31186" xr:uid="{00000000-0005-0000-0000-000091240000}"/>
    <cellStyle name="20% - Accent3 7 2 2 3 4" xfId="14235" xr:uid="{00000000-0005-0000-0000-000092240000}"/>
    <cellStyle name="20% - Accent3 7 2 2 3 4 2" xfId="36837" xr:uid="{00000000-0005-0000-0000-000093240000}"/>
    <cellStyle name="20% - Accent3 7 2 2 3 5" xfId="25536" xr:uid="{00000000-0005-0000-0000-000094240000}"/>
    <cellStyle name="20% - Accent3 7 2 2 4" xfId="4533" xr:uid="{00000000-0005-0000-0000-000095240000}"/>
    <cellStyle name="20% - Accent3 7 2 2 4 2" xfId="10183" xr:uid="{00000000-0005-0000-0000-000096240000}"/>
    <cellStyle name="20% - Accent3 7 2 2 4 2 2" xfId="21484" xr:uid="{00000000-0005-0000-0000-000097240000}"/>
    <cellStyle name="20% - Accent3 7 2 2 4 2 2 2" xfId="44086" xr:uid="{00000000-0005-0000-0000-000098240000}"/>
    <cellStyle name="20% - Accent3 7 2 2 4 2 3" xfId="32785" xr:uid="{00000000-0005-0000-0000-000099240000}"/>
    <cellStyle name="20% - Accent3 7 2 2 4 3" xfId="15834" xr:uid="{00000000-0005-0000-0000-00009A240000}"/>
    <cellStyle name="20% - Accent3 7 2 2 4 3 2" xfId="38436" xr:uid="{00000000-0005-0000-0000-00009B240000}"/>
    <cellStyle name="20% - Accent3 7 2 2 4 4" xfId="27135" xr:uid="{00000000-0005-0000-0000-00009C240000}"/>
    <cellStyle name="20% - Accent3 7 2 2 5" xfId="7329" xr:uid="{00000000-0005-0000-0000-00009D240000}"/>
    <cellStyle name="20% - Accent3 7 2 2 5 2" xfId="18630" xr:uid="{00000000-0005-0000-0000-00009E240000}"/>
    <cellStyle name="20% - Accent3 7 2 2 5 2 2" xfId="41232" xr:uid="{00000000-0005-0000-0000-00009F240000}"/>
    <cellStyle name="20% - Accent3 7 2 2 5 3" xfId="29931" xr:uid="{00000000-0005-0000-0000-0000A0240000}"/>
    <cellStyle name="20% - Accent3 7 2 2 6" xfId="12980" xr:uid="{00000000-0005-0000-0000-0000A1240000}"/>
    <cellStyle name="20% - Accent3 7 2 2 6 2" xfId="35582" xr:uid="{00000000-0005-0000-0000-0000A2240000}"/>
    <cellStyle name="20% - Accent3 7 2 2 7" xfId="24281" xr:uid="{00000000-0005-0000-0000-0000A3240000}"/>
    <cellStyle name="20% - Accent3 7 2 3" xfId="1048" xr:uid="{00000000-0005-0000-0000-0000A4240000}"/>
    <cellStyle name="20% - Accent3 7 2 3 2" xfId="3111" xr:uid="{00000000-0005-0000-0000-0000A5240000}"/>
    <cellStyle name="20% - Accent3 7 2 3 2 2" xfId="6083" xr:uid="{00000000-0005-0000-0000-0000A6240000}"/>
    <cellStyle name="20% - Accent3 7 2 3 2 2 2" xfId="11733" xr:uid="{00000000-0005-0000-0000-0000A7240000}"/>
    <cellStyle name="20% - Accent3 7 2 3 2 2 2 2" xfId="23034" xr:uid="{00000000-0005-0000-0000-0000A8240000}"/>
    <cellStyle name="20% - Accent3 7 2 3 2 2 2 2 2" xfId="45636" xr:uid="{00000000-0005-0000-0000-0000A9240000}"/>
    <cellStyle name="20% - Accent3 7 2 3 2 2 2 3" xfId="34335" xr:uid="{00000000-0005-0000-0000-0000AA240000}"/>
    <cellStyle name="20% - Accent3 7 2 3 2 2 3" xfId="17384" xr:uid="{00000000-0005-0000-0000-0000AB240000}"/>
    <cellStyle name="20% - Accent3 7 2 3 2 2 3 2" xfId="39986" xr:uid="{00000000-0005-0000-0000-0000AC240000}"/>
    <cellStyle name="20% - Accent3 7 2 3 2 2 4" xfId="28685" xr:uid="{00000000-0005-0000-0000-0000AD240000}"/>
    <cellStyle name="20% - Accent3 7 2 3 2 3" xfId="8901" xr:uid="{00000000-0005-0000-0000-0000AE240000}"/>
    <cellStyle name="20% - Accent3 7 2 3 2 3 2" xfId="20202" xr:uid="{00000000-0005-0000-0000-0000AF240000}"/>
    <cellStyle name="20% - Accent3 7 2 3 2 3 2 2" xfId="42804" xr:uid="{00000000-0005-0000-0000-0000B0240000}"/>
    <cellStyle name="20% - Accent3 7 2 3 2 3 3" xfId="31503" xr:uid="{00000000-0005-0000-0000-0000B1240000}"/>
    <cellStyle name="20% - Accent3 7 2 3 2 4" xfId="14552" xr:uid="{00000000-0005-0000-0000-0000B2240000}"/>
    <cellStyle name="20% - Accent3 7 2 3 2 4 2" xfId="37154" xr:uid="{00000000-0005-0000-0000-0000B3240000}"/>
    <cellStyle name="20% - Accent3 7 2 3 2 5" xfId="25853" xr:uid="{00000000-0005-0000-0000-0000B4240000}"/>
    <cellStyle name="20% - Accent3 7 2 3 3" xfId="4849" xr:uid="{00000000-0005-0000-0000-0000B5240000}"/>
    <cellStyle name="20% - Accent3 7 2 3 3 2" xfId="10499" xr:uid="{00000000-0005-0000-0000-0000B6240000}"/>
    <cellStyle name="20% - Accent3 7 2 3 3 2 2" xfId="21800" xr:uid="{00000000-0005-0000-0000-0000B7240000}"/>
    <cellStyle name="20% - Accent3 7 2 3 3 2 2 2" xfId="44402" xr:uid="{00000000-0005-0000-0000-0000B8240000}"/>
    <cellStyle name="20% - Accent3 7 2 3 3 2 3" xfId="33101" xr:uid="{00000000-0005-0000-0000-0000B9240000}"/>
    <cellStyle name="20% - Accent3 7 2 3 3 3" xfId="16150" xr:uid="{00000000-0005-0000-0000-0000BA240000}"/>
    <cellStyle name="20% - Accent3 7 2 3 3 3 2" xfId="38752" xr:uid="{00000000-0005-0000-0000-0000BB240000}"/>
    <cellStyle name="20% - Accent3 7 2 3 3 4" xfId="27451" xr:uid="{00000000-0005-0000-0000-0000BC240000}"/>
    <cellStyle name="20% - Accent3 7 2 3 4" xfId="7036" xr:uid="{00000000-0005-0000-0000-0000BD240000}"/>
    <cellStyle name="20% - Accent3 7 2 3 4 2" xfId="18337" xr:uid="{00000000-0005-0000-0000-0000BE240000}"/>
    <cellStyle name="20% - Accent3 7 2 3 4 2 2" xfId="40939" xr:uid="{00000000-0005-0000-0000-0000BF240000}"/>
    <cellStyle name="20% - Accent3 7 2 3 4 3" xfId="29638" xr:uid="{00000000-0005-0000-0000-0000C0240000}"/>
    <cellStyle name="20% - Accent3 7 2 3 5" xfId="12687" xr:uid="{00000000-0005-0000-0000-0000C1240000}"/>
    <cellStyle name="20% - Accent3 7 2 3 5 2" xfId="35289" xr:uid="{00000000-0005-0000-0000-0000C2240000}"/>
    <cellStyle name="20% - Accent3 7 2 3 6" xfId="23988" xr:uid="{00000000-0005-0000-0000-0000C3240000}"/>
    <cellStyle name="20% - Accent3 7 2 4" xfId="1669" xr:uid="{00000000-0005-0000-0000-0000C4240000}"/>
    <cellStyle name="20% - Accent3 7 2 4 2" xfId="3629" xr:uid="{00000000-0005-0000-0000-0000C5240000}"/>
    <cellStyle name="20% - Accent3 7 2 4 2 2" xfId="9342" xr:uid="{00000000-0005-0000-0000-0000C6240000}"/>
    <cellStyle name="20% - Accent3 7 2 4 2 2 2" xfId="20643" xr:uid="{00000000-0005-0000-0000-0000C7240000}"/>
    <cellStyle name="20% - Accent3 7 2 4 2 2 2 2" xfId="43245" xr:uid="{00000000-0005-0000-0000-0000C8240000}"/>
    <cellStyle name="20% - Accent3 7 2 4 2 2 3" xfId="31944" xr:uid="{00000000-0005-0000-0000-0000C9240000}"/>
    <cellStyle name="20% - Accent3 7 2 4 2 3" xfId="14993" xr:uid="{00000000-0005-0000-0000-0000CA240000}"/>
    <cellStyle name="20% - Accent3 7 2 4 2 3 2" xfId="37595" xr:uid="{00000000-0005-0000-0000-0000CB240000}"/>
    <cellStyle name="20% - Accent3 7 2 4 2 4" xfId="26294" xr:uid="{00000000-0005-0000-0000-0000CC240000}"/>
    <cellStyle name="20% - Accent3 7 2 4 3" xfId="5459" xr:uid="{00000000-0005-0000-0000-0000CD240000}"/>
    <cellStyle name="20% - Accent3 7 2 4 3 2" xfId="11109" xr:uid="{00000000-0005-0000-0000-0000CE240000}"/>
    <cellStyle name="20% - Accent3 7 2 4 3 2 2" xfId="22410" xr:uid="{00000000-0005-0000-0000-0000CF240000}"/>
    <cellStyle name="20% - Accent3 7 2 4 3 2 2 2" xfId="45012" xr:uid="{00000000-0005-0000-0000-0000D0240000}"/>
    <cellStyle name="20% - Accent3 7 2 4 3 2 3" xfId="33711" xr:uid="{00000000-0005-0000-0000-0000D1240000}"/>
    <cellStyle name="20% - Accent3 7 2 4 3 3" xfId="16760" xr:uid="{00000000-0005-0000-0000-0000D2240000}"/>
    <cellStyle name="20% - Accent3 7 2 4 3 3 2" xfId="39362" xr:uid="{00000000-0005-0000-0000-0000D3240000}"/>
    <cellStyle name="20% - Accent3 7 2 4 3 4" xfId="28061" xr:uid="{00000000-0005-0000-0000-0000D4240000}"/>
    <cellStyle name="20% - Accent3 7 2 4 4" xfId="7525" xr:uid="{00000000-0005-0000-0000-0000D5240000}"/>
    <cellStyle name="20% - Accent3 7 2 4 4 2" xfId="18826" xr:uid="{00000000-0005-0000-0000-0000D6240000}"/>
    <cellStyle name="20% - Accent3 7 2 4 4 2 2" xfId="41428" xr:uid="{00000000-0005-0000-0000-0000D7240000}"/>
    <cellStyle name="20% - Accent3 7 2 4 4 3" xfId="30127" xr:uid="{00000000-0005-0000-0000-0000D8240000}"/>
    <cellStyle name="20% - Accent3 7 2 4 5" xfId="13176" xr:uid="{00000000-0005-0000-0000-0000D9240000}"/>
    <cellStyle name="20% - Accent3 7 2 4 5 2" xfId="35778" xr:uid="{00000000-0005-0000-0000-0000DA240000}"/>
    <cellStyle name="20% - Accent3 7 2 4 6" xfId="24477" xr:uid="{00000000-0005-0000-0000-0000DB240000}"/>
    <cellStyle name="20% - Accent3 7 2 5" xfId="2440" xr:uid="{00000000-0005-0000-0000-0000DC240000}"/>
    <cellStyle name="20% - Accent3 7 2 5 2" xfId="8276" xr:uid="{00000000-0005-0000-0000-0000DD240000}"/>
    <cellStyle name="20% - Accent3 7 2 5 2 2" xfId="19577" xr:uid="{00000000-0005-0000-0000-0000DE240000}"/>
    <cellStyle name="20% - Accent3 7 2 5 2 2 2" xfId="42179" xr:uid="{00000000-0005-0000-0000-0000DF240000}"/>
    <cellStyle name="20% - Accent3 7 2 5 2 3" xfId="30878" xr:uid="{00000000-0005-0000-0000-0000E0240000}"/>
    <cellStyle name="20% - Accent3 7 2 5 3" xfId="13927" xr:uid="{00000000-0005-0000-0000-0000E1240000}"/>
    <cellStyle name="20% - Accent3 7 2 5 3 2" xfId="36529" xr:uid="{00000000-0005-0000-0000-0000E2240000}"/>
    <cellStyle name="20% - Accent3 7 2 5 4" xfId="25228" xr:uid="{00000000-0005-0000-0000-0000E3240000}"/>
    <cellStyle name="20% - Accent3 7 2 6" xfId="4225" xr:uid="{00000000-0005-0000-0000-0000E4240000}"/>
    <cellStyle name="20% - Accent3 7 2 6 2" xfId="9875" xr:uid="{00000000-0005-0000-0000-0000E5240000}"/>
    <cellStyle name="20% - Accent3 7 2 6 2 2" xfId="21176" xr:uid="{00000000-0005-0000-0000-0000E6240000}"/>
    <cellStyle name="20% - Accent3 7 2 6 2 2 2" xfId="43778" xr:uid="{00000000-0005-0000-0000-0000E7240000}"/>
    <cellStyle name="20% - Accent3 7 2 6 2 3" xfId="32477" xr:uid="{00000000-0005-0000-0000-0000E8240000}"/>
    <cellStyle name="20% - Accent3 7 2 6 3" xfId="15526" xr:uid="{00000000-0005-0000-0000-0000E9240000}"/>
    <cellStyle name="20% - Accent3 7 2 6 3 2" xfId="38128" xr:uid="{00000000-0005-0000-0000-0000EA240000}"/>
    <cellStyle name="20% - Accent3 7 2 6 4" xfId="26827" xr:uid="{00000000-0005-0000-0000-0000EB240000}"/>
    <cellStyle name="20% - Accent3 7 2 7" xfId="6705" xr:uid="{00000000-0005-0000-0000-0000EC240000}"/>
    <cellStyle name="20% - Accent3 7 2 7 2" xfId="18006" xr:uid="{00000000-0005-0000-0000-0000ED240000}"/>
    <cellStyle name="20% - Accent3 7 2 7 2 2" xfId="40608" xr:uid="{00000000-0005-0000-0000-0000EE240000}"/>
    <cellStyle name="20% - Accent3 7 2 7 3" xfId="29307" xr:uid="{00000000-0005-0000-0000-0000EF240000}"/>
    <cellStyle name="20% - Accent3 7 2 8" xfId="12356" xr:uid="{00000000-0005-0000-0000-0000F0240000}"/>
    <cellStyle name="20% - Accent3 7 2 8 2" xfId="34958" xr:uid="{00000000-0005-0000-0000-0000F1240000}"/>
    <cellStyle name="20% - Accent3 7 2 9" xfId="23657" xr:uid="{00000000-0005-0000-0000-0000F2240000}"/>
    <cellStyle name="20% - Accent3 7 3" xfId="1212" xr:uid="{00000000-0005-0000-0000-0000F3240000}"/>
    <cellStyle name="20% - Accent3 7 3 2" xfId="1671" xr:uid="{00000000-0005-0000-0000-0000F4240000}"/>
    <cellStyle name="20% - Accent3 7 3 2 2" xfId="3280" xr:uid="{00000000-0005-0000-0000-0000F5240000}"/>
    <cellStyle name="20% - Accent3 7 3 2 2 2" xfId="6252" xr:uid="{00000000-0005-0000-0000-0000F6240000}"/>
    <cellStyle name="20% - Accent3 7 3 2 2 2 2" xfId="11902" xr:uid="{00000000-0005-0000-0000-0000F7240000}"/>
    <cellStyle name="20% - Accent3 7 3 2 2 2 2 2" xfId="23203" xr:uid="{00000000-0005-0000-0000-0000F8240000}"/>
    <cellStyle name="20% - Accent3 7 3 2 2 2 2 2 2" xfId="45805" xr:uid="{00000000-0005-0000-0000-0000F9240000}"/>
    <cellStyle name="20% - Accent3 7 3 2 2 2 2 3" xfId="34504" xr:uid="{00000000-0005-0000-0000-0000FA240000}"/>
    <cellStyle name="20% - Accent3 7 3 2 2 2 3" xfId="17553" xr:uid="{00000000-0005-0000-0000-0000FB240000}"/>
    <cellStyle name="20% - Accent3 7 3 2 2 2 3 2" xfId="40155" xr:uid="{00000000-0005-0000-0000-0000FC240000}"/>
    <cellStyle name="20% - Accent3 7 3 2 2 2 4" xfId="28854" xr:uid="{00000000-0005-0000-0000-0000FD240000}"/>
    <cellStyle name="20% - Accent3 7 3 2 2 3" xfId="9070" xr:uid="{00000000-0005-0000-0000-0000FE240000}"/>
    <cellStyle name="20% - Accent3 7 3 2 2 3 2" xfId="20371" xr:uid="{00000000-0005-0000-0000-0000FF240000}"/>
    <cellStyle name="20% - Accent3 7 3 2 2 3 2 2" xfId="42973" xr:uid="{00000000-0005-0000-0000-000000250000}"/>
    <cellStyle name="20% - Accent3 7 3 2 2 3 3" xfId="31672" xr:uid="{00000000-0005-0000-0000-000001250000}"/>
    <cellStyle name="20% - Accent3 7 3 2 2 4" xfId="14721" xr:uid="{00000000-0005-0000-0000-000002250000}"/>
    <cellStyle name="20% - Accent3 7 3 2 2 4 2" xfId="37323" xr:uid="{00000000-0005-0000-0000-000003250000}"/>
    <cellStyle name="20% - Accent3 7 3 2 2 5" xfId="26022" xr:uid="{00000000-0005-0000-0000-000004250000}"/>
    <cellStyle name="20% - Accent3 7 3 2 3" xfId="5018" xr:uid="{00000000-0005-0000-0000-000005250000}"/>
    <cellStyle name="20% - Accent3 7 3 2 3 2" xfId="10668" xr:uid="{00000000-0005-0000-0000-000006250000}"/>
    <cellStyle name="20% - Accent3 7 3 2 3 2 2" xfId="21969" xr:uid="{00000000-0005-0000-0000-000007250000}"/>
    <cellStyle name="20% - Accent3 7 3 2 3 2 2 2" xfId="44571" xr:uid="{00000000-0005-0000-0000-000008250000}"/>
    <cellStyle name="20% - Accent3 7 3 2 3 2 3" xfId="33270" xr:uid="{00000000-0005-0000-0000-000009250000}"/>
    <cellStyle name="20% - Accent3 7 3 2 3 3" xfId="16319" xr:uid="{00000000-0005-0000-0000-00000A250000}"/>
    <cellStyle name="20% - Accent3 7 3 2 3 3 2" xfId="38921" xr:uid="{00000000-0005-0000-0000-00000B250000}"/>
    <cellStyle name="20% - Accent3 7 3 2 3 4" xfId="27620" xr:uid="{00000000-0005-0000-0000-00000C250000}"/>
    <cellStyle name="20% - Accent3 7 3 2 4" xfId="7527" xr:uid="{00000000-0005-0000-0000-00000D250000}"/>
    <cellStyle name="20% - Accent3 7 3 2 4 2" xfId="18828" xr:uid="{00000000-0005-0000-0000-00000E250000}"/>
    <cellStyle name="20% - Accent3 7 3 2 4 2 2" xfId="41430" xr:uid="{00000000-0005-0000-0000-00000F250000}"/>
    <cellStyle name="20% - Accent3 7 3 2 4 3" xfId="30129" xr:uid="{00000000-0005-0000-0000-000010250000}"/>
    <cellStyle name="20% - Accent3 7 3 2 5" xfId="13178" xr:uid="{00000000-0005-0000-0000-000011250000}"/>
    <cellStyle name="20% - Accent3 7 3 2 5 2" xfId="35780" xr:uid="{00000000-0005-0000-0000-000012250000}"/>
    <cellStyle name="20% - Accent3 7 3 2 6" xfId="24479" xr:uid="{00000000-0005-0000-0000-000013250000}"/>
    <cellStyle name="20% - Accent3 7 3 3" xfId="2609" xr:uid="{00000000-0005-0000-0000-000014250000}"/>
    <cellStyle name="20% - Accent3 7 3 3 2" xfId="5628" xr:uid="{00000000-0005-0000-0000-000015250000}"/>
    <cellStyle name="20% - Accent3 7 3 3 2 2" xfId="11278" xr:uid="{00000000-0005-0000-0000-000016250000}"/>
    <cellStyle name="20% - Accent3 7 3 3 2 2 2" xfId="22579" xr:uid="{00000000-0005-0000-0000-000017250000}"/>
    <cellStyle name="20% - Accent3 7 3 3 2 2 2 2" xfId="45181" xr:uid="{00000000-0005-0000-0000-000018250000}"/>
    <cellStyle name="20% - Accent3 7 3 3 2 2 3" xfId="33880" xr:uid="{00000000-0005-0000-0000-000019250000}"/>
    <cellStyle name="20% - Accent3 7 3 3 2 3" xfId="16929" xr:uid="{00000000-0005-0000-0000-00001A250000}"/>
    <cellStyle name="20% - Accent3 7 3 3 2 3 2" xfId="39531" xr:uid="{00000000-0005-0000-0000-00001B250000}"/>
    <cellStyle name="20% - Accent3 7 3 3 2 4" xfId="28230" xr:uid="{00000000-0005-0000-0000-00001C250000}"/>
    <cellStyle name="20% - Accent3 7 3 3 3" xfId="8445" xr:uid="{00000000-0005-0000-0000-00001D250000}"/>
    <cellStyle name="20% - Accent3 7 3 3 3 2" xfId="19746" xr:uid="{00000000-0005-0000-0000-00001E250000}"/>
    <cellStyle name="20% - Accent3 7 3 3 3 2 2" xfId="42348" xr:uid="{00000000-0005-0000-0000-00001F250000}"/>
    <cellStyle name="20% - Accent3 7 3 3 3 3" xfId="31047" xr:uid="{00000000-0005-0000-0000-000020250000}"/>
    <cellStyle name="20% - Accent3 7 3 3 4" xfId="14096" xr:uid="{00000000-0005-0000-0000-000021250000}"/>
    <cellStyle name="20% - Accent3 7 3 3 4 2" xfId="36698" xr:uid="{00000000-0005-0000-0000-000022250000}"/>
    <cellStyle name="20% - Accent3 7 3 3 5" xfId="25397" xr:uid="{00000000-0005-0000-0000-000023250000}"/>
    <cellStyle name="20% - Accent3 7 3 4" xfId="4394" xr:uid="{00000000-0005-0000-0000-000024250000}"/>
    <cellStyle name="20% - Accent3 7 3 4 2" xfId="10044" xr:uid="{00000000-0005-0000-0000-000025250000}"/>
    <cellStyle name="20% - Accent3 7 3 4 2 2" xfId="21345" xr:uid="{00000000-0005-0000-0000-000026250000}"/>
    <cellStyle name="20% - Accent3 7 3 4 2 2 2" xfId="43947" xr:uid="{00000000-0005-0000-0000-000027250000}"/>
    <cellStyle name="20% - Accent3 7 3 4 2 3" xfId="32646" xr:uid="{00000000-0005-0000-0000-000028250000}"/>
    <cellStyle name="20% - Accent3 7 3 4 3" xfId="15695" xr:uid="{00000000-0005-0000-0000-000029250000}"/>
    <cellStyle name="20% - Accent3 7 3 4 3 2" xfId="38297" xr:uid="{00000000-0005-0000-0000-00002A250000}"/>
    <cellStyle name="20% - Accent3 7 3 4 4" xfId="26996" xr:uid="{00000000-0005-0000-0000-00002B250000}"/>
    <cellStyle name="20% - Accent3 7 3 5" xfId="7191" xr:uid="{00000000-0005-0000-0000-00002C250000}"/>
    <cellStyle name="20% - Accent3 7 3 5 2" xfId="18492" xr:uid="{00000000-0005-0000-0000-00002D250000}"/>
    <cellStyle name="20% - Accent3 7 3 5 2 2" xfId="41094" xr:uid="{00000000-0005-0000-0000-00002E250000}"/>
    <cellStyle name="20% - Accent3 7 3 5 3" xfId="29793" xr:uid="{00000000-0005-0000-0000-00002F250000}"/>
    <cellStyle name="20% - Accent3 7 3 6" xfId="12842" xr:uid="{00000000-0005-0000-0000-000030250000}"/>
    <cellStyle name="20% - Accent3 7 3 6 2" xfId="35444" xr:uid="{00000000-0005-0000-0000-000031250000}"/>
    <cellStyle name="20% - Accent3 7 3 7" xfId="24143" xr:uid="{00000000-0005-0000-0000-000032250000}"/>
    <cellStyle name="20% - Accent3 7 4" xfId="903" xr:uid="{00000000-0005-0000-0000-000033250000}"/>
    <cellStyle name="20% - Accent3 7 4 2" xfId="2973" xr:uid="{00000000-0005-0000-0000-000034250000}"/>
    <cellStyle name="20% - Accent3 7 4 2 2" xfId="5945" xr:uid="{00000000-0005-0000-0000-000035250000}"/>
    <cellStyle name="20% - Accent3 7 4 2 2 2" xfId="11595" xr:uid="{00000000-0005-0000-0000-000036250000}"/>
    <cellStyle name="20% - Accent3 7 4 2 2 2 2" xfId="22896" xr:uid="{00000000-0005-0000-0000-000037250000}"/>
    <cellStyle name="20% - Accent3 7 4 2 2 2 2 2" xfId="45498" xr:uid="{00000000-0005-0000-0000-000038250000}"/>
    <cellStyle name="20% - Accent3 7 4 2 2 2 3" xfId="34197" xr:uid="{00000000-0005-0000-0000-000039250000}"/>
    <cellStyle name="20% - Accent3 7 4 2 2 3" xfId="17246" xr:uid="{00000000-0005-0000-0000-00003A250000}"/>
    <cellStyle name="20% - Accent3 7 4 2 2 3 2" xfId="39848" xr:uid="{00000000-0005-0000-0000-00003B250000}"/>
    <cellStyle name="20% - Accent3 7 4 2 2 4" xfId="28547" xr:uid="{00000000-0005-0000-0000-00003C250000}"/>
    <cellStyle name="20% - Accent3 7 4 2 3" xfId="8763" xr:uid="{00000000-0005-0000-0000-00003D250000}"/>
    <cellStyle name="20% - Accent3 7 4 2 3 2" xfId="20064" xr:uid="{00000000-0005-0000-0000-00003E250000}"/>
    <cellStyle name="20% - Accent3 7 4 2 3 2 2" xfId="42666" xr:uid="{00000000-0005-0000-0000-00003F250000}"/>
    <cellStyle name="20% - Accent3 7 4 2 3 3" xfId="31365" xr:uid="{00000000-0005-0000-0000-000040250000}"/>
    <cellStyle name="20% - Accent3 7 4 2 4" xfId="14414" xr:uid="{00000000-0005-0000-0000-000041250000}"/>
    <cellStyle name="20% - Accent3 7 4 2 4 2" xfId="37016" xr:uid="{00000000-0005-0000-0000-000042250000}"/>
    <cellStyle name="20% - Accent3 7 4 2 5" xfId="25715" xr:uid="{00000000-0005-0000-0000-000043250000}"/>
    <cellStyle name="20% - Accent3 7 4 3" xfId="4711" xr:uid="{00000000-0005-0000-0000-000044250000}"/>
    <cellStyle name="20% - Accent3 7 4 3 2" xfId="10361" xr:uid="{00000000-0005-0000-0000-000045250000}"/>
    <cellStyle name="20% - Accent3 7 4 3 2 2" xfId="21662" xr:uid="{00000000-0005-0000-0000-000046250000}"/>
    <cellStyle name="20% - Accent3 7 4 3 2 2 2" xfId="44264" xr:uid="{00000000-0005-0000-0000-000047250000}"/>
    <cellStyle name="20% - Accent3 7 4 3 2 3" xfId="32963" xr:uid="{00000000-0005-0000-0000-000048250000}"/>
    <cellStyle name="20% - Accent3 7 4 3 3" xfId="16012" xr:uid="{00000000-0005-0000-0000-000049250000}"/>
    <cellStyle name="20% - Accent3 7 4 3 3 2" xfId="38614" xr:uid="{00000000-0005-0000-0000-00004A250000}"/>
    <cellStyle name="20% - Accent3 7 4 3 4" xfId="27313" xr:uid="{00000000-0005-0000-0000-00004B250000}"/>
    <cellStyle name="20% - Accent3 7 4 4" xfId="6898" xr:uid="{00000000-0005-0000-0000-00004C250000}"/>
    <cellStyle name="20% - Accent3 7 4 4 2" xfId="18199" xr:uid="{00000000-0005-0000-0000-00004D250000}"/>
    <cellStyle name="20% - Accent3 7 4 4 2 2" xfId="40801" xr:uid="{00000000-0005-0000-0000-00004E250000}"/>
    <cellStyle name="20% - Accent3 7 4 4 3" xfId="29500" xr:uid="{00000000-0005-0000-0000-00004F250000}"/>
    <cellStyle name="20% - Accent3 7 4 5" xfId="12549" xr:uid="{00000000-0005-0000-0000-000050250000}"/>
    <cellStyle name="20% - Accent3 7 4 5 2" xfId="35151" xr:uid="{00000000-0005-0000-0000-000051250000}"/>
    <cellStyle name="20% - Accent3 7 4 6" xfId="23850" xr:uid="{00000000-0005-0000-0000-000052250000}"/>
    <cellStyle name="20% - Accent3 7 5" xfId="1668" xr:uid="{00000000-0005-0000-0000-000053250000}"/>
    <cellStyle name="20% - Accent3 7 5 2" xfId="3628" xr:uid="{00000000-0005-0000-0000-000054250000}"/>
    <cellStyle name="20% - Accent3 7 5 2 2" xfId="9341" xr:uid="{00000000-0005-0000-0000-000055250000}"/>
    <cellStyle name="20% - Accent3 7 5 2 2 2" xfId="20642" xr:uid="{00000000-0005-0000-0000-000056250000}"/>
    <cellStyle name="20% - Accent3 7 5 2 2 2 2" xfId="43244" xr:uid="{00000000-0005-0000-0000-000057250000}"/>
    <cellStyle name="20% - Accent3 7 5 2 2 3" xfId="31943" xr:uid="{00000000-0005-0000-0000-000058250000}"/>
    <cellStyle name="20% - Accent3 7 5 2 3" xfId="14992" xr:uid="{00000000-0005-0000-0000-000059250000}"/>
    <cellStyle name="20% - Accent3 7 5 2 3 2" xfId="37594" xr:uid="{00000000-0005-0000-0000-00005A250000}"/>
    <cellStyle name="20% - Accent3 7 5 2 4" xfId="26293" xr:uid="{00000000-0005-0000-0000-00005B250000}"/>
    <cellStyle name="20% - Accent3 7 5 3" xfId="5321" xr:uid="{00000000-0005-0000-0000-00005C250000}"/>
    <cellStyle name="20% - Accent3 7 5 3 2" xfId="10971" xr:uid="{00000000-0005-0000-0000-00005D250000}"/>
    <cellStyle name="20% - Accent3 7 5 3 2 2" xfId="22272" xr:uid="{00000000-0005-0000-0000-00005E250000}"/>
    <cellStyle name="20% - Accent3 7 5 3 2 2 2" xfId="44874" xr:uid="{00000000-0005-0000-0000-00005F250000}"/>
    <cellStyle name="20% - Accent3 7 5 3 2 3" xfId="33573" xr:uid="{00000000-0005-0000-0000-000060250000}"/>
    <cellStyle name="20% - Accent3 7 5 3 3" xfId="16622" xr:uid="{00000000-0005-0000-0000-000061250000}"/>
    <cellStyle name="20% - Accent3 7 5 3 3 2" xfId="39224" xr:uid="{00000000-0005-0000-0000-000062250000}"/>
    <cellStyle name="20% - Accent3 7 5 3 4" xfId="27923" xr:uid="{00000000-0005-0000-0000-000063250000}"/>
    <cellStyle name="20% - Accent3 7 5 4" xfId="7524" xr:uid="{00000000-0005-0000-0000-000064250000}"/>
    <cellStyle name="20% - Accent3 7 5 4 2" xfId="18825" xr:uid="{00000000-0005-0000-0000-000065250000}"/>
    <cellStyle name="20% - Accent3 7 5 4 2 2" xfId="41427" xr:uid="{00000000-0005-0000-0000-000066250000}"/>
    <cellStyle name="20% - Accent3 7 5 4 3" xfId="30126" xr:uid="{00000000-0005-0000-0000-000067250000}"/>
    <cellStyle name="20% - Accent3 7 5 5" xfId="13175" xr:uid="{00000000-0005-0000-0000-000068250000}"/>
    <cellStyle name="20% - Accent3 7 5 5 2" xfId="35777" xr:uid="{00000000-0005-0000-0000-000069250000}"/>
    <cellStyle name="20% - Accent3 7 5 6" xfId="24476" xr:uid="{00000000-0005-0000-0000-00006A250000}"/>
    <cellStyle name="20% - Accent3 7 6" xfId="2300" xr:uid="{00000000-0005-0000-0000-00006B250000}"/>
    <cellStyle name="20% - Accent3 7 6 2" xfId="8136" xr:uid="{00000000-0005-0000-0000-00006C250000}"/>
    <cellStyle name="20% - Accent3 7 6 2 2" xfId="19437" xr:uid="{00000000-0005-0000-0000-00006D250000}"/>
    <cellStyle name="20% - Accent3 7 6 2 2 2" xfId="42039" xr:uid="{00000000-0005-0000-0000-00006E250000}"/>
    <cellStyle name="20% - Accent3 7 6 2 3" xfId="30738" xr:uid="{00000000-0005-0000-0000-00006F250000}"/>
    <cellStyle name="20% - Accent3 7 6 3" xfId="13787" xr:uid="{00000000-0005-0000-0000-000070250000}"/>
    <cellStyle name="20% - Accent3 7 6 3 2" xfId="36389" xr:uid="{00000000-0005-0000-0000-000071250000}"/>
    <cellStyle name="20% - Accent3 7 6 4" xfId="25088" xr:uid="{00000000-0005-0000-0000-000072250000}"/>
    <cellStyle name="20% - Accent3 7 7" xfId="4087" xr:uid="{00000000-0005-0000-0000-000073250000}"/>
    <cellStyle name="20% - Accent3 7 7 2" xfId="9737" xr:uid="{00000000-0005-0000-0000-000074250000}"/>
    <cellStyle name="20% - Accent3 7 7 2 2" xfId="21038" xr:uid="{00000000-0005-0000-0000-000075250000}"/>
    <cellStyle name="20% - Accent3 7 7 2 2 2" xfId="43640" xr:uid="{00000000-0005-0000-0000-000076250000}"/>
    <cellStyle name="20% - Accent3 7 7 2 3" xfId="32339" xr:uid="{00000000-0005-0000-0000-000077250000}"/>
    <cellStyle name="20% - Accent3 7 7 3" xfId="15388" xr:uid="{00000000-0005-0000-0000-000078250000}"/>
    <cellStyle name="20% - Accent3 7 7 3 2" xfId="37990" xr:uid="{00000000-0005-0000-0000-000079250000}"/>
    <cellStyle name="20% - Accent3 7 7 4" xfId="26689" xr:uid="{00000000-0005-0000-0000-00007A250000}"/>
    <cellStyle name="20% - Accent3 7 8" xfId="6538" xr:uid="{00000000-0005-0000-0000-00007B250000}"/>
    <cellStyle name="20% - Accent3 7 8 2" xfId="17839" xr:uid="{00000000-0005-0000-0000-00007C250000}"/>
    <cellStyle name="20% - Accent3 7 8 2 2" xfId="40441" xr:uid="{00000000-0005-0000-0000-00007D250000}"/>
    <cellStyle name="20% - Accent3 7 8 3" xfId="29140" xr:uid="{00000000-0005-0000-0000-00007E250000}"/>
    <cellStyle name="20% - Accent3 7 9" xfId="12189" xr:uid="{00000000-0005-0000-0000-00007F250000}"/>
    <cellStyle name="20% - Accent3 7 9 2" xfId="34791" xr:uid="{00000000-0005-0000-0000-000080250000}"/>
    <cellStyle name="20% - Accent3 8" xfId="498" xr:uid="{00000000-0005-0000-0000-000081250000}"/>
    <cellStyle name="20% - Accent3 8 2" xfId="1269" xr:uid="{00000000-0005-0000-0000-000082250000}"/>
    <cellStyle name="20% - Accent3 8 2 2" xfId="1673" xr:uid="{00000000-0005-0000-0000-000083250000}"/>
    <cellStyle name="20% - Accent3 8 2 2 2" xfId="3338" xr:uid="{00000000-0005-0000-0000-000084250000}"/>
    <cellStyle name="20% - Accent3 8 2 2 2 2" xfId="6310" xr:uid="{00000000-0005-0000-0000-000085250000}"/>
    <cellStyle name="20% - Accent3 8 2 2 2 2 2" xfId="11960" xr:uid="{00000000-0005-0000-0000-000086250000}"/>
    <cellStyle name="20% - Accent3 8 2 2 2 2 2 2" xfId="23261" xr:uid="{00000000-0005-0000-0000-000087250000}"/>
    <cellStyle name="20% - Accent3 8 2 2 2 2 2 2 2" xfId="45863" xr:uid="{00000000-0005-0000-0000-000088250000}"/>
    <cellStyle name="20% - Accent3 8 2 2 2 2 2 3" xfId="34562" xr:uid="{00000000-0005-0000-0000-000089250000}"/>
    <cellStyle name="20% - Accent3 8 2 2 2 2 3" xfId="17611" xr:uid="{00000000-0005-0000-0000-00008A250000}"/>
    <cellStyle name="20% - Accent3 8 2 2 2 2 3 2" xfId="40213" xr:uid="{00000000-0005-0000-0000-00008B250000}"/>
    <cellStyle name="20% - Accent3 8 2 2 2 2 4" xfId="28912" xr:uid="{00000000-0005-0000-0000-00008C250000}"/>
    <cellStyle name="20% - Accent3 8 2 2 2 3" xfId="9128" xr:uid="{00000000-0005-0000-0000-00008D250000}"/>
    <cellStyle name="20% - Accent3 8 2 2 2 3 2" xfId="20429" xr:uid="{00000000-0005-0000-0000-00008E250000}"/>
    <cellStyle name="20% - Accent3 8 2 2 2 3 2 2" xfId="43031" xr:uid="{00000000-0005-0000-0000-00008F250000}"/>
    <cellStyle name="20% - Accent3 8 2 2 2 3 3" xfId="31730" xr:uid="{00000000-0005-0000-0000-000090250000}"/>
    <cellStyle name="20% - Accent3 8 2 2 2 4" xfId="14779" xr:uid="{00000000-0005-0000-0000-000091250000}"/>
    <cellStyle name="20% - Accent3 8 2 2 2 4 2" xfId="37381" xr:uid="{00000000-0005-0000-0000-000092250000}"/>
    <cellStyle name="20% - Accent3 8 2 2 2 5" xfId="26080" xr:uid="{00000000-0005-0000-0000-000093250000}"/>
    <cellStyle name="20% - Accent3 8 2 2 3" xfId="5076" xr:uid="{00000000-0005-0000-0000-000094250000}"/>
    <cellStyle name="20% - Accent3 8 2 2 3 2" xfId="10726" xr:uid="{00000000-0005-0000-0000-000095250000}"/>
    <cellStyle name="20% - Accent3 8 2 2 3 2 2" xfId="22027" xr:uid="{00000000-0005-0000-0000-000096250000}"/>
    <cellStyle name="20% - Accent3 8 2 2 3 2 2 2" xfId="44629" xr:uid="{00000000-0005-0000-0000-000097250000}"/>
    <cellStyle name="20% - Accent3 8 2 2 3 2 3" xfId="33328" xr:uid="{00000000-0005-0000-0000-000098250000}"/>
    <cellStyle name="20% - Accent3 8 2 2 3 3" xfId="16377" xr:uid="{00000000-0005-0000-0000-000099250000}"/>
    <cellStyle name="20% - Accent3 8 2 2 3 3 2" xfId="38979" xr:uid="{00000000-0005-0000-0000-00009A250000}"/>
    <cellStyle name="20% - Accent3 8 2 2 3 4" xfId="27678" xr:uid="{00000000-0005-0000-0000-00009B250000}"/>
    <cellStyle name="20% - Accent3 8 2 2 4" xfId="7529" xr:uid="{00000000-0005-0000-0000-00009C250000}"/>
    <cellStyle name="20% - Accent3 8 2 2 4 2" xfId="18830" xr:uid="{00000000-0005-0000-0000-00009D250000}"/>
    <cellStyle name="20% - Accent3 8 2 2 4 2 2" xfId="41432" xr:uid="{00000000-0005-0000-0000-00009E250000}"/>
    <cellStyle name="20% - Accent3 8 2 2 4 3" xfId="30131" xr:uid="{00000000-0005-0000-0000-00009F250000}"/>
    <cellStyle name="20% - Accent3 8 2 2 5" xfId="13180" xr:uid="{00000000-0005-0000-0000-0000A0250000}"/>
    <cellStyle name="20% - Accent3 8 2 2 5 2" xfId="35782" xr:uid="{00000000-0005-0000-0000-0000A1250000}"/>
    <cellStyle name="20% - Accent3 8 2 2 6" xfId="24481" xr:uid="{00000000-0005-0000-0000-0000A2250000}"/>
    <cellStyle name="20% - Accent3 8 2 3" xfId="2667" xr:uid="{00000000-0005-0000-0000-0000A3250000}"/>
    <cellStyle name="20% - Accent3 8 2 3 2" xfId="5686" xr:uid="{00000000-0005-0000-0000-0000A4250000}"/>
    <cellStyle name="20% - Accent3 8 2 3 2 2" xfId="11336" xr:uid="{00000000-0005-0000-0000-0000A5250000}"/>
    <cellStyle name="20% - Accent3 8 2 3 2 2 2" xfId="22637" xr:uid="{00000000-0005-0000-0000-0000A6250000}"/>
    <cellStyle name="20% - Accent3 8 2 3 2 2 2 2" xfId="45239" xr:uid="{00000000-0005-0000-0000-0000A7250000}"/>
    <cellStyle name="20% - Accent3 8 2 3 2 2 3" xfId="33938" xr:uid="{00000000-0005-0000-0000-0000A8250000}"/>
    <cellStyle name="20% - Accent3 8 2 3 2 3" xfId="16987" xr:uid="{00000000-0005-0000-0000-0000A9250000}"/>
    <cellStyle name="20% - Accent3 8 2 3 2 3 2" xfId="39589" xr:uid="{00000000-0005-0000-0000-0000AA250000}"/>
    <cellStyle name="20% - Accent3 8 2 3 2 4" xfId="28288" xr:uid="{00000000-0005-0000-0000-0000AB250000}"/>
    <cellStyle name="20% - Accent3 8 2 3 3" xfId="8503" xr:uid="{00000000-0005-0000-0000-0000AC250000}"/>
    <cellStyle name="20% - Accent3 8 2 3 3 2" xfId="19804" xr:uid="{00000000-0005-0000-0000-0000AD250000}"/>
    <cellStyle name="20% - Accent3 8 2 3 3 2 2" xfId="42406" xr:uid="{00000000-0005-0000-0000-0000AE250000}"/>
    <cellStyle name="20% - Accent3 8 2 3 3 3" xfId="31105" xr:uid="{00000000-0005-0000-0000-0000AF250000}"/>
    <cellStyle name="20% - Accent3 8 2 3 4" xfId="14154" xr:uid="{00000000-0005-0000-0000-0000B0250000}"/>
    <cellStyle name="20% - Accent3 8 2 3 4 2" xfId="36756" xr:uid="{00000000-0005-0000-0000-0000B1250000}"/>
    <cellStyle name="20% - Accent3 8 2 3 5" xfId="25455" xr:uid="{00000000-0005-0000-0000-0000B2250000}"/>
    <cellStyle name="20% - Accent3 8 2 4" xfId="4452" xr:uid="{00000000-0005-0000-0000-0000B3250000}"/>
    <cellStyle name="20% - Accent3 8 2 4 2" xfId="10102" xr:uid="{00000000-0005-0000-0000-0000B4250000}"/>
    <cellStyle name="20% - Accent3 8 2 4 2 2" xfId="21403" xr:uid="{00000000-0005-0000-0000-0000B5250000}"/>
    <cellStyle name="20% - Accent3 8 2 4 2 2 2" xfId="44005" xr:uid="{00000000-0005-0000-0000-0000B6250000}"/>
    <cellStyle name="20% - Accent3 8 2 4 2 3" xfId="32704" xr:uid="{00000000-0005-0000-0000-0000B7250000}"/>
    <cellStyle name="20% - Accent3 8 2 4 3" xfId="15753" xr:uid="{00000000-0005-0000-0000-0000B8250000}"/>
    <cellStyle name="20% - Accent3 8 2 4 3 2" xfId="38355" xr:uid="{00000000-0005-0000-0000-0000B9250000}"/>
    <cellStyle name="20% - Accent3 8 2 4 4" xfId="27054" xr:uid="{00000000-0005-0000-0000-0000BA250000}"/>
    <cellStyle name="20% - Accent3 8 2 5" xfId="7248" xr:uid="{00000000-0005-0000-0000-0000BB250000}"/>
    <cellStyle name="20% - Accent3 8 2 5 2" xfId="18549" xr:uid="{00000000-0005-0000-0000-0000BC250000}"/>
    <cellStyle name="20% - Accent3 8 2 5 2 2" xfId="41151" xr:uid="{00000000-0005-0000-0000-0000BD250000}"/>
    <cellStyle name="20% - Accent3 8 2 5 3" xfId="29850" xr:uid="{00000000-0005-0000-0000-0000BE250000}"/>
    <cellStyle name="20% - Accent3 8 2 6" xfId="12899" xr:uid="{00000000-0005-0000-0000-0000BF250000}"/>
    <cellStyle name="20% - Accent3 8 2 6 2" xfId="35501" xr:uid="{00000000-0005-0000-0000-0000C0250000}"/>
    <cellStyle name="20% - Accent3 8 2 7" xfId="24200" xr:uid="{00000000-0005-0000-0000-0000C1250000}"/>
    <cellStyle name="20% - Accent3 8 3" xfId="966" xr:uid="{00000000-0005-0000-0000-0000C2250000}"/>
    <cellStyle name="20% - Accent3 8 3 2" xfId="3030" xr:uid="{00000000-0005-0000-0000-0000C3250000}"/>
    <cellStyle name="20% - Accent3 8 3 2 2" xfId="6002" xr:uid="{00000000-0005-0000-0000-0000C4250000}"/>
    <cellStyle name="20% - Accent3 8 3 2 2 2" xfId="11652" xr:uid="{00000000-0005-0000-0000-0000C5250000}"/>
    <cellStyle name="20% - Accent3 8 3 2 2 2 2" xfId="22953" xr:uid="{00000000-0005-0000-0000-0000C6250000}"/>
    <cellStyle name="20% - Accent3 8 3 2 2 2 2 2" xfId="45555" xr:uid="{00000000-0005-0000-0000-0000C7250000}"/>
    <cellStyle name="20% - Accent3 8 3 2 2 2 3" xfId="34254" xr:uid="{00000000-0005-0000-0000-0000C8250000}"/>
    <cellStyle name="20% - Accent3 8 3 2 2 3" xfId="17303" xr:uid="{00000000-0005-0000-0000-0000C9250000}"/>
    <cellStyle name="20% - Accent3 8 3 2 2 3 2" xfId="39905" xr:uid="{00000000-0005-0000-0000-0000CA250000}"/>
    <cellStyle name="20% - Accent3 8 3 2 2 4" xfId="28604" xr:uid="{00000000-0005-0000-0000-0000CB250000}"/>
    <cellStyle name="20% - Accent3 8 3 2 3" xfId="8820" xr:uid="{00000000-0005-0000-0000-0000CC250000}"/>
    <cellStyle name="20% - Accent3 8 3 2 3 2" xfId="20121" xr:uid="{00000000-0005-0000-0000-0000CD250000}"/>
    <cellStyle name="20% - Accent3 8 3 2 3 2 2" xfId="42723" xr:uid="{00000000-0005-0000-0000-0000CE250000}"/>
    <cellStyle name="20% - Accent3 8 3 2 3 3" xfId="31422" xr:uid="{00000000-0005-0000-0000-0000CF250000}"/>
    <cellStyle name="20% - Accent3 8 3 2 4" xfId="14471" xr:uid="{00000000-0005-0000-0000-0000D0250000}"/>
    <cellStyle name="20% - Accent3 8 3 2 4 2" xfId="37073" xr:uid="{00000000-0005-0000-0000-0000D1250000}"/>
    <cellStyle name="20% - Accent3 8 3 2 5" xfId="25772" xr:uid="{00000000-0005-0000-0000-0000D2250000}"/>
    <cellStyle name="20% - Accent3 8 3 3" xfId="4768" xr:uid="{00000000-0005-0000-0000-0000D3250000}"/>
    <cellStyle name="20% - Accent3 8 3 3 2" xfId="10418" xr:uid="{00000000-0005-0000-0000-0000D4250000}"/>
    <cellStyle name="20% - Accent3 8 3 3 2 2" xfId="21719" xr:uid="{00000000-0005-0000-0000-0000D5250000}"/>
    <cellStyle name="20% - Accent3 8 3 3 2 2 2" xfId="44321" xr:uid="{00000000-0005-0000-0000-0000D6250000}"/>
    <cellStyle name="20% - Accent3 8 3 3 2 3" xfId="33020" xr:uid="{00000000-0005-0000-0000-0000D7250000}"/>
    <cellStyle name="20% - Accent3 8 3 3 3" xfId="16069" xr:uid="{00000000-0005-0000-0000-0000D8250000}"/>
    <cellStyle name="20% - Accent3 8 3 3 3 2" xfId="38671" xr:uid="{00000000-0005-0000-0000-0000D9250000}"/>
    <cellStyle name="20% - Accent3 8 3 3 4" xfId="27370" xr:uid="{00000000-0005-0000-0000-0000DA250000}"/>
    <cellStyle name="20% - Accent3 8 3 4" xfId="6955" xr:uid="{00000000-0005-0000-0000-0000DB250000}"/>
    <cellStyle name="20% - Accent3 8 3 4 2" xfId="18256" xr:uid="{00000000-0005-0000-0000-0000DC250000}"/>
    <cellStyle name="20% - Accent3 8 3 4 2 2" xfId="40858" xr:uid="{00000000-0005-0000-0000-0000DD250000}"/>
    <cellStyle name="20% - Accent3 8 3 4 3" xfId="29557" xr:uid="{00000000-0005-0000-0000-0000DE250000}"/>
    <cellStyle name="20% - Accent3 8 3 5" xfId="12606" xr:uid="{00000000-0005-0000-0000-0000DF250000}"/>
    <cellStyle name="20% - Accent3 8 3 5 2" xfId="35208" xr:uid="{00000000-0005-0000-0000-0000E0250000}"/>
    <cellStyle name="20% - Accent3 8 3 6" xfId="23907" xr:uid="{00000000-0005-0000-0000-0000E1250000}"/>
    <cellStyle name="20% - Accent3 8 4" xfId="1672" xr:uid="{00000000-0005-0000-0000-0000E2250000}"/>
    <cellStyle name="20% - Accent3 8 4 2" xfId="3630" xr:uid="{00000000-0005-0000-0000-0000E3250000}"/>
    <cellStyle name="20% - Accent3 8 4 2 2" xfId="9343" xr:uid="{00000000-0005-0000-0000-0000E4250000}"/>
    <cellStyle name="20% - Accent3 8 4 2 2 2" xfId="20644" xr:uid="{00000000-0005-0000-0000-0000E5250000}"/>
    <cellStyle name="20% - Accent3 8 4 2 2 2 2" xfId="43246" xr:uid="{00000000-0005-0000-0000-0000E6250000}"/>
    <cellStyle name="20% - Accent3 8 4 2 2 3" xfId="31945" xr:uid="{00000000-0005-0000-0000-0000E7250000}"/>
    <cellStyle name="20% - Accent3 8 4 2 3" xfId="14994" xr:uid="{00000000-0005-0000-0000-0000E8250000}"/>
    <cellStyle name="20% - Accent3 8 4 2 3 2" xfId="37596" xr:uid="{00000000-0005-0000-0000-0000E9250000}"/>
    <cellStyle name="20% - Accent3 8 4 2 4" xfId="26295" xr:uid="{00000000-0005-0000-0000-0000EA250000}"/>
    <cellStyle name="20% - Accent3 8 4 3" xfId="5378" xr:uid="{00000000-0005-0000-0000-0000EB250000}"/>
    <cellStyle name="20% - Accent3 8 4 3 2" xfId="11028" xr:uid="{00000000-0005-0000-0000-0000EC250000}"/>
    <cellStyle name="20% - Accent3 8 4 3 2 2" xfId="22329" xr:uid="{00000000-0005-0000-0000-0000ED250000}"/>
    <cellStyle name="20% - Accent3 8 4 3 2 2 2" xfId="44931" xr:uid="{00000000-0005-0000-0000-0000EE250000}"/>
    <cellStyle name="20% - Accent3 8 4 3 2 3" xfId="33630" xr:uid="{00000000-0005-0000-0000-0000EF250000}"/>
    <cellStyle name="20% - Accent3 8 4 3 3" xfId="16679" xr:uid="{00000000-0005-0000-0000-0000F0250000}"/>
    <cellStyle name="20% - Accent3 8 4 3 3 2" xfId="39281" xr:uid="{00000000-0005-0000-0000-0000F1250000}"/>
    <cellStyle name="20% - Accent3 8 4 3 4" xfId="27980" xr:uid="{00000000-0005-0000-0000-0000F2250000}"/>
    <cellStyle name="20% - Accent3 8 4 4" xfId="7528" xr:uid="{00000000-0005-0000-0000-0000F3250000}"/>
    <cellStyle name="20% - Accent3 8 4 4 2" xfId="18829" xr:uid="{00000000-0005-0000-0000-0000F4250000}"/>
    <cellStyle name="20% - Accent3 8 4 4 2 2" xfId="41431" xr:uid="{00000000-0005-0000-0000-0000F5250000}"/>
    <cellStyle name="20% - Accent3 8 4 4 3" xfId="30130" xr:uid="{00000000-0005-0000-0000-0000F6250000}"/>
    <cellStyle name="20% - Accent3 8 4 5" xfId="13179" xr:uid="{00000000-0005-0000-0000-0000F7250000}"/>
    <cellStyle name="20% - Accent3 8 4 5 2" xfId="35781" xr:uid="{00000000-0005-0000-0000-0000F8250000}"/>
    <cellStyle name="20% - Accent3 8 4 6" xfId="24480" xr:uid="{00000000-0005-0000-0000-0000F9250000}"/>
    <cellStyle name="20% - Accent3 8 5" xfId="2359" xr:uid="{00000000-0005-0000-0000-0000FA250000}"/>
    <cellStyle name="20% - Accent3 8 5 2" xfId="8195" xr:uid="{00000000-0005-0000-0000-0000FB250000}"/>
    <cellStyle name="20% - Accent3 8 5 2 2" xfId="19496" xr:uid="{00000000-0005-0000-0000-0000FC250000}"/>
    <cellStyle name="20% - Accent3 8 5 2 2 2" xfId="42098" xr:uid="{00000000-0005-0000-0000-0000FD250000}"/>
    <cellStyle name="20% - Accent3 8 5 2 3" xfId="30797" xr:uid="{00000000-0005-0000-0000-0000FE250000}"/>
    <cellStyle name="20% - Accent3 8 5 3" xfId="13846" xr:uid="{00000000-0005-0000-0000-0000FF250000}"/>
    <cellStyle name="20% - Accent3 8 5 3 2" xfId="36448" xr:uid="{00000000-0005-0000-0000-000000260000}"/>
    <cellStyle name="20% - Accent3 8 5 4" xfId="25147" xr:uid="{00000000-0005-0000-0000-000001260000}"/>
    <cellStyle name="20% - Accent3 8 6" xfId="4144" xr:uid="{00000000-0005-0000-0000-000002260000}"/>
    <cellStyle name="20% - Accent3 8 6 2" xfId="9794" xr:uid="{00000000-0005-0000-0000-000003260000}"/>
    <cellStyle name="20% - Accent3 8 6 2 2" xfId="21095" xr:uid="{00000000-0005-0000-0000-000004260000}"/>
    <cellStyle name="20% - Accent3 8 6 2 2 2" xfId="43697" xr:uid="{00000000-0005-0000-0000-000005260000}"/>
    <cellStyle name="20% - Accent3 8 6 2 3" xfId="32396" xr:uid="{00000000-0005-0000-0000-000006260000}"/>
    <cellStyle name="20% - Accent3 8 6 3" xfId="15445" xr:uid="{00000000-0005-0000-0000-000007260000}"/>
    <cellStyle name="20% - Accent3 8 6 3 2" xfId="38047" xr:uid="{00000000-0005-0000-0000-000008260000}"/>
    <cellStyle name="20% - Accent3 8 6 4" xfId="26746" xr:uid="{00000000-0005-0000-0000-000009260000}"/>
    <cellStyle name="20% - Accent3 8 7" xfId="6595" xr:uid="{00000000-0005-0000-0000-00000A260000}"/>
    <cellStyle name="20% - Accent3 8 7 2" xfId="17896" xr:uid="{00000000-0005-0000-0000-00000B260000}"/>
    <cellStyle name="20% - Accent3 8 7 2 2" xfId="40498" xr:uid="{00000000-0005-0000-0000-00000C260000}"/>
    <cellStyle name="20% - Accent3 8 7 3" xfId="29197" xr:uid="{00000000-0005-0000-0000-00000D260000}"/>
    <cellStyle name="20% - Accent3 8 8" xfId="12246" xr:uid="{00000000-0005-0000-0000-00000E260000}"/>
    <cellStyle name="20% - Accent3 8 8 2" xfId="34848" xr:uid="{00000000-0005-0000-0000-00000F260000}"/>
    <cellStyle name="20% - Accent3 8 9" xfId="23547" xr:uid="{00000000-0005-0000-0000-000010260000}"/>
    <cellStyle name="20% - Accent3 9" xfId="700" xr:uid="{00000000-0005-0000-0000-000011260000}"/>
    <cellStyle name="20% - Accent3 9 2" xfId="759" xr:uid="{00000000-0005-0000-0000-000012260000}"/>
    <cellStyle name="20% - Accent3 9 2 2" xfId="3170" xr:uid="{00000000-0005-0000-0000-000013260000}"/>
    <cellStyle name="20% - Accent3 9 2 2 2" xfId="6142" xr:uid="{00000000-0005-0000-0000-000014260000}"/>
    <cellStyle name="20% - Accent3 9 2 2 2 2" xfId="11792" xr:uid="{00000000-0005-0000-0000-000015260000}"/>
    <cellStyle name="20% - Accent3 9 2 2 2 2 2" xfId="23093" xr:uid="{00000000-0005-0000-0000-000016260000}"/>
    <cellStyle name="20% - Accent3 9 2 2 2 2 2 2" xfId="45695" xr:uid="{00000000-0005-0000-0000-000017260000}"/>
    <cellStyle name="20% - Accent3 9 2 2 2 2 3" xfId="34394" xr:uid="{00000000-0005-0000-0000-000018260000}"/>
    <cellStyle name="20% - Accent3 9 2 2 2 3" xfId="17443" xr:uid="{00000000-0005-0000-0000-000019260000}"/>
    <cellStyle name="20% - Accent3 9 2 2 2 3 2" xfId="40045" xr:uid="{00000000-0005-0000-0000-00001A260000}"/>
    <cellStyle name="20% - Accent3 9 2 2 2 4" xfId="28744" xr:uid="{00000000-0005-0000-0000-00001B260000}"/>
    <cellStyle name="20% - Accent3 9 2 2 3" xfId="8960" xr:uid="{00000000-0005-0000-0000-00001C260000}"/>
    <cellStyle name="20% - Accent3 9 2 2 3 2" xfId="20261" xr:uid="{00000000-0005-0000-0000-00001D260000}"/>
    <cellStyle name="20% - Accent3 9 2 2 3 2 2" xfId="42863" xr:uid="{00000000-0005-0000-0000-00001E260000}"/>
    <cellStyle name="20% - Accent3 9 2 2 3 3" xfId="31562" xr:uid="{00000000-0005-0000-0000-00001F260000}"/>
    <cellStyle name="20% - Accent3 9 2 2 4" xfId="14611" xr:uid="{00000000-0005-0000-0000-000020260000}"/>
    <cellStyle name="20% - Accent3 9 2 2 4 2" xfId="37213" xr:uid="{00000000-0005-0000-0000-000021260000}"/>
    <cellStyle name="20% - Accent3 9 2 2 5" xfId="25912" xr:uid="{00000000-0005-0000-0000-000022260000}"/>
    <cellStyle name="20% - Accent3 9 2 3" xfId="4908" xr:uid="{00000000-0005-0000-0000-000023260000}"/>
    <cellStyle name="20% - Accent3 9 2 3 2" xfId="10558" xr:uid="{00000000-0005-0000-0000-000024260000}"/>
    <cellStyle name="20% - Accent3 9 2 3 2 2" xfId="21859" xr:uid="{00000000-0005-0000-0000-000025260000}"/>
    <cellStyle name="20% - Accent3 9 2 3 2 2 2" xfId="44461" xr:uid="{00000000-0005-0000-0000-000026260000}"/>
    <cellStyle name="20% - Accent3 9 2 3 2 3" xfId="33160" xr:uid="{00000000-0005-0000-0000-000027260000}"/>
    <cellStyle name="20% - Accent3 9 2 3 3" xfId="16209" xr:uid="{00000000-0005-0000-0000-000028260000}"/>
    <cellStyle name="20% - Accent3 9 2 3 3 2" xfId="38811" xr:uid="{00000000-0005-0000-0000-000029260000}"/>
    <cellStyle name="20% - Accent3 9 2 3 4" xfId="27510" xr:uid="{00000000-0005-0000-0000-00002A260000}"/>
    <cellStyle name="20% - Accent3 9 2 4" xfId="6784" xr:uid="{00000000-0005-0000-0000-00002B260000}"/>
    <cellStyle name="20% - Accent3 9 2 4 2" xfId="18085" xr:uid="{00000000-0005-0000-0000-00002C260000}"/>
    <cellStyle name="20% - Accent3 9 2 4 2 2" xfId="40687" xr:uid="{00000000-0005-0000-0000-00002D260000}"/>
    <cellStyle name="20% - Accent3 9 2 4 3" xfId="29386" xr:uid="{00000000-0005-0000-0000-00002E260000}"/>
    <cellStyle name="20% - Accent3 9 2 5" xfId="12435" xr:uid="{00000000-0005-0000-0000-00002F260000}"/>
    <cellStyle name="20% - Accent3 9 2 5 2" xfId="35037" xr:uid="{00000000-0005-0000-0000-000030260000}"/>
    <cellStyle name="20% - Accent3 9 2 6" xfId="23736" xr:uid="{00000000-0005-0000-0000-000031260000}"/>
    <cellStyle name="20% - Accent3 9 3" xfId="1674" xr:uid="{00000000-0005-0000-0000-000032260000}"/>
    <cellStyle name="20% - Accent3 9 3 2" xfId="3631" xr:uid="{00000000-0005-0000-0000-000033260000}"/>
    <cellStyle name="20% - Accent3 9 3 2 2" xfId="9344" xr:uid="{00000000-0005-0000-0000-000034260000}"/>
    <cellStyle name="20% - Accent3 9 3 2 2 2" xfId="20645" xr:uid="{00000000-0005-0000-0000-000035260000}"/>
    <cellStyle name="20% - Accent3 9 3 2 2 2 2" xfId="43247" xr:uid="{00000000-0005-0000-0000-000036260000}"/>
    <cellStyle name="20% - Accent3 9 3 2 2 3" xfId="31946" xr:uid="{00000000-0005-0000-0000-000037260000}"/>
    <cellStyle name="20% - Accent3 9 3 2 3" xfId="14995" xr:uid="{00000000-0005-0000-0000-000038260000}"/>
    <cellStyle name="20% - Accent3 9 3 2 3 2" xfId="37597" xr:uid="{00000000-0005-0000-0000-000039260000}"/>
    <cellStyle name="20% - Accent3 9 3 2 4" xfId="26296" xr:uid="{00000000-0005-0000-0000-00003A260000}"/>
    <cellStyle name="20% - Accent3 9 3 3" xfId="5518" xr:uid="{00000000-0005-0000-0000-00003B260000}"/>
    <cellStyle name="20% - Accent3 9 3 3 2" xfId="11168" xr:uid="{00000000-0005-0000-0000-00003C260000}"/>
    <cellStyle name="20% - Accent3 9 3 3 2 2" xfId="22469" xr:uid="{00000000-0005-0000-0000-00003D260000}"/>
    <cellStyle name="20% - Accent3 9 3 3 2 2 2" xfId="45071" xr:uid="{00000000-0005-0000-0000-00003E260000}"/>
    <cellStyle name="20% - Accent3 9 3 3 2 3" xfId="33770" xr:uid="{00000000-0005-0000-0000-00003F260000}"/>
    <cellStyle name="20% - Accent3 9 3 3 3" xfId="16819" xr:uid="{00000000-0005-0000-0000-000040260000}"/>
    <cellStyle name="20% - Accent3 9 3 3 3 2" xfId="39421" xr:uid="{00000000-0005-0000-0000-000041260000}"/>
    <cellStyle name="20% - Accent3 9 3 3 4" xfId="28120" xr:uid="{00000000-0005-0000-0000-000042260000}"/>
    <cellStyle name="20% - Accent3 9 3 4" xfId="7530" xr:uid="{00000000-0005-0000-0000-000043260000}"/>
    <cellStyle name="20% - Accent3 9 3 4 2" xfId="18831" xr:uid="{00000000-0005-0000-0000-000044260000}"/>
    <cellStyle name="20% - Accent3 9 3 4 2 2" xfId="41433" xr:uid="{00000000-0005-0000-0000-000045260000}"/>
    <cellStyle name="20% - Accent3 9 3 4 3" xfId="30132" xr:uid="{00000000-0005-0000-0000-000046260000}"/>
    <cellStyle name="20% - Accent3 9 3 5" xfId="13181" xr:uid="{00000000-0005-0000-0000-000047260000}"/>
    <cellStyle name="20% - Accent3 9 3 5 2" xfId="35783" xr:uid="{00000000-0005-0000-0000-000048260000}"/>
    <cellStyle name="20% - Accent3 9 3 6" xfId="24482" xr:uid="{00000000-0005-0000-0000-000049260000}"/>
    <cellStyle name="20% - Accent3 9 4" xfId="2499" xr:uid="{00000000-0005-0000-0000-00004A260000}"/>
    <cellStyle name="20% - Accent3 9 4 2" xfId="8335" xr:uid="{00000000-0005-0000-0000-00004B260000}"/>
    <cellStyle name="20% - Accent3 9 4 2 2" xfId="19636" xr:uid="{00000000-0005-0000-0000-00004C260000}"/>
    <cellStyle name="20% - Accent3 9 4 2 2 2" xfId="42238" xr:uid="{00000000-0005-0000-0000-00004D260000}"/>
    <cellStyle name="20% - Accent3 9 4 2 3" xfId="30937" xr:uid="{00000000-0005-0000-0000-00004E260000}"/>
    <cellStyle name="20% - Accent3 9 4 3" xfId="13986" xr:uid="{00000000-0005-0000-0000-00004F260000}"/>
    <cellStyle name="20% - Accent3 9 4 3 2" xfId="36588" xr:uid="{00000000-0005-0000-0000-000050260000}"/>
    <cellStyle name="20% - Accent3 9 4 4" xfId="25287" xr:uid="{00000000-0005-0000-0000-000051260000}"/>
    <cellStyle name="20% - Accent3 9 5" xfId="4284" xr:uid="{00000000-0005-0000-0000-000052260000}"/>
    <cellStyle name="20% - Accent3 9 5 2" xfId="9934" xr:uid="{00000000-0005-0000-0000-000053260000}"/>
    <cellStyle name="20% - Accent3 9 5 2 2" xfId="21235" xr:uid="{00000000-0005-0000-0000-000054260000}"/>
    <cellStyle name="20% - Accent3 9 5 2 2 2" xfId="43837" xr:uid="{00000000-0005-0000-0000-000055260000}"/>
    <cellStyle name="20% - Accent3 9 5 2 3" xfId="32536" xr:uid="{00000000-0005-0000-0000-000056260000}"/>
    <cellStyle name="20% - Accent3 9 5 3" xfId="15585" xr:uid="{00000000-0005-0000-0000-000057260000}"/>
    <cellStyle name="20% - Accent3 9 5 3 2" xfId="38187" xr:uid="{00000000-0005-0000-0000-000058260000}"/>
    <cellStyle name="20% - Accent3 9 5 4" xfId="26886" xr:uid="{00000000-0005-0000-0000-000059260000}"/>
    <cellStyle name="20% - Accent3 9 6" xfId="6763" xr:uid="{00000000-0005-0000-0000-00005A260000}"/>
    <cellStyle name="20% - Accent3 9 6 2" xfId="18064" xr:uid="{00000000-0005-0000-0000-00005B260000}"/>
    <cellStyle name="20% - Accent3 9 6 2 2" xfId="40666" xr:uid="{00000000-0005-0000-0000-00005C260000}"/>
    <cellStyle name="20% - Accent3 9 6 3" xfId="29365" xr:uid="{00000000-0005-0000-0000-00005D260000}"/>
    <cellStyle name="20% - Accent3 9 7" xfId="12414" xr:uid="{00000000-0005-0000-0000-00005E260000}"/>
    <cellStyle name="20% - Accent3 9 7 2" xfId="35016" xr:uid="{00000000-0005-0000-0000-00005F260000}"/>
    <cellStyle name="20% - Accent3 9 8" xfId="23715" xr:uid="{00000000-0005-0000-0000-000060260000}"/>
    <cellStyle name="20% - Accent4" xfId="31" builtinId="42" customBuiltin="1"/>
    <cellStyle name="20% - Accent4 10" xfId="1484" xr:uid="{00000000-0005-0000-0000-000062260000}"/>
    <cellStyle name="20% - Accent4 10 2" xfId="1675" xr:uid="{00000000-0005-0000-0000-000063260000}"/>
    <cellStyle name="20% - Accent4 10 2 2" xfId="3332" xr:uid="{00000000-0005-0000-0000-000064260000}"/>
    <cellStyle name="20% - Accent4 10 2 2 2" xfId="6304" xr:uid="{00000000-0005-0000-0000-000065260000}"/>
    <cellStyle name="20% - Accent4 10 2 2 2 2" xfId="11954" xr:uid="{00000000-0005-0000-0000-000066260000}"/>
    <cellStyle name="20% - Accent4 10 2 2 2 2 2" xfId="23255" xr:uid="{00000000-0005-0000-0000-000067260000}"/>
    <cellStyle name="20% - Accent4 10 2 2 2 2 2 2" xfId="45857" xr:uid="{00000000-0005-0000-0000-000068260000}"/>
    <cellStyle name="20% - Accent4 10 2 2 2 2 3" xfId="34556" xr:uid="{00000000-0005-0000-0000-000069260000}"/>
    <cellStyle name="20% - Accent4 10 2 2 2 3" xfId="17605" xr:uid="{00000000-0005-0000-0000-00006A260000}"/>
    <cellStyle name="20% - Accent4 10 2 2 2 3 2" xfId="40207" xr:uid="{00000000-0005-0000-0000-00006B260000}"/>
    <cellStyle name="20% - Accent4 10 2 2 2 4" xfId="28906" xr:uid="{00000000-0005-0000-0000-00006C260000}"/>
    <cellStyle name="20% - Accent4 10 2 2 3" xfId="9122" xr:uid="{00000000-0005-0000-0000-00006D260000}"/>
    <cellStyle name="20% - Accent4 10 2 2 3 2" xfId="20423" xr:uid="{00000000-0005-0000-0000-00006E260000}"/>
    <cellStyle name="20% - Accent4 10 2 2 3 2 2" xfId="43025" xr:uid="{00000000-0005-0000-0000-00006F260000}"/>
    <cellStyle name="20% - Accent4 10 2 2 3 3" xfId="31724" xr:uid="{00000000-0005-0000-0000-000070260000}"/>
    <cellStyle name="20% - Accent4 10 2 2 4" xfId="14773" xr:uid="{00000000-0005-0000-0000-000071260000}"/>
    <cellStyle name="20% - Accent4 10 2 2 4 2" xfId="37375" xr:uid="{00000000-0005-0000-0000-000072260000}"/>
    <cellStyle name="20% - Accent4 10 2 2 5" xfId="26074" xr:uid="{00000000-0005-0000-0000-000073260000}"/>
    <cellStyle name="20% - Accent4 10 2 3" xfId="5070" xr:uid="{00000000-0005-0000-0000-000074260000}"/>
    <cellStyle name="20% - Accent4 10 2 3 2" xfId="10720" xr:uid="{00000000-0005-0000-0000-000075260000}"/>
    <cellStyle name="20% - Accent4 10 2 3 2 2" xfId="22021" xr:uid="{00000000-0005-0000-0000-000076260000}"/>
    <cellStyle name="20% - Accent4 10 2 3 2 2 2" xfId="44623" xr:uid="{00000000-0005-0000-0000-000077260000}"/>
    <cellStyle name="20% - Accent4 10 2 3 2 3" xfId="33322" xr:uid="{00000000-0005-0000-0000-000078260000}"/>
    <cellStyle name="20% - Accent4 10 2 3 3" xfId="16371" xr:uid="{00000000-0005-0000-0000-000079260000}"/>
    <cellStyle name="20% - Accent4 10 2 3 3 2" xfId="38973" xr:uid="{00000000-0005-0000-0000-00007A260000}"/>
    <cellStyle name="20% - Accent4 10 2 3 4" xfId="27672" xr:uid="{00000000-0005-0000-0000-00007B260000}"/>
    <cellStyle name="20% - Accent4 10 2 4" xfId="7531" xr:uid="{00000000-0005-0000-0000-00007C260000}"/>
    <cellStyle name="20% - Accent4 10 2 4 2" xfId="18832" xr:uid="{00000000-0005-0000-0000-00007D260000}"/>
    <cellStyle name="20% - Accent4 10 2 4 2 2" xfId="41434" xr:uid="{00000000-0005-0000-0000-00007E260000}"/>
    <cellStyle name="20% - Accent4 10 2 4 3" xfId="30133" xr:uid="{00000000-0005-0000-0000-00007F260000}"/>
    <cellStyle name="20% - Accent4 10 2 5" xfId="13182" xr:uid="{00000000-0005-0000-0000-000080260000}"/>
    <cellStyle name="20% - Accent4 10 2 5 2" xfId="35784" xr:uid="{00000000-0005-0000-0000-000081260000}"/>
    <cellStyle name="20% - Accent4 10 2 6" xfId="24483" xr:uid="{00000000-0005-0000-0000-000082260000}"/>
    <cellStyle name="20% - Accent4 10 3" xfId="2661" xr:uid="{00000000-0005-0000-0000-000083260000}"/>
    <cellStyle name="20% - Accent4 10 3 2" xfId="5680" xr:uid="{00000000-0005-0000-0000-000084260000}"/>
    <cellStyle name="20% - Accent4 10 3 2 2" xfId="11330" xr:uid="{00000000-0005-0000-0000-000085260000}"/>
    <cellStyle name="20% - Accent4 10 3 2 2 2" xfId="22631" xr:uid="{00000000-0005-0000-0000-000086260000}"/>
    <cellStyle name="20% - Accent4 10 3 2 2 2 2" xfId="45233" xr:uid="{00000000-0005-0000-0000-000087260000}"/>
    <cellStyle name="20% - Accent4 10 3 2 2 3" xfId="33932" xr:uid="{00000000-0005-0000-0000-000088260000}"/>
    <cellStyle name="20% - Accent4 10 3 2 3" xfId="16981" xr:uid="{00000000-0005-0000-0000-000089260000}"/>
    <cellStyle name="20% - Accent4 10 3 2 3 2" xfId="39583" xr:uid="{00000000-0005-0000-0000-00008A260000}"/>
    <cellStyle name="20% - Accent4 10 3 2 4" xfId="28282" xr:uid="{00000000-0005-0000-0000-00008B260000}"/>
    <cellStyle name="20% - Accent4 10 3 3" xfId="8497" xr:uid="{00000000-0005-0000-0000-00008C260000}"/>
    <cellStyle name="20% - Accent4 10 3 3 2" xfId="19798" xr:uid="{00000000-0005-0000-0000-00008D260000}"/>
    <cellStyle name="20% - Accent4 10 3 3 2 2" xfId="42400" xr:uid="{00000000-0005-0000-0000-00008E260000}"/>
    <cellStyle name="20% - Accent4 10 3 3 3" xfId="31099" xr:uid="{00000000-0005-0000-0000-00008F260000}"/>
    <cellStyle name="20% - Accent4 10 3 4" xfId="14148" xr:uid="{00000000-0005-0000-0000-000090260000}"/>
    <cellStyle name="20% - Accent4 10 3 4 2" xfId="36750" xr:uid="{00000000-0005-0000-0000-000091260000}"/>
    <cellStyle name="20% - Accent4 10 3 5" xfId="25449" xr:uid="{00000000-0005-0000-0000-000092260000}"/>
    <cellStyle name="20% - Accent4 10 4" xfId="4446" xr:uid="{00000000-0005-0000-0000-000093260000}"/>
    <cellStyle name="20% - Accent4 10 4 2" xfId="10096" xr:uid="{00000000-0005-0000-0000-000094260000}"/>
    <cellStyle name="20% - Accent4 10 4 2 2" xfId="21397" xr:uid="{00000000-0005-0000-0000-000095260000}"/>
    <cellStyle name="20% - Accent4 10 4 2 2 2" xfId="43999" xr:uid="{00000000-0005-0000-0000-000096260000}"/>
    <cellStyle name="20% - Accent4 10 4 2 3" xfId="32698" xr:uid="{00000000-0005-0000-0000-000097260000}"/>
    <cellStyle name="20% - Accent4 10 4 3" xfId="15747" xr:uid="{00000000-0005-0000-0000-000098260000}"/>
    <cellStyle name="20% - Accent4 10 4 3 2" xfId="38349" xr:uid="{00000000-0005-0000-0000-000099260000}"/>
    <cellStyle name="20% - Accent4 10 4 4" xfId="27048" xr:uid="{00000000-0005-0000-0000-00009A260000}"/>
    <cellStyle name="20% - Accent4 10 5" xfId="7389" xr:uid="{00000000-0005-0000-0000-00009B260000}"/>
    <cellStyle name="20% - Accent4 10 5 2" xfId="18690" xr:uid="{00000000-0005-0000-0000-00009C260000}"/>
    <cellStyle name="20% - Accent4 10 5 2 2" xfId="41292" xr:uid="{00000000-0005-0000-0000-00009D260000}"/>
    <cellStyle name="20% - Accent4 10 5 3" xfId="29991" xr:uid="{00000000-0005-0000-0000-00009E260000}"/>
    <cellStyle name="20% - Accent4 10 6" xfId="13040" xr:uid="{00000000-0005-0000-0000-00009F260000}"/>
    <cellStyle name="20% - Accent4 10 6 2" xfId="35642" xr:uid="{00000000-0005-0000-0000-0000A0260000}"/>
    <cellStyle name="20% - Accent4 10 7" xfId="24341" xr:uid="{00000000-0005-0000-0000-0000A1260000}"/>
    <cellStyle name="20% - Accent4 11" xfId="1413" xr:uid="{00000000-0005-0000-0000-0000A2260000}"/>
    <cellStyle name="20% - Accent4 11 2" xfId="1676" xr:uid="{00000000-0005-0000-0000-0000A3260000}"/>
    <cellStyle name="20% - Accent4 11 2 2" xfId="3632" xr:uid="{00000000-0005-0000-0000-0000A4260000}"/>
    <cellStyle name="20% - Accent4 11 2 2 2" xfId="9345" xr:uid="{00000000-0005-0000-0000-0000A5260000}"/>
    <cellStyle name="20% - Accent4 11 2 2 2 2" xfId="20646" xr:uid="{00000000-0005-0000-0000-0000A6260000}"/>
    <cellStyle name="20% - Accent4 11 2 2 2 2 2" xfId="43248" xr:uid="{00000000-0005-0000-0000-0000A7260000}"/>
    <cellStyle name="20% - Accent4 11 2 2 2 3" xfId="31947" xr:uid="{00000000-0005-0000-0000-0000A8260000}"/>
    <cellStyle name="20% - Accent4 11 2 2 3" xfId="14996" xr:uid="{00000000-0005-0000-0000-0000A9260000}"/>
    <cellStyle name="20% - Accent4 11 2 2 3 2" xfId="37598" xr:uid="{00000000-0005-0000-0000-0000AA260000}"/>
    <cellStyle name="20% - Accent4 11 2 2 4" xfId="26297" xr:uid="{00000000-0005-0000-0000-0000AB260000}"/>
    <cellStyle name="20% - Accent4 11 2 3" xfId="7532" xr:uid="{00000000-0005-0000-0000-0000AC260000}"/>
    <cellStyle name="20% - Accent4 11 2 3 2" xfId="18833" xr:uid="{00000000-0005-0000-0000-0000AD260000}"/>
    <cellStyle name="20% - Accent4 11 2 3 2 2" xfId="41435" xr:uid="{00000000-0005-0000-0000-0000AE260000}"/>
    <cellStyle name="20% - Accent4 11 2 3 3" xfId="30134" xr:uid="{00000000-0005-0000-0000-0000AF260000}"/>
    <cellStyle name="20% - Accent4 11 2 4" xfId="13183" xr:uid="{00000000-0005-0000-0000-0000B0260000}"/>
    <cellStyle name="20% - Accent4 11 2 4 2" xfId="35785" xr:uid="{00000000-0005-0000-0000-0000B1260000}"/>
    <cellStyle name="20% - Accent4 11 2 5" xfId="24484" xr:uid="{00000000-0005-0000-0000-0000B2260000}"/>
    <cellStyle name="20% - Accent4 11 3" xfId="2183" xr:uid="{00000000-0005-0000-0000-0000B3260000}"/>
    <cellStyle name="20% - Accent4 11 3 2" xfId="8027" xr:uid="{00000000-0005-0000-0000-0000B4260000}"/>
    <cellStyle name="20% - Accent4 11 3 2 2" xfId="19328" xr:uid="{00000000-0005-0000-0000-0000B5260000}"/>
    <cellStyle name="20% - Accent4 11 3 2 2 2" xfId="41930" xr:uid="{00000000-0005-0000-0000-0000B6260000}"/>
    <cellStyle name="20% - Accent4 11 3 2 3" xfId="30629" xr:uid="{00000000-0005-0000-0000-0000B7260000}"/>
    <cellStyle name="20% - Accent4 11 3 3" xfId="13678" xr:uid="{00000000-0005-0000-0000-0000B8260000}"/>
    <cellStyle name="20% - Accent4 11 3 3 2" xfId="36280" xr:uid="{00000000-0005-0000-0000-0000B9260000}"/>
    <cellStyle name="20% - Accent4 11 3 4" xfId="24979" xr:uid="{00000000-0005-0000-0000-0000BA260000}"/>
    <cellStyle name="20% - Accent4 11 4" xfId="3979" xr:uid="{00000000-0005-0000-0000-0000BB260000}"/>
    <cellStyle name="20% - Accent4 11 4 2" xfId="9629" xr:uid="{00000000-0005-0000-0000-0000BC260000}"/>
    <cellStyle name="20% - Accent4 11 4 2 2" xfId="20930" xr:uid="{00000000-0005-0000-0000-0000BD260000}"/>
    <cellStyle name="20% - Accent4 11 4 2 2 2" xfId="43532" xr:uid="{00000000-0005-0000-0000-0000BE260000}"/>
    <cellStyle name="20% - Accent4 11 4 2 3" xfId="32231" xr:uid="{00000000-0005-0000-0000-0000BF260000}"/>
    <cellStyle name="20% - Accent4 11 4 3" xfId="15280" xr:uid="{00000000-0005-0000-0000-0000C0260000}"/>
    <cellStyle name="20% - Accent4 11 4 3 2" xfId="37882" xr:uid="{00000000-0005-0000-0000-0000C1260000}"/>
    <cellStyle name="20% - Accent4 11 4 4" xfId="26581" xr:uid="{00000000-0005-0000-0000-0000C2260000}"/>
    <cellStyle name="20% - Accent4 11 5" xfId="7382" xr:uid="{00000000-0005-0000-0000-0000C3260000}"/>
    <cellStyle name="20% - Accent4 11 5 2" xfId="18683" xr:uid="{00000000-0005-0000-0000-0000C4260000}"/>
    <cellStyle name="20% - Accent4 11 5 2 2" xfId="41285" xr:uid="{00000000-0005-0000-0000-0000C5260000}"/>
    <cellStyle name="20% - Accent4 11 5 3" xfId="29984" xr:uid="{00000000-0005-0000-0000-0000C6260000}"/>
    <cellStyle name="20% - Accent4 11 6" xfId="13033" xr:uid="{00000000-0005-0000-0000-0000C7260000}"/>
    <cellStyle name="20% - Accent4 11 6 2" xfId="35635" xr:uid="{00000000-0005-0000-0000-0000C8260000}"/>
    <cellStyle name="20% - Accent4 11 7" xfId="24334" xr:uid="{00000000-0005-0000-0000-0000C9260000}"/>
    <cellStyle name="20% - Accent4 12" xfId="1517" xr:uid="{00000000-0005-0000-0000-0000CA260000}"/>
    <cellStyle name="20% - Accent4 12 2" xfId="3940" xr:uid="{00000000-0005-0000-0000-0000CB260000}"/>
    <cellStyle name="20% - Accent4 12 2 2" xfId="9613" xr:uid="{00000000-0005-0000-0000-0000CC260000}"/>
    <cellStyle name="20% - Accent4 12 2 2 2" xfId="20914" xr:uid="{00000000-0005-0000-0000-0000CD260000}"/>
    <cellStyle name="20% - Accent4 12 2 2 2 2" xfId="43516" xr:uid="{00000000-0005-0000-0000-0000CE260000}"/>
    <cellStyle name="20% - Accent4 12 2 2 3" xfId="32215" xr:uid="{00000000-0005-0000-0000-0000CF260000}"/>
    <cellStyle name="20% - Accent4 12 2 3" xfId="15264" xr:uid="{00000000-0005-0000-0000-0000D0260000}"/>
    <cellStyle name="20% - Accent4 12 2 3 2" xfId="37866" xr:uid="{00000000-0005-0000-0000-0000D1260000}"/>
    <cellStyle name="20% - Accent4 12 2 4" xfId="26565" xr:uid="{00000000-0005-0000-0000-0000D2260000}"/>
    <cellStyle name="20% - Accent4 13" xfId="3493" xr:uid="{00000000-0005-0000-0000-0000D3260000}"/>
    <cellStyle name="20% - Accent4 14" xfId="109" xr:uid="{00000000-0005-0000-0000-0000D4260000}"/>
    <cellStyle name="20% - Accent4 2" xfId="54" xr:uid="{00000000-0005-0000-0000-0000D5260000}"/>
    <cellStyle name="20% - Accent4 2 2" xfId="371" xr:uid="{00000000-0005-0000-0000-0000D6260000}"/>
    <cellStyle name="20% - Accent4 2 2 10" xfId="23479" xr:uid="{00000000-0005-0000-0000-0000D7260000}"/>
    <cellStyle name="20% - Accent4 2 2 2" xfId="629" xr:uid="{00000000-0005-0000-0000-0000D8260000}"/>
    <cellStyle name="20% - Accent4 2 2 2 2" xfId="1339" xr:uid="{00000000-0005-0000-0000-0000D9260000}"/>
    <cellStyle name="20% - Accent4 2 2 2 2 2" xfId="1679" xr:uid="{00000000-0005-0000-0000-0000DA260000}"/>
    <cellStyle name="20% - Accent4 2 2 2 2 2 2" xfId="3408" xr:uid="{00000000-0005-0000-0000-0000DB260000}"/>
    <cellStyle name="20% - Accent4 2 2 2 2 2 2 2" xfId="6380" xr:uid="{00000000-0005-0000-0000-0000DC260000}"/>
    <cellStyle name="20% - Accent4 2 2 2 2 2 2 2 2" xfId="12030" xr:uid="{00000000-0005-0000-0000-0000DD260000}"/>
    <cellStyle name="20% - Accent4 2 2 2 2 2 2 2 2 2" xfId="23331" xr:uid="{00000000-0005-0000-0000-0000DE260000}"/>
    <cellStyle name="20% - Accent4 2 2 2 2 2 2 2 2 2 2" xfId="45933" xr:uid="{00000000-0005-0000-0000-0000DF260000}"/>
    <cellStyle name="20% - Accent4 2 2 2 2 2 2 2 2 3" xfId="34632" xr:uid="{00000000-0005-0000-0000-0000E0260000}"/>
    <cellStyle name="20% - Accent4 2 2 2 2 2 2 2 3" xfId="17681" xr:uid="{00000000-0005-0000-0000-0000E1260000}"/>
    <cellStyle name="20% - Accent4 2 2 2 2 2 2 2 3 2" xfId="40283" xr:uid="{00000000-0005-0000-0000-0000E2260000}"/>
    <cellStyle name="20% - Accent4 2 2 2 2 2 2 2 4" xfId="28982" xr:uid="{00000000-0005-0000-0000-0000E3260000}"/>
    <cellStyle name="20% - Accent4 2 2 2 2 2 2 3" xfId="9198" xr:uid="{00000000-0005-0000-0000-0000E4260000}"/>
    <cellStyle name="20% - Accent4 2 2 2 2 2 2 3 2" xfId="20499" xr:uid="{00000000-0005-0000-0000-0000E5260000}"/>
    <cellStyle name="20% - Accent4 2 2 2 2 2 2 3 2 2" xfId="43101" xr:uid="{00000000-0005-0000-0000-0000E6260000}"/>
    <cellStyle name="20% - Accent4 2 2 2 2 2 2 3 3" xfId="31800" xr:uid="{00000000-0005-0000-0000-0000E7260000}"/>
    <cellStyle name="20% - Accent4 2 2 2 2 2 2 4" xfId="14849" xr:uid="{00000000-0005-0000-0000-0000E8260000}"/>
    <cellStyle name="20% - Accent4 2 2 2 2 2 2 4 2" xfId="37451" xr:uid="{00000000-0005-0000-0000-0000E9260000}"/>
    <cellStyle name="20% - Accent4 2 2 2 2 2 2 5" xfId="26150" xr:uid="{00000000-0005-0000-0000-0000EA260000}"/>
    <cellStyle name="20% - Accent4 2 2 2 2 2 3" xfId="5146" xr:uid="{00000000-0005-0000-0000-0000EB260000}"/>
    <cellStyle name="20% - Accent4 2 2 2 2 2 3 2" xfId="10796" xr:uid="{00000000-0005-0000-0000-0000EC260000}"/>
    <cellStyle name="20% - Accent4 2 2 2 2 2 3 2 2" xfId="22097" xr:uid="{00000000-0005-0000-0000-0000ED260000}"/>
    <cellStyle name="20% - Accent4 2 2 2 2 2 3 2 2 2" xfId="44699" xr:uid="{00000000-0005-0000-0000-0000EE260000}"/>
    <cellStyle name="20% - Accent4 2 2 2 2 2 3 2 3" xfId="33398" xr:uid="{00000000-0005-0000-0000-0000EF260000}"/>
    <cellStyle name="20% - Accent4 2 2 2 2 2 3 3" xfId="16447" xr:uid="{00000000-0005-0000-0000-0000F0260000}"/>
    <cellStyle name="20% - Accent4 2 2 2 2 2 3 3 2" xfId="39049" xr:uid="{00000000-0005-0000-0000-0000F1260000}"/>
    <cellStyle name="20% - Accent4 2 2 2 2 2 3 4" xfId="27748" xr:uid="{00000000-0005-0000-0000-0000F2260000}"/>
    <cellStyle name="20% - Accent4 2 2 2 2 2 4" xfId="7535" xr:uid="{00000000-0005-0000-0000-0000F3260000}"/>
    <cellStyle name="20% - Accent4 2 2 2 2 2 4 2" xfId="18836" xr:uid="{00000000-0005-0000-0000-0000F4260000}"/>
    <cellStyle name="20% - Accent4 2 2 2 2 2 4 2 2" xfId="41438" xr:uid="{00000000-0005-0000-0000-0000F5260000}"/>
    <cellStyle name="20% - Accent4 2 2 2 2 2 4 3" xfId="30137" xr:uid="{00000000-0005-0000-0000-0000F6260000}"/>
    <cellStyle name="20% - Accent4 2 2 2 2 2 5" xfId="13186" xr:uid="{00000000-0005-0000-0000-0000F7260000}"/>
    <cellStyle name="20% - Accent4 2 2 2 2 2 5 2" xfId="35788" xr:uid="{00000000-0005-0000-0000-0000F8260000}"/>
    <cellStyle name="20% - Accent4 2 2 2 2 2 6" xfId="24487" xr:uid="{00000000-0005-0000-0000-0000F9260000}"/>
    <cellStyle name="20% - Accent4 2 2 2 2 3" xfId="2737" xr:uid="{00000000-0005-0000-0000-0000FA260000}"/>
    <cellStyle name="20% - Accent4 2 2 2 2 3 2" xfId="5756" xr:uid="{00000000-0005-0000-0000-0000FB260000}"/>
    <cellStyle name="20% - Accent4 2 2 2 2 3 2 2" xfId="11406" xr:uid="{00000000-0005-0000-0000-0000FC260000}"/>
    <cellStyle name="20% - Accent4 2 2 2 2 3 2 2 2" xfId="22707" xr:uid="{00000000-0005-0000-0000-0000FD260000}"/>
    <cellStyle name="20% - Accent4 2 2 2 2 3 2 2 2 2" xfId="45309" xr:uid="{00000000-0005-0000-0000-0000FE260000}"/>
    <cellStyle name="20% - Accent4 2 2 2 2 3 2 2 3" xfId="34008" xr:uid="{00000000-0005-0000-0000-0000FF260000}"/>
    <cellStyle name="20% - Accent4 2 2 2 2 3 2 3" xfId="17057" xr:uid="{00000000-0005-0000-0000-000000270000}"/>
    <cellStyle name="20% - Accent4 2 2 2 2 3 2 3 2" xfId="39659" xr:uid="{00000000-0005-0000-0000-000001270000}"/>
    <cellStyle name="20% - Accent4 2 2 2 2 3 2 4" xfId="28358" xr:uid="{00000000-0005-0000-0000-000002270000}"/>
    <cellStyle name="20% - Accent4 2 2 2 2 3 3" xfId="8573" xr:uid="{00000000-0005-0000-0000-000003270000}"/>
    <cellStyle name="20% - Accent4 2 2 2 2 3 3 2" xfId="19874" xr:uid="{00000000-0005-0000-0000-000004270000}"/>
    <cellStyle name="20% - Accent4 2 2 2 2 3 3 2 2" xfId="42476" xr:uid="{00000000-0005-0000-0000-000005270000}"/>
    <cellStyle name="20% - Accent4 2 2 2 2 3 3 3" xfId="31175" xr:uid="{00000000-0005-0000-0000-000006270000}"/>
    <cellStyle name="20% - Accent4 2 2 2 2 3 4" xfId="14224" xr:uid="{00000000-0005-0000-0000-000007270000}"/>
    <cellStyle name="20% - Accent4 2 2 2 2 3 4 2" xfId="36826" xr:uid="{00000000-0005-0000-0000-000008270000}"/>
    <cellStyle name="20% - Accent4 2 2 2 2 3 5" xfId="25525" xr:uid="{00000000-0005-0000-0000-000009270000}"/>
    <cellStyle name="20% - Accent4 2 2 2 2 4" xfId="4522" xr:uid="{00000000-0005-0000-0000-00000A270000}"/>
    <cellStyle name="20% - Accent4 2 2 2 2 4 2" xfId="10172" xr:uid="{00000000-0005-0000-0000-00000B270000}"/>
    <cellStyle name="20% - Accent4 2 2 2 2 4 2 2" xfId="21473" xr:uid="{00000000-0005-0000-0000-00000C270000}"/>
    <cellStyle name="20% - Accent4 2 2 2 2 4 2 2 2" xfId="44075" xr:uid="{00000000-0005-0000-0000-00000D270000}"/>
    <cellStyle name="20% - Accent4 2 2 2 2 4 2 3" xfId="32774" xr:uid="{00000000-0005-0000-0000-00000E270000}"/>
    <cellStyle name="20% - Accent4 2 2 2 2 4 3" xfId="15823" xr:uid="{00000000-0005-0000-0000-00000F270000}"/>
    <cellStyle name="20% - Accent4 2 2 2 2 4 3 2" xfId="38425" xr:uid="{00000000-0005-0000-0000-000010270000}"/>
    <cellStyle name="20% - Accent4 2 2 2 2 4 4" xfId="27124" xr:uid="{00000000-0005-0000-0000-000011270000}"/>
    <cellStyle name="20% - Accent4 2 2 2 2 5" xfId="7318" xr:uid="{00000000-0005-0000-0000-000012270000}"/>
    <cellStyle name="20% - Accent4 2 2 2 2 5 2" xfId="18619" xr:uid="{00000000-0005-0000-0000-000013270000}"/>
    <cellStyle name="20% - Accent4 2 2 2 2 5 2 2" xfId="41221" xr:uid="{00000000-0005-0000-0000-000014270000}"/>
    <cellStyle name="20% - Accent4 2 2 2 2 5 3" xfId="29920" xr:uid="{00000000-0005-0000-0000-000015270000}"/>
    <cellStyle name="20% - Accent4 2 2 2 2 6" xfId="12969" xr:uid="{00000000-0005-0000-0000-000016270000}"/>
    <cellStyle name="20% - Accent4 2 2 2 2 6 2" xfId="35571" xr:uid="{00000000-0005-0000-0000-000017270000}"/>
    <cellStyle name="20% - Accent4 2 2 2 2 7" xfId="24270" xr:uid="{00000000-0005-0000-0000-000018270000}"/>
    <cellStyle name="20% - Accent4 2 2 2 3" xfId="1037" xr:uid="{00000000-0005-0000-0000-000019270000}"/>
    <cellStyle name="20% - Accent4 2 2 2 3 2" xfId="3100" xr:uid="{00000000-0005-0000-0000-00001A270000}"/>
    <cellStyle name="20% - Accent4 2 2 2 3 2 2" xfId="6072" xr:uid="{00000000-0005-0000-0000-00001B270000}"/>
    <cellStyle name="20% - Accent4 2 2 2 3 2 2 2" xfId="11722" xr:uid="{00000000-0005-0000-0000-00001C270000}"/>
    <cellStyle name="20% - Accent4 2 2 2 3 2 2 2 2" xfId="23023" xr:uid="{00000000-0005-0000-0000-00001D270000}"/>
    <cellStyle name="20% - Accent4 2 2 2 3 2 2 2 2 2" xfId="45625" xr:uid="{00000000-0005-0000-0000-00001E270000}"/>
    <cellStyle name="20% - Accent4 2 2 2 3 2 2 2 3" xfId="34324" xr:uid="{00000000-0005-0000-0000-00001F270000}"/>
    <cellStyle name="20% - Accent4 2 2 2 3 2 2 3" xfId="17373" xr:uid="{00000000-0005-0000-0000-000020270000}"/>
    <cellStyle name="20% - Accent4 2 2 2 3 2 2 3 2" xfId="39975" xr:uid="{00000000-0005-0000-0000-000021270000}"/>
    <cellStyle name="20% - Accent4 2 2 2 3 2 2 4" xfId="28674" xr:uid="{00000000-0005-0000-0000-000022270000}"/>
    <cellStyle name="20% - Accent4 2 2 2 3 2 3" xfId="8890" xr:uid="{00000000-0005-0000-0000-000023270000}"/>
    <cellStyle name="20% - Accent4 2 2 2 3 2 3 2" xfId="20191" xr:uid="{00000000-0005-0000-0000-000024270000}"/>
    <cellStyle name="20% - Accent4 2 2 2 3 2 3 2 2" xfId="42793" xr:uid="{00000000-0005-0000-0000-000025270000}"/>
    <cellStyle name="20% - Accent4 2 2 2 3 2 3 3" xfId="31492" xr:uid="{00000000-0005-0000-0000-000026270000}"/>
    <cellStyle name="20% - Accent4 2 2 2 3 2 4" xfId="14541" xr:uid="{00000000-0005-0000-0000-000027270000}"/>
    <cellStyle name="20% - Accent4 2 2 2 3 2 4 2" xfId="37143" xr:uid="{00000000-0005-0000-0000-000028270000}"/>
    <cellStyle name="20% - Accent4 2 2 2 3 2 5" xfId="25842" xr:uid="{00000000-0005-0000-0000-000029270000}"/>
    <cellStyle name="20% - Accent4 2 2 2 3 3" xfId="4838" xr:uid="{00000000-0005-0000-0000-00002A270000}"/>
    <cellStyle name="20% - Accent4 2 2 2 3 3 2" xfId="10488" xr:uid="{00000000-0005-0000-0000-00002B270000}"/>
    <cellStyle name="20% - Accent4 2 2 2 3 3 2 2" xfId="21789" xr:uid="{00000000-0005-0000-0000-00002C270000}"/>
    <cellStyle name="20% - Accent4 2 2 2 3 3 2 2 2" xfId="44391" xr:uid="{00000000-0005-0000-0000-00002D270000}"/>
    <cellStyle name="20% - Accent4 2 2 2 3 3 2 3" xfId="33090" xr:uid="{00000000-0005-0000-0000-00002E270000}"/>
    <cellStyle name="20% - Accent4 2 2 2 3 3 3" xfId="16139" xr:uid="{00000000-0005-0000-0000-00002F270000}"/>
    <cellStyle name="20% - Accent4 2 2 2 3 3 3 2" xfId="38741" xr:uid="{00000000-0005-0000-0000-000030270000}"/>
    <cellStyle name="20% - Accent4 2 2 2 3 3 4" xfId="27440" xr:uid="{00000000-0005-0000-0000-000031270000}"/>
    <cellStyle name="20% - Accent4 2 2 2 3 4" xfId="7025" xr:uid="{00000000-0005-0000-0000-000032270000}"/>
    <cellStyle name="20% - Accent4 2 2 2 3 4 2" xfId="18326" xr:uid="{00000000-0005-0000-0000-000033270000}"/>
    <cellStyle name="20% - Accent4 2 2 2 3 4 2 2" xfId="40928" xr:uid="{00000000-0005-0000-0000-000034270000}"/>
    <cellStyle name="20% - Accent4 2 2 2 3 4 3" xfId="29627" xr:uid="{00000000-0005-0000-0000-000035270000}"/>
    <cellStyle name="20% - Accent4 2 2 2 3 5" xfId="12676" xr:uid="{00000000-0005-0000-0000-000036270000}"/>
    <cellStyle name="20% - Accent4 2 2 2 3 5 2" xfId="35278" xr:uid="{00000000-0005-0000-0000-000037270000}"/>
    <cellStyle name="20% - Accent4 2 2 2 3 6" xfId="23977" xr:uid="{00000000-0005-0000-0000-000038270000}"/>
    <cellStyle name="20% - Accent4 2 2 2 4" xfId="1678" xr:uid="{00000000-0005-0000-0000-000039270000}"/>
    <cellStyle name="20% - Accent4 2 2 2 4 2" xfId="3634" xr:uid="{00000000-0005-0000-0000-00003A270000}"/>
    <cellStyle name="20% - Accent4 2 2 2 4 2 2" xfId="9347" xr:uid="{00000000-0005-0000-0000-00003B270000}"/>
    <cellStyle name="20% - Accent4 2 2 2 4 2 2 2" xfId="20648" xr:uid="{00000000-0005-0000-0000-00003C270000}"/>
    <cellStyle name="20% - Accent4 2 2 2 4 2 2 2 2" xfId="43250" xr:uid="{00000000-0005-0000-0000-00003D270000}"/>
    <cellStyle name="20% - Accent4 2 2 2 4 2 2 3" xfId="31949" xr:uid="{00000000-0005-0000-0000-00003E270000}"/>
    <cellStyle name="20% - Accent4 2 2 2 4 2 3" xfId="14998" xr:uid="{00000000-0005-0000-0000-00003F270000}"/>
    <cellStyle name="20% - Accent4 2 2 2 4 2 3 2" xfId="37600" xr:uid="{00000000-0005-0000-0000-000040270000}"/>
    <cellStyle name="20% - Accent4 2 2 2 4 2 4" xfId="26299" xr:uid="{00000000-0005-0000-0000-000041270000}"/>
    <cellStyle name="20% - Accent4 2 2 2 4 3" xfId="5448" xr:uid="{00000000-0005-0000-0000-000042270000}"/>
    <cellStyle name="20% - Accent4 2 2 2 4 3 2" xfId="11098" xr:uid="{00000000-0005-0000-0000-000043270000}"/>
    <cellStyle name="20% - Accent4 2 2 2 4 3 2 2" xfId="22399" xr:uid="{00000000-0005-0000-0000-000044270000}"/>
    <cellStyle name="20% - Accent4 2 2 2 4 3 2 2 2" xfId="45001" xr:uid="{00000000-0005-0000-0000-000045270000}"/>
    <cellStyle name="20% - Accent4 2 2 2 4 3 2 3" xfId="33700" xr:uid="{00000000-0005-0000-0000-000046270000}"/>
    <cellStyle name="20% - Accent4 2 2 2 4 3 3" xfId="16749" xr:uid="{00000000-0005-0000-0000-000047270000}"/>
    <cellStyle name="20% - Accent4 2 2 2 4 3 3 2" xfId="39351" xr:uid="{00000000-0005-0000-0000-000048270000}"/>
    <cellStyle name="20% - Accent4 2 2 2 4 3 4" xfId="28050" xr:uid="{00000000-0005-0000-0000-000049270000}"/>
    <cellStyle name="20% - Accent4 2 2 2 4 4" xfId="7534" xr:uid="{00000000-0005-0000-0000-00004A270000}"/>
    <cellStyle name="20% - Accent4 2 2 2 4 4 2" xfId="18835" xr:uid="{00000000-0005-0000-0000-00004B270000}"/>
    <cellStyle name="20% - Accent4 2 2 2 4 4 2 2" xfId="41437" xr:uid="{00000000-0005-0000-0000-00004C270000}"/>
    <cellStyle name="20% - Accent4 2 2 2 4 4 3" xfId="30136" xr:uid="{00000000-0005-0000-0000-00004D270000}"/>
    <cellStyle name="20% - Accent4 2 2 2 4 5" xfId="13185" xr:uid="{00000000-0005-0000-0000-00004E270000}"/>
    <cellStyle name="20% - Accent4 2 2 2 4 5 2" xfId="35787" xr:uid="{00000000-0005-0000-0000-00004F270000}"/>
    <cellStyle name="20% - Accent4 2 2 2 4 6" xfId="24486" xr:uid="{00000000-0005-0000-0000-000050270000}"/>
    <cellStyle name="20% - Accent4 2 2 2 5" xfId="2429" xr:uid="{00000000-0005-0000-0000-000051270000}"/>
    <cellStyle name="20% - Accent4 2 2 2 5 2" xfId="8265" xr:uid="{00000000-0005-0000-0000-000052270000}"/>
    <cellStyle name="20% - Accent4 2 2 2 5 2 2" xfId="19566" xr:uid="{00000000-0005-0000-0000-000053270000}"/>
    <cellStyle name="20% - Accent4 2 2 2 5 2 2 2" xfId="42168" xr:uid="{00000000-0005-0000-0000-000054270000}"/>
    <cellStyle name="20% - Accent4 2 2 2 5 2 3" xfId="30867" xr:uid="{00000000-0005-0000-0000-000055270000}"/>
    <cellStyle name="20% - Accent4 2 2 2 5 3" xfId="13916" xr:uid="{00000000-0005-0000-0000-000056270000}"/>
    <cellStyle name="20% - Accent4 2 2 2 5 3 2" xfId="36518" xr:uid="{00000000-0005-0000-0000-000057270000}"/>
    <cellStyle name="20% - Accent4 2 2 2 5 4" xfId="25217" xr:uid="{00000000-0005-0000-0000-000058270000}"/>
    <cellStyle name="20% - Accent4 2 2 2 6" xfId="4214" xr:uid="{00000000-0005-0000-0000-000059270000}"/>
    <cellStyle name="20% - Accent4 2 2 2 6 2" xfId="9864" xr:uid="{00000000-0005-0000-0000-00005A270000}"/>
    <cellStyle name="20% - Accent4 2 2 2 6 2 2" xfId="21165" xr:uid="{00000000-0005-0000-0000-00005B270000}"/>
    <cellStyle name="20% - Accent4 2 2 2 6 2 2 2" xfId="43767" xr:uid="{00000000-0005-0000-0000-00005C270000}"/>
    <cellStyle name="20% - Accent4 2 2 2 6 2 3" xfId="32466" xr:uid="{00000000-0005-0000-0000-00005D270000}"/>
    <cellStyle name="20% - Accent4 2 2 2 6 3" xfId="15515" xr:uid="{00000000-0005-0000-0000-00005E270000}"/>
    <cellStyle name="20% - Accent4 2 2 2 6 3 2" xfId="38117" xr:uid="{00000000-0005-0000-0000-00005F270000}"/>
    <cellStyle name="20% - Accent4 2 2 2 6 4" xfId="26816" xr:uid="{00000000-0005-0000-0000-000060270000}"/>
    <cellStyle name="20% - Accent4 2 2 2 7" xfId="6694" xr:uid="{00000000-0005-0000-0000-000061270000}"/>
    <cellStyle name="20% - Accent4 2 2 2 7 2" xfId="17995" xr:uid="{00000000-0005-0000-0000-000062270000}"/>
    <cellStyle name="20% - Accent4 2 2 2 7 2 2" xfId="40597" xr:uid="{00000000-0005-0000-0000-000063270000}"/>
    <cellStyle name="20% - Accent4 2 2 2 7 3" xfId="29296" xr:uid="{00000000-0005-0000-0000-000064270000}"/>
    <cellStyle name="20% - Accent4 2 2 2 8" xfId="12345" xr:uid="{00000000-0005-0000-0000-000065270000}"/>
    <cellStyle name="20% - Accent4 2 2 2 8 2" xfId="34947" xr:uid="{00000000-0005-0000-0000-000066270000}"/>
    <cellStyle name="20% - Accent4 2 2 2 9" xfId="23646" xr:uid="{00000000-0005-0000-0000-000067270000}"/>
    <cellStyle name="20% - Accent4 2 2 3" xfId="1201" xr:uid="{00000000-0005-0000-0000-000068270000}"/>
    <cellStyle name="20% - Accent4 2 2 3 2" xfId="1680" xr:uid="{00000000-0005-0000-0000-000069270000}"/>
    <cellStyle name="20% - Accent4 2 2 3 2 2" xfId="3269" xr:uid="{00000000-0005-0000-0000-00006A270000}"/>
    <cellStyle name="20% - Accent4 2 2 3 2 2 2" xfId="6241" xr:uid="{00000000-0005-0000-0000-00006B270000}"/>
    <cellStyle name="20% - Accent4 2 2 3 2 2 2 2" xfId="11891" xr:uid="{00000000-0005-0000-0000-00006C270000}"/>
    <cellStyle name="20% - Accent4 2 2 3 2 2 2 2 2" xfId="23192" xr:uid="{00000000-0005-0000-0000-00006D270000}"/>
    <cellStyle name="20% - Accent4 2 2 3 2 2 2 2 2 2" xfId="45794" xr:uid="{00000000-0005-0000-0000-00006E270000}"/>
    <cellStyle name="20% - Accent4 2 2 3 2 2 2 2 3" xfId="34493" xr:uid="{00000000-0005-0000-0000-00006F270000}"/>
    <cellStyle name="20% - Accent4 2 2 3 2 2 2 3" xfId="17542" xr:uid="{00000000-0005-0000-0000-000070270000}"/>
    <cellStyle name="20% - Accent4 2 2 3 2 2 2 3 2" xfId="40144" xr:uid="{00000000-0005-0000-0000-000071270000}"/>
    <cellStyle name="20% - Accent4 2 2 3 2 2 2 4" xfId="28843" xr:uid="{00000000-0005-0000-0000-000072270000}"/>
    <cellStyle name="20% - Accent4 2 2 3 2 2 3" xfId="9059" xr:uid="{00000000-0005-0000-0000-000073270000}"/>
    <cellStyle name="20% - Accent4 2 2 3 2 2 3 2" xfId="20360" xr:uid="{00000000-0005-0000-0000-000074270000}"/>
    <cellStyle name="20% - Accent4 2 2 3 2 2 3 2 2" xfId="42962" xr:uid="{00000000-0005-0000-0000-000075270000}"/>
    <cellStyle name="20% - Accent4 2 2 3 2 2 3 3" xfId="31661" xr:uid="{00000000-0005-0000-0000-000076270000}"/>
    <cellStyle name="20% - Accent4 2 2 3 2 2 4" xfId="14710" xr:uid="{00000000-0005-0000-0000-000077270000}"/>
    <cellStyle name="20% - Accent4 2 2 3 2 2 4 2" xfId="37312" xr:uid="{00000000-0005-0000-0000-000078270000}"/>
    <cellStyle name="20% - Accent4 2 2 3 2 2 5" xfId="26011" xr:uid="{00000000-0005-0000-0000-000079270000}"/>
    <cellStyle name="20% - Accent4 2 2 3 2 3" xfId="5007" xr:uid="{00000000-0005-0000-0000-00007A270000}"/>
    <cellStyle name="20% - Accent4 2 2 3 2 3 2" xfId="10657" xr:uid="{00000000-0005-0000-0000-00007B270000}"/>
    <cellStyle name="20% - Accent4 2 2 3 2 3 2 2" xfId="21958" xr:uid="{00000000-0005-0000-0000-00007C270000}"/>
    <cellStyle name="20% - Accent4 2 2 3 2 3 2 2 2" xfId="44560" xr:uid="{00000000-0005-0000-0000-00007D270000}"/>
    <cellStyle name="20% - Accent4 2 2 3 2 3 2 3" xfId="33259" xr:uid="{00000000-0005-0000-0000-00007E270000}"/>
    <cellStyle name="20% - Accent4 2 2 3 2 3 3" xfId="16308" xr:uid="{00000000-0005-0000-0000-00007F270000}"/>
    <cellStyle name="20% - Accent4 2 2 3 2 3 3 2" xfId="38910" xr:uid="{00000000-0005-0000-0000-000080270000}"/>
    <cellStyle name="20% - Accent4 2 2 3 2 3 4" xfId="27609" xr:uid="{00000000-0005-0000-0000-000081270000}"/>
    <cellStyle name="20% - Accent4 2 2 3 2 4" xfId="7536" xr:uid="{00000000-0005-0000-0000-000082270000}"/>
    <cellStyle name="20% - Accent4 2 2 3 2 4 2" xfId="18837" xr:uid="{00000000-0005-0000-0000-000083270000}"/>
    <cellStyle name="20% - Accent4 2 2 3 2 4 2 2" xfId="41439" xr:uid="{00000000-0005-0000-0000-000084270000}"/>
    <cellStyle name="20% - Accent4 2 2 3 2 4 3" xfId="30138" xr:uid="{00000000-0005-0000-0000-000085270000}"/>
    <cellStyle name="20% - Accent4 2 2 3 2 5" xfId="13187" xr:uid="{00000000-0005-0000-0000-000086270000}"/>
    <cellStyle name="20% - Accent4 2 2 3 2 5 2" xfId="35789" xr:uid="{00000000-0005-0000-0000-000087270000}"/>
    <cellStyle name="20% - Accent4 2 2 3 2 6" xfId="24488" xr:uid="{00000000-0005-0000-0000-000088270000}"/>
    <cellStyle name="20% - Accent4 2 2 3 3" xfId="2598" xr:uid="{00000000-0005-0000-0000-000089270000}"/>
    <cellStyle name="20% - Accent4 2 2 3 3 2" xfId="5617" xr:uid="{00000000-0005-0000-0000-00008A270000}"/>
    <cellStyle name="20% - Accent4 2 2 3 3 2 2" xfId="11267" xr:uid="{00000000-0005-0000-0000-00008B270000}"/>
    <cellStyle name="20% - Accent4 2 2 3 3 2 2 2" xfId="22568" xr:uid="{00000000-0005-0000-0000-00008C270000}"/>
    <cellStyle name="20% - Accent4 2 2 3 3 2 2 2 2" xfId="45170" xr:uid="{00000000-0005-0000-0000-00008D270000}"/>
    <cellStyle name="20% - Accent4 2 2 3 3 2 2 3" xfId="33869" xr:uid="{00000000-0005-0000-0000-00008E270000}"/>
    <cellStyle name="20% - Accent4 2 2 3 3 2 3" xfId="16918" xr:uid="{00000000-0005-0000-0000-00008F270000}"/>
    <cellStyle name="20% - Accent4 2 2 3 3 2 3 2" xfId="39520" xr:uid="{00000000-0005-0000-0000-000090270000}"/>
    <cellStyle name="20% - Accent4 2 2 3 3 2 4" xfId="28219" xr:uid="{00000000-0005-0000-0000-000091270000}"/>
    <cellStyle name="20% - Accent4 2 2 3 3 3" xfId="8434" xr:uid="{00000000-0005-0000-0000-000092270000}"/>
    <cellStyle name="20% - Accent4 2 2 3 3 3 2" xfId="19735" xr:uid="{00000000-0005-0000-0000-000093270000}"/>
    <cellStyle name="20% - Accent4 2 2 3 3 3 2 2" xfId="42337" xr:uid="{00000000-0005-0000-0000-000094270000}"/>
    <cellStyle name="20% - Accent4 2 2 3 3 3 3" xfId="31036" xr:uid="{00000000-0005-0000-0000-000095270000}"/>
    <cellStyle name="20% - Accent4 2 2 3 3 4" xfId="14085" xr:uid="{00000000-0005-0000-0000-000096270000}"/>
    <cellStyle name="20% - Accent4 2 2 3 3 4 2" xfId="36687" xr:uid="{00000000-0005-0000-0000-000097270000}"/>
    <cellStyle name="20% - Accent4 2 2 3 3 5" xfId="25386" xr:uid="{00000000-0005-0000-0000-000098270000}"/>
    <cellStyle name="20% - Accent4 2 2 3 4" xfId="4383" xr:uid="{00000000-0005-0000-0000-000099270000}"/>
    <cellStyle name="20% - Accent4 2 2 3 4 2" xfId="10033" xr:uid="{00000000-0005-0000-0000-00009A270000}"/>
    <cellStyle name="20% - Accent4 2 2 3 4 2 2" xfId="21334" xr:uid="{00000000-0005-0000-0000-00009B270000}"/>
    <cellStyle name="20% - Accent4 2 2 3 4 2 2 2" xfId="43936" xr:uid="{00000000-0005-0000-0000-00009C270000}"/>
    <cellStyle name="20% - Accent4 2 2 3 4 2 3" xfId="32635" xr:uid="{00000000-0005-0000-0000-00009D270000}"/>
    <cellStyle name="20% - Accent4 2 2 3 4 3" xfId="15684" xr:uid="{00000000-0005-0000-0000-00009E270000}"/>
    <cellStyle name="20% - Accent4 2 2 3 4 3 2" xfId="38286" xr:uid="{00000000-0005-0000-0000-00009F270000}"/>
    <cellStyle name="20% - Accent4 2 2 3 4 4" xfId="26985" xr:uid="{00000000-0005-0000-0000-0000A0270000}"/>
    <cellStyle name="20% - Accent4 2 2 3 5" xfId="7180" xr:uid="{00000000-0005-0000-0000-0000A1270000}"/>
    <cellStyle name="20% - Accent4 2 2 3 5 2" xfId="18481" xr:uid="{00000000-0005-0000-0000-0000A2270000}"/>
    <cellStyle name="20% - Accent4 2 2 3 5 2 2" xfId="41083" xr:uid="{00000000-0005-0000-0000-0000A3270000}"/>
    <cellStyle name="20% - Accent4 2 2 3 5 3" xfId="29782" xr:uid="{00000000-0005-0000-0000-0000A4270000}"/>
    <cellStyle name="20% - Accent4 2 2 3 6" xfId="12831" xr:uid="{00000000-0005-0000-0000-0000A5270000}"/>
    <cellStyle name="20% - Accent4 2 2 3 6 2" xfId="35433" xr:uid="{00000000-0005-0000-0000-0000A6270000}"/>
    <cellStyle name="20% - Accent4 2 2 3 7" xfId="24132" xr:uid="{00000000-0005-0000-0000-0000A7270000}"/>
    <cellStyle name="20% - Accent4 2 2 4" xfId="891" xr:uid="{00000000-0005-0000-0000-0000A8270000}"/>
    <cellStyle name="20% - Accent4 2 2 4 2" xfId="2962" xr:uid="{00000000-0005-0000-0000-0000A9270000}"/>
    <cellStyle name="20% - Accent4 2 2 4 2 2" xfId="5934" xr:uid="{00000000-0005-0000-0000-0000AA270000}"/>
    <cellStyle name="20% - Accent4 2 2 4 2 2 2" xfId="11584" xr:uid="{00000000-0005-0000-0000-0000AB270000}"/>
    <cellStyle name="20% - Accent4 2 2 4 2 2 2 2" xfId="22885" xr:uid="{00000000-0005-0000-0000-0000AC270000}"/>
    <cellStyle name="20% - Accent4 2 2 4 2 2 2 2 2" xfId="45487" xr:uid="{00000000-0005-0000-0000-0000AD270000}"/>
    <cellStyle name="20% - Accent4 2 2 4 2 2 2 3" xfId="34186" xr:uid="{00000000-0005-0000-0000-0000AE270000}"/>
    <cellStyle name="20% - Accent4 2 2 4 2 2 3" xfId="17235" xr:uid="{00000000-0005-0000-0000-0000AF270000}"/>
    <cellStyle name="20% - Accent4 2 2 4 2 2 3 2" xfId="39837" xr:uid="{00000000-0005-0000-0000-0000B0270000}"/>
    <cellStyle name="20% - Accent4 2 2 4 2 2 4" xfId="28536" xr:uid="{00000000-0005-0000-0000-0000B1270000}"/>
    <cellStyle name="20% - Accent4 2 2 4 2 3" xfId="8752" xr:uid="{00000000-0005-0000-0000-0000B2270000}"/>
    <cellStyle name="20% - Accent4 2 2 4 2 3 2" xfId="20053" xr:uid="{00000000-0005-0000-0000-0000B3270000}"/>
    <cellStyle name="20% - Accent4 2 2 4 2 3 2 2" xfId="42655" xr:uid="{00000000-0005-0000-0000-0000B4270000}"/>
    <cellStyle name="20% - Accent4 2 2 4 2 3 3" xfId="31354" xr:uid="{00000000-0005-0000-0000-0000B5270000}"/>
    <cellStyle name="20% - Accent4 2 2 4 2 4" xfId="14403" xr:uid="{00000000-0005-0000-0000-0000B6270000}"/>
    <cellStyle name="20% - Accent4 2 2 4 2 4 2" xfId="37005" xr:uid="{00000000-0005-0000-0000-0000B7270000}"/>
    <cellStyle name="20% - Accent4 2 2 4 2 5" xfId="25704" xr:uid="{00000000-0005-0000-0000-0000B8270000}"/>
    <cellStyle name="20% - Accent4 2 2 4 3" xfId="4700" xr:uid="{00000000-0005-0000-0000-0000B9270000}"/>
    <cellStyle name="20% - Accent4 2 2 4 3 2" xfId="10350" xr:uid="{00000000-0005-0000-0000-0000BA270000}"/>
    <cellStyle name="20% - Accent4 2 2 4 3 2 2" xfId="21651" xr:uid="{00000000-0005-0000-0000-0000BB270000}"/>
    <cellStyle name="20% - Accent4 2 2 4 3 2 2 2" xfId="44253" xr:uid="{00000000-0005-0000-0000-0000BC270000}"/>
    <cellStyle name="20% - Accent4 2 2 4 3 2 3" xfId="32952" xr:uid="{00000000-0005-0000-0000-0000BD270000}"/>
    <cellStyle name="20% - Accent4 2 2 4 3 3" xfId="16001" xr:uid="{00000000-0005-0000-0000-0000BE270000}"/>
    <cellStyle name="20% - Accent4 2 2 4 3 3 2" xfId="38603" xr:uid="{00000000-0005-0000-0000-0000BF270000}"/>
    <cellStyle name="20% - Accent4 2 2 4 3 4" xfId="27302" xr:uid="{00000000-0005-0000-0000-0000C0270000}"/>
    <cellStyle name="20% - Accent4 2 2 4 4" xfId="6887" xr:uid="{00000000-0005-0000-0000-0000C1270000}"/>
    <cellStyle name="20% - Accent4 2 2 4 4 2" xfId="18188" xr:uid="{00000000-0005-0000-0000-0000C2270000}"/>
    <cellStyle name="20% - Accent4 2 2 4 4 2 2" xfId="40790" xr:uid="{00000000-0005-0000-0000-0000C3270000}"/>
    <cellStyle name="20% - Accent4 2 2 4 4 3" xfId="29489" xr:uid="{00000000-0005-0000-0000-0000C4270000}"/>
    <cellStyle name="20% - Accent4 2 2 4 5" xfId="12538" xr:uid="{00000000-0005-0000-0000-0000C5270000}"/>
    <cellStyle name="20% - Accent4 2 2 4 5 2" xfId="35140" xr:uid="{00000000-0005-0000-0000-0000C6270000}"/>
    <cellStyle name="20% - Accent4 2 2 4 6" xfId="23839" xr:uid="{00000000-0005-0000-0000-0000C7270000}"/>
    <cellStyle name="20% - Accent4 2 2 5" xfId="1677" xr:uid="{00000000-0005-0000-0000-0000C8270000}"/>
    <cellStyle name="20% - Accent4 2 2 5 2" xfId="3633" xr:uid="{00000000-0005-0000-0000-0000C9270000}"/>
    <cellStyle name="20% - Accent4 2 2 5 2 2" xfId="9346" xr:uid="{00000000-0005-0000-0000-0000CA270000}"/>
    <cellStyle name="20% - Accent4 2 2 5 2 2 2" xfId="20647" xr:uid="{00000000-0005-0000-0000-0000CB270000}"/>
    <cellStyle name="20% - Accent4 2 2 5 2 2 2 2" xfId="43249" xr:uid="{00000000-0005-0000-0000-0000CC270000}"/>
    <cellStyle name="20% - Accent4 2 2 5 2 2 3" xfId="31948" xr:uid="{00000000-0005-0000-0000-0000CD270000}"/>
    <cellStyle name="20% - Accent4 2 2 5 2 3" xfId="14997" xr:uid="{00000000-0005-0000-0000-0000CE270000}"/>
    <cellStyle name="20% - Accent4 2 2 5 2 3 2" xfId="37599" xr:uid="{00000000-0005-0000-0000-0000CF270000}"/>
    <cellStyle name="20% - Accent4 2 2 5 2 4" xfId="26298" xr:uid="{00000000-0005-0000-0000-0000D0270000}"/>
    <cellStyle name="20% - Accent4 2 2 5 3" xfId="5310" xr:uid="{00000000-0005-0000-0000-0000D1270000}"/>
    <cellStyle name="20% - Accent4 2 2 5 3 2" xfId="10960" xr:uid="{00000000-0005-0000-0000-0000D2270000}"/>
    <cellStyle name="20% - Accent4 2 2 5 3 2 2" xfId="22261" xr:uid="{00000000-0005-0000-0000-0000D3270000}"/>
    <cellStyle name="20% - Accent4 2 2 5 3 2 2 2" xfId="44863" xr:uid="{00000000-0005-0000-0000-0000D4270000}"/>
    <cellStyle name="20% - Accent4 2 2 5 3 2 3" xfId="33562" xr:uid="{00000000-0005-0000-0000-0000D5270000}"/>
    <cellStyle name="20% - Accent4 2 2 5 3 3" xfId="16611" xr:uid="{00000000-0005-0000-0000-0000D6270000}"/>
    <cellStyle name="20% - Accent4 2 2 5 3 3 2" xfId="39213" xr:uid="{00000000-0005-0000-0000-0000D7270000}"/>
    <cellStyle name="20% - Accent4 2 2 5 3 4" xfId="27912" xr:uid="{00000000-0005-0000-0000-0000D8270000}"/>
    <cellStyle name="20% - Accent4 2 2 5 4" xfId="7533" xr:uid="{00000000-0005-0000-0000-0000D9270000}"/>
    <cellStyle name="20% - Accent4 2 2 5 4 2" xfId="18834" xr:uid="{00000000-0005-0000-0000-0000DA270000}"/>
    <cellStyle name="20% - Accent4 2 2 5 4 2 2" xfId="41436" xr:uid="{00000000-0005-0000-0000-0000DB270000}"/>
    <cellStyle name="20% - Accent4 2 2 5 4 3" xfId="30135" xr:uid="{00000000-0005-0000-0000-0000DC270000}"/>
    <cellStyle name="20% - Accent4 2 2 5 5" xfId="13184" xr:uid="{00000000-0005-0000-0000-0000DD270000}"/>
    <cellStyle name="20% - Accent4 2 2 5 5 2" xfId="35786" xr:uid="{00000000-0005-0000-0000-0000DE270000}"/>
    <cellStyle name="20% - Accent4 2 2 5 6" xfId="24485" xr:uid="{00000000-0005-0000-0000-0000DF270000}"/>
    <cellStyle name="20% - Accent4 2 2 6" xfId="2289" xr:uid="{00000000-0005-0000-0000-0000E0270000}"/>
    <cellStyle name="20% - Accent4 2 2 6 2" xfId="8125" xr:uid="{00000000-0005-0000-0000-0000E1270000}"/>
    <cellStyle name="20% - Accent4 2 2 6 2 2" xfId="19426" xr:uid="{00000000-0005-0000-0000-0000E2270000}"/>
    <cellStyle name="20% - Accent4 2 2 6 2 2 2" xfId="42028" xr:uid="{00000000-0005-0000-0000-0000E3270000}"/>
    <cellStyle name="20% - Accent4 2 2 6 2 3" xfId="30727" xr:uid="{00000000-0005-0000-0000-0000E4270000}"/>
    <cellStyle name="20% - Accent4 2 2 6 3" xfId="13776" xr:uid="{00000000-0005-0000-0000-0000E5270000}"/>
    <cellStyle name="20% - Accent4 2 2 6 3 2" xfId="36378" xr:uid="{00000000-0005-0000-0000-0000E6270000}"/>
    <cellStyle name="20% - Accent4 2 2 6 4" xfId="25077" xr:uid="{00000000-0005-0000-0000-0000E7270000}"/>
    <cellStyle name="20% - Accent4 2 2 7" xfId="4076" xr:uid="{00000000-0005-0000-0000-0000E8270000}"/>
    <cellStyle name="20% - Accent4 2 2 7 2" xfId="9726" xr:uid="{00000000-0005-0000-0000-0000E9270000}"/>
    <cellStyle name="20% - Accent4 2 2 7 2 2" xfId="21027" xr:uid="{00000000-0005-0000-0000-0000EA270000}"/>
    <cellStyle name="20% - Accent4 2 2 7 2 2 2" xfId="43629" xr:uid="{00000000-0005-0000-0000-0000EB270000}"/>
    <cellStyle name="20% - Accent4 2 2 7 2 3" xfId="32328" xr:uid="{00000000-0005-0000-0000-0000EC270000}"/>
    <cellStyle name="20% - Accent4 2 2 7 3" xfId="15377" xr:uid="{00000000-0005-0000-0000-0000ED270000}"/>
    <cellStyle name="20% - Accent4 2 2 7 3 2" xfId="37979" xr:uid="{00000000-0005-0000-0000-0000EE270000}"/>
    <cellStyle name="20% - Accent4 2 2 7 4" xfId="26678" xr:uid="{00000000-0005-0000-0000-0000EF270000}"/>
    <cellStyle name="20% - Accent4 2 2 8" xfId="6527" xr:uid="{00000000-0005-0000-0000-0000F0270000}"/>
    <cellStyle name="20% - Accent4 2 2 8 2" xfId="17828" xr:uid="{00000000-0005-0000-0000-0000F1270000}"/>
    <cellStyle name="20% - Accent4 2 2 8 2 2" xfId="40430" xr:uid="{00000000-0005-0000-0000-0000F2270000}"/>
    <cellStyle name="20% - Accent4 2 2 8 3" xfId="29129" xr:uid="{00000000-0005-0000-0000-0000F3270000}"/>
    <cellStyle name="20% - Accent4 2 2 9" xfId="12178" xr:uid="{00000000-0005-0000-0000-0000F4270000}"/>
    <cellStyle name="20% - Accent4 2 2 9 2" xfId="34780" xr:uid="{00000000-0005-0000-0000-0000F5270000}"/>
    <cellStyle name="20% - Accent4 2 3" xfId="2816" xr:uid="{00000000-0005-0000-0000-0000F6270000}"/>
    <cellStyle name="20% - Accent4 2 3 2" xfId="3573" xr:uid="{00000000-0005-0000-0000-0000F7270000}"/>
    <cellStyle name="20% - Accent4 2 3 2 2" xfId="5831" xr:uid="{00000000-0005-0000-0000-0000F8270000}"/>
    <cellStyle name="20% - Accent4 2 3 2 2 2" xfId="11481" xr:uid="{00000000-0005-0000-0000-0000F9270000}"/>
    <cellStyle name="20% - Accent4 2 3 2 2 2 2" xfId="22782" xr:uid="{00000000-0005-0000-0000-0000FA270000}"/>
    <cellStyle name="20% - Accent4 2 3 2 2 2 2 2" xfId="45384" xr:uid="{00000000-0005-0000-0000-0000FB270000}"/>
    <cellStyle name="20% - Accent4 2 3 2 2 2 3" xfId="34083" xr:uid="{00000000-0005-0000-0000-0000FC270000}"/>
    <cellStyle name="20% - Accent4 2 3 2 2 3" xfId="17132" xr:uid="{00000000-0005-0000-0000-0000FD270000}"/>
    <cellStyle name="20% - Accent4 2 3 2 2 3 2" xfId="39734" xr:uid="{00000000-0005-0000-0000-0000FE270000}"/>
    <cellStyle name="20% - Accent4 2 3 2 2 4" xfId="28433" xr:uid="{00000000-0005-0000-0000-0000FF270000}"/>
    <cellStyle name="20% - Accent4 2 3 2 3" xfId="9302" xr:uid="{00000000-0005-0000-0000-000000280000}"/>
    <cellStyle name="20% - Accent4 2 3 2 3 2" xfId="20603" xr:uid="{00000000-0005-0000-0000-000001280000}"/>
    <cellStyle name="20% - Accent4 2 3 2 3 2 2" xfId="43205" xr:uid="{00000000-0005-0000-0000-000002280000}"/>
    <cellStyle name="20% - Accent4 2 3 2 3 3" xfId="31904" xr:uid="{00000000-0005-0000-0000-000003280000}"/>
    <cellStyle name="20% - Accent4 2 3 2 4" xfId="14953" xr:uid="{00000000-0005-0000-0000-000004280000}"/>
    <cellStyle name="20% - Accent4 2 3 2 4 2" xfId="37555" xr:uid="{00000000-0005-0000-0000-000005280000}"/>
    <cellStyle name="20% - Accent4 2 3 2 5" xfId="26254" xr:uid="{00000000-0005-0000-0000-000006280000}"/>
    <cellStyle name="20% - Accent4 2 3 3" xfId="4597" xr:uid="{00000000-0005-0000-0000-000007280000}"/>
    <cellStyle name="20% - Accent4 2 3 3 2" xfId="10247" xr:uid="{00000000-0005-0000-0000-000008280000}"/>
    <cellStyle name="20% - Accent4 2 3 3 2 2" xfId="21548" xr:uid="{00000000-0005-0000-0000-000009280000}"/>
    <cellStyle name="20% - Accent4 2 3 3 2 2 2" xfId="44150" xr:uid="{00000000-0005-0000-0000-00000A280000}"/>
    <cellStyle name="20% - Accent4 2 3 3 2 3" xfId="32849" xr:uid="{00000000-0005-0000-0000-00000B280000}"/>
    <cellStyle name="20% - Accent4 2 3 3 3" xfId="15898" xr:uid="{00000000-0005-0000-0000-00000C280000}"/>
    <cellStyle name="20% - Accent4 2 3 3 3 2" xfId="38500" xr:uid="{00000000-0005-0000-0000-00000D280000}"/>
    <cellStyle name="20% - Accent4 2 3 3 4" xfId="27199" xr:uid="{00000000-0005-0000-0000-00000E280000}"/>
    <cellStyle name="20% - Accent4 2 3 4" xfId="8649" xr:uid="{00000000-0005-0000-0000-00000F280000}"/>
    <cellStyle name="20% - Accent4 2 3 4 2" xfId="19950" xr:uid="{00000000-0005-0000-0000-000010280000}"/>
    <cellStyle name="20% - Accent4 2 3 4 2 2" xfId="42552" xr:uid="{00000000-0005-0000-0000-000011280000}"/>
    <cellStyle name="20% - Accent4 2 3 4 3" xfId="31251" xr:uid="{00000000-0005-0000-0000-000012280000}"/>
    <cellStyle name="20% - Accent4 2 3 5" xfId="14300" xr:uid="{00000000-0005-0000-0000-000013280000}"/>
    <cellStyle name="20% - Accent4 2 3 5 2" xfId="36902" xr:uid="{00000000-0005-0000-0000-000014280000}"/>
    <cellStyle name="20% - Accent4 2 3 6" xfId="25601" xr:uid="{00000000-0005-0000-0000-000015280000}"/>
    <cellStyle name="20% - Accent4 2 4" xfId="2830" xr:uid="{00000000-0005-0000-0000-000016280000}"/>
    <cellStyle name="20% - Accent4 2 5" xfId="3489" xr:uid="{00000000-0005-0000-0000-000017280000}"/>
    <cellStyle name="20% - Accent4 2 5 2" xfId="9271" xr:uid="{00000000-0005-0000-0000-000018280000}"/>
    <cellStyle name="20% - Accent4 2 5 2 2" xfId="20572" xr:uid="{00000000-0005-0000-0000-000019280000}"/>
    <cellStyle name="20% - Accent4 2 5 2 2 2" xfId="43174" xr:uid="{00000000-0005-0000-0000-00001A280000}"/>
    <cellStyle name="20% - Accent4 2 5 2 3" xfId="31873" xr:uid="{00000000-0005-0000-0000-00001B280000}"/>
    <cellStyle name="20% - Accent4 2 5 3" xfId="14922" xr:uid="{00000000-0005-0000-0000-00001C280000}"/>
    <cellStyle name="20% - Accent4 2 5 3 2" xfId="37524" xr:uid="{00000000-0005-0000-0000-00001D280000}"/>
    <cellStyle name="20% - Accent4 2 5 4" xfId="26223" xr:uid="{00000000-0005-0000-0000-00001E280000}"/>
    <cellStyle name="20% - Accent4 2 6" xfId="3902" xr:uid="{00000000-0005-0000-0000-00001F280000}"/>
    <cellStyle name="20% - Accent4 2 7" xfId="150" xr:uid="{00000000-0005-0000-0000-000020280000}"/>
    <cellStyle name="20% - Accent4 3" xfId="222" xr:uid="{00000000-0005-0000-0000-000021280000}"/>
    <cellStyle name="20% - Accent4 3 2" xfId="349" xr:uid="{00000000-0005-0000-0000-000022280000}"/>
    <cellStyle name="20% - Accent4 3 2 10" xfId="23459" xr:uid="{00000000-0005-0000-0000-000023280000}"/>
    <cellStyle name="20% - Accent4 3 2 2" xfId="609" xr:uid="{00000000-0005-0000-0000-000024280000}"/>
    <cellStyle name="20% - Accent4 3 2 2 2" xfId="1319" xr:uid="{00000000-0005-0000-0000-000025280000}"/>
    <cellStyle name="20% - Accent4 3 2 2 2 2" xfId="1683" xr:uid="{00000000-0005-0000-0000-000026280000}"/>
    <cellStyle name="20% - Accent4 3 2 2 2 2 2" xfId="3388" xr:uid="{00000000-0005-0000-0000-000027280000}"/>
    <cellStyle name="20% - Accent4 3 2 2 2 2 2 2" xfId="6360" xr:uid="{00000000-0005-0000-0000-000028280000}"/>
    <cellStyle name="20% - Accent4 3 2 2 2 2 2 2 2" xfId="12010" xr:uid="{00000000-0005-0000-0000-000029280000}"/>
    <cellStyle name="20% - Accent4 3 2 2 2 2 2 2 2 2" xfId="23311" xr:uid="{00000000-0005-0000-0000-00002A280000}"/>
    <cellStyle name="20% - Accent4 3 2 2 2 2 2 2 2 2 2" xfId="45913" xr:uid="{00000000-0005-0000-0000-00002B280000}"/>
    <cellStyle name="20% - Accent4 3 2 2 2 2 2 2 2 3" xfId="34612" xr:uid="{00000000-0005-0000-0000-00002C280000}"/>
    <cellStyle name="20% - Accent4 3 2 2 2 2 2 2 3" xfId="17661" xr:uid="{00000000-0005-0000-0000-00002D280000}"/>
    <cellStyle name="20% - Accent4 3 2 2 2 2 2 2 3 2" xfId="40263" xr:uid="{00000000-0005-0000-0000-00002E280000}"/>
    <cellStyle name="20% - Accent4 3 2 2 2 2 2 2 4" xfId="28962" xr:uid="{00000000-0005-0000-0000-00002F280000}"/>
    <cellStyle name="20% - Accent4 3 2 2 2 2 2 3" xfId="9178" xr:uid="{00000000-0005-0000-0000-000030280000}"/>
    <cellStyle name="20% - Accent4 3 2 2 2 2 2 3 2" xfId="20479" xr:uid="{00000000-0005-0000-0000-000031280000}"/>
    <cellStyle name="20% - Accent4 3 2 2 2 2 2 3 2 2" xfId="43081" xr:uid="{00000000-0005-0000-0000-000032280000}"/>
    <cellStyle name="20% - Accent4 3 2 2 2 2 2 3 3" xfId="31780" xr:uid="{00000000-0005-0000-0000-000033280000}"/>
    <cellStyle name="20% - Accent4 3 2 2 2 2 2 4" xfId="14829" xr:uid="{00000000-0005-0000-0000-000034280000}"/>
    <cellStyle name="20% - Accent4 3 2 2 2 2 2 4 2" xfId="37431" xr:uid="{00000000-0005-0000-0000-000035280000}"/>
    <cellStyle name="20% - Accent4 3 2 2 2 2 2 5" xfId="26130" xr:uid="{00000000-0005-0000-0000-000036280000}"/>
    <cellStyle name="20% - Accent4 3 2 2 2 2 3" xfId="5126" xr:uid="{00000000-0005-0000-0000-000037280000}"/>
    <cellStyle name="20% - Accent4 3 2 2 2 2 3 2" xfId="10776" xr:uid="{00000000-0005-0000-0000-000038280000}"/>
    <cellStyle name="20% - Accent4 3 2 2 2 2 3 2 2" xfId="22077" xr:uid="{00000000-0005-0000-0000-000039280000}"/>
    <cellStyle name="20% - Accent4 3 2 2 2 2 3 2 2 2" xfId="44679" xr:uid="{00000000-0005-0000-0000-00003A280000}"/>
    <cellStyle name="20% - Accent4 3 2 2 2 2 3 2 3" xfId="33378" xr:uid="{00000000-0005-0000-0000-00003B280000}"/>
    <cellStyle name="20% - Accent4 3 2 2 2 2 3 3" xfId="16427" xr:uid="{00000000-0005-0000-0000-00003C280000}"/>
    <cellStyle name="20% - Accent4 3 2 2 2 2 3 3 2" xfId="39029" xr:uid="{00000000-0005-0000-0000-00003D280000}"/>
    <cellStyle name="20% - Accent4 3 2 2 2 2 3 4" xfId="27728" xr:uid="{00000000-0005-0000-0000-00003E280000}"/>
    <cellStyle name="20% - Accent4 3 2 2 2 2 4" xfId="7539" xr:uid="{00000000-0005-0000-0000-00003F280000}"/>
    <cellStyle name="20% - Accent4 3 2 2 2 2 4 2" xfId="18840" xr:uid="{00000000-0005-0000-0000-000040280000}"/>
    <cellStyle name="20% - Accent4 3 2 2 2 2 4 2 2" xfId="41442" xr:uid="{00000000-0005-0000-0000-000041280000}"/>
    <cellStyle name="20% - Accent4 3 2 2 2 2 4 3" xfId="30141" xr:uid="{00000000-0005-0000-0000-000042280000}"/>
    <cellStyle name="20% - Accent4 3 2 2 2 2 5" xfId="13190" xr:uid="{00000000-0005-0000-0000-000043280000}"/>
    <cellStyle name="20% - Accent4 3 2 2 2 2 5 2" xfId="35792" xr:uid="{00000000-0005-0000-0000-000044280000}"/>
    <cellStyle name="20% - Accent4 3 2 2 2 2 6" xfId="24491" xr:uid="{00000000-0005-0000-0000-000045280000}"/>
    <cellStyle name="20% - Accent4 3 2 2 2 3" xfId="2717" xr:uid="{00000000-0005-0000-0000-000046280000}"/>
    <cellStyle name="20% - Accent4 3 2 2 2 3 2" xfId="5736" xr:uid="{00000000-0005-0000-0000-000047280000}"/>
    <cellStyle name="20% - Accent4 3 2 2 2 3 2 2" xfId="11386" xr:uid="{00000000-0005-0000-0000-000048280000}"/>
    <cellStyle name="20% - Accent4 3 2 2 2 3 2 2 2" xfId="22687" xr:uid="{00000000-0005-0000-0000-000049280000}"/>
    <cellStyle name="20% - Accent4 3 2 2 2 3 2 2 2 2" xfId="45289" xr:uid="{00000000-0005-0000-0000-00004A280000}"/>
    <cellStyle name="20% - Accent4 3 2 2 2 3 2 2 3" xfId="33988" xr:uid="{00000000-0005-0000-0000-00004B280000}"/>
    <cellStyle name="20% - Accent4 3 2 2 2 3 2 3" xfId="17037" xr:uid="{00000000-0005-0000-0000-00004C280000}"/>
    <cellStyle name="20% - Accent4 3 2 2 2 3 2 3 2" xfId="39639" xr:uid="{00000000-0005-0000-0000-00004D280000}"/>
    <cellStyle name="20% - Accent4 3 2 2 2 3 2 4" xfId="28338" xr:uid="{00000000-0005-0000-0000-00004E280000}"/>
    <cellStyle name="20% - Accent4 3 2 2 2 3 3" xfId="8553" xr:uid="{00000000-0005-0000-0000-00004F280000}"/>
    <cellStyle name="20% - Accent4 3 2 2 2 3 3 2" xfId="19854" xr:uid="{00000000-0005-0000-0000-000050280000}"/>
    <cellStyle name="20% - Accent4 3 2 2 2 3 3 2 2" xfId="42456" xr:uid="{00000000-0005-0000-0000-000051280000}"/>
    <cellStyle name="20% - Accent4 3 2 2 2 3 3 3" xfId="31155" xr:uid="{00000000-0005-0000-0000-000052280000}"/>
    <cellStyle name="20% - Accent4 3 2 2 2 3 4" xfId="14204" xr:uid="{00000000-0005-0000-0000-000053280000}"/>
    <cellStyle name="20% - Accent4 3 2 2 2 3 4 2" xfId="36806" xr:uid="{00000000-0005-0000-0000-000054280000}"/>
    <cellStyle name="20% - Accent4 3 2 2 2 3 5" xfId="25505" xr:uid="{00000000-0005-0000-0000-000055280000}"/>
    <cellStyle name="20% - Accent4 3 2 2 2 4" xfId="4502" xr:uid="{00000000-0005-0000-0000-000056280000}"/>
    <cellStyle name="20% - Accent4 3 2 2 2 4 2" xfId="10152" xr:uid="{00000000-0005-0000-0000-000057280000}"/>
    <cellStyle name="20% - Accent4 3 2 2 2 4 2 2" xfId="21453" xr:uid="{00000000-0005-0000-0000-000058280000}"/>
    <cellStyle name="20% - Accent4 3 2 2 2 4 2 2 2" xfId="44055" xr:uid="{00000000-0005-0000-0000-000059280000}"/>
    <cellStyle name="20% - Accent4 3 2 2 2 4 2 3" xfId="32754" xr:uid="{00000000-0005-0000-0000-00005A280000}"/>
    <cellStyle name="20% - Accent4 3 2 2 2 4 3" xfId="15803" xr:uid="{00000000-0005-0000-0000-00005B280000}"/>
    <cellStyle name="20% - Accent4 3 2 2 2 4 3 2" xfId="38405" xr:uid="{00000000-0005-0000-0000-00005C280000}"/>
    <cellStyle name="20% - Accent4 3 2 2 2 4 4" xfId="27104" xr:uid="{00000000-0005-0000-0000-00005D280000}"/>
    <cellStyle name="20% - Accent4 3 2 2 2 5" xfId="7298" xr:uid="{00000000-0005-0000-0000-00005E280000}"/>
    <cellStyle name="20% - Accent4 3 2 2 2 5 2" xfId="18599" xr:uid="{00000000-0005-0000-0000-00005F280000}"/>
    <cellStyle name="20% - Accent4 3 2 2 2 5 2 2" xfId="41201" xr:uid="{00000000-0005-0000-0000-000060280000}"/>
    <cellStyle name="20% - Accent4 3 2 2 2 5 3" xfId="29900" xr:uid="{00000000-0005-0000-0000-000061280000}"/>
    <cellStyle name="20% - Accent4 3 2 2 2 6" xfId="12949" xr:uid="{00000000-0005-0000-0000-000062280000}"/>
    <cellStyle name="20% - Accent4 3 2 2 2 6 2" xfId="35551" xr:uid="{00000000-0005-0000-0000-000063280000}"/>
    <cellStyle name="20% - Accent4 3 2 2 2 7" xfId="24250" xr:uid="{00000000-0005-0000-0000-000064280000}"/>
    <cellStyle name="20% - Accent4 3 2 2 3" xfId="1017" xr:uid="{00000000-0005-0000-0000-000065280000}"/>
    <cellStyle name="20% - Accent4 3 2 2 3 2" xfId="3080" xr:uid="{00000000-0005-0000-0000-000066280000}"/>
    <cellStyle name="20% - Accent4 3 2 2 3 2 2" xfId="6052" xr:uid="{00000000-0005-0000-0000-000067280000}"/>
    <cellStyle name="20% - Accent4 3 2 2 3 2 2 2" xfId="11702" xr:uid="{00000000-0005-0000-0000-000068280000}"/>
    <cellStyle name="20% - Accent4 3 2 2 3 2 2 2 2" xfId="23003" xr:uid="{00000000-0005-0000-0000-000069280000}"/>
    <cellStyle name="20% - Accent4 3 2 2 3 2 2 2 2 2" xfId="45605" xr:uid="{00000000-0005-0000-0000-00006A280000}"/>
    <cellStyle name="20% - Accent4 3 2 2 3 2 2 2 3" xfId="34304" xr:uid="{00000000-0005-0000-0000-00006B280000}"/>
    <cellStyle name="20% - Accent4 3 2 2 3 2 2 3" xfId="17353" xr:uid="{00000000-0005-0000-0000-00006C280000}"/>
    <cellStyle name="20% - Accent4 3 2 2 3 2 2 3 2" xfId="39955" xr:uid="{00000000-0005-0000-0000-00006D280000}"/>
    <cellStyle name="20% - Accent4 3 2 2 3 2 2 4" xfId="28654" xr:uid="{00000000-0005-0000-0000-00006E280000}"/>
    <cellStyle name="20% - Accent4 3 2 2 3 2 3" xfId="8870" xr:uid="{00000000-0005-0000-0000-00006F280000}"/>
    <cellStyle name="20% - Accent4 3 2 2 3 2 3 2" xfId="20171" xr:uid="{00000000-0005-0000-0000-000070280000}"/>
    <cellStyle name="20% - Accent4 3 2 2 3 2 3 2 2" xfId="42773" xr:uid="{00000000-0005-0000-0000-000071280000}"/>
    <cellStyle name="20% - Accent4 3 2 2 3 2 3 3" xfId="31472" xr:uid="{00000000-0005-0000-0000-000072280000}"/>
    <cellStyle name="20% - Accent4 3 2 2 3 2 4" xfId="14521" xr:uid="{00000000-0005-0000-0000-000073280000}"/>
    <cellStyle name="20% - Accent4 3 2 2 3 2 4 2" xfId="37123" xr:uid="{00000000-0005-0000-0000-000074280000}"/>
    <cellStyle name="20% - Accent4 3 2 2 3 2 5" xfId="25822" xr:uid="{00000000-0005-0000-0000-000075280000}"/>
    <cellStyle name="20% - Accent4 3 2 2 3 3" xfId="4818" xr:uid="{00000000-0005-0000-0000-000076280000}"/>
    <cellStyle name="20% - Accent4 3 2 2 3 3 2" xfId="10468" xr:uid="{00000000-0005-0000-0000-000077280000}"/>
    <cellStyle name="20% - Accent4 3 2 2 3 3 2 2" xfId="21769" xr:uid="{00000000-0005-0000-0000-000078280000}"/>
    <cellStyle name="20% - Accent4 3 2 2 3 3 2 2 2" xfId="44371" xr:uid="{00000000-0005-0000-0000-000079280000}"/>
    <cellStyle name="20% - Accent4 3 2 2 3 3 2 3" xfId="33070" xr:uid="{00000000-0005-0000-0000-00007A280000}"/>
    <cellStyle name="20% - Accent4 3 2 2 3 3 3" xfId="16119" xr:uid="{00000000-0005-0000-0000-00007B280000}"/>
    <cellStyle name="20% - Accent4 3 2 2 3 3 3 2" xfId="38721" xr:uid="{00000000-0005-0000-0000-00007C280000}"/>
    <cellStyle name="20% - Accent4 3 2 2 3 3 4" xfId="27420" xr:uid="{00000000-0005-0000-0000-00007D280000}"/>
    <cellStyle name="20% - Accent4 3 2 2 3 4" xfId="7005" xr:uid="{00000000-0005-0000-0000-00007E280000}"/>
    <cellStyle name="20% - Accent4 3 2 2 3 4 2" xfId="18306" xr:uid="{00000000-0005-0000-0000-00007F280000}"/>
    <cellStyle name="20% - Accent4 3 2 2 3 4 2 2" xfId="40908" xr:uid="{00000000-0005-0000-0000-000080280000}"/>
    <cellStyle name="20% - Accent4 3 2 2 3 4 3" xfId="29607" xr:uid="{00000000-0005-0000-0000-000081280000}"/>
    <cellStyle name="20% - Accent4 3 2 2 3 5" xfId="12656" xr:uid="{00000000-0005-0000-0000-000082280000}"/>
    <cellStyle name="20% - Accent4 3 2 2 3 5 2" xfId="35258" xr:uid="{00000000-0005-0000-0000-000083280000}"/>
    <cellStyle name="20% - Accent4 3 2 2 3 6" xfId="23957" xr:uid="{00000000-0005-0000-0000-000084280000}"/>
    <cellStyle name="20% - Accent4 3 2 2 4" xfId="1682" xr:uid="{00000000-0005-0000-0000-000085280000}"/>
    <cellStyle name="20% - Accent4 3 2 2 4 2" xfId="3637" xr:uid="{00000000-0005-0000-0000-000086280000}"/>
    <cellStyle name="20% - Accent4 3 2 2 4 2 2" xfId="9349" xr:uid="{00000000-0005-0000-0000-000087280000}"/>
    <cellStyle name="20% - Accent4 3 2 2 4 2 2 2" xfId="20650" xr:uid="{00000000-0005-0000-0000-000088280000}"/>
    <cellStyle name="20% - Accent4 3 2 2 4 2 2 2 2" xfId="43252" xr:uid="{00000000-0005-0000-0000-000089280000}"/>
    <cellStyle name="20% - Accent4 3 2 2 4 2 2 3" xfId="31951" xr:uid="{00000000-0005-0000-0000-00008A280000}"/>
    <cellStyle name="20% - Accent4 3 2 2 4 2 3" xfId="15000" xr:uid="{00000000-0005-0000-0000-00008B280000}"/>
    <cellStyle name="20% - Accent4 3 2 2 4 2 3 2" xfId="37602" xr:uid="{00000000-0005-0000-0000-00008C280000}"/>
    <cellStyle name="20% - Accent4 3 2 2 4 2 4" xfId="26301" xr:uid="{00000000-0005-0000-0000-00008D280000}"/>
    <cellStyle name="20% - Accent4 3 2 2 4 3" xfId="5428" xr:uid="{00000000-0005-0000-0000-00008E280000}"/>
    <cellStyle name="20% - Accent4 3 2 2 4 3 2" xfId="11078" xr:uid="{00000000-0005-0000-0000-00008F280000}"/>
    <cellStyle name="20% - Accent4 3 2 2 4 3 2 2" xfId="22379" xr:uid="{00000000-0005-0000-0000-000090280000}"/>
    <cellStyle name="20% - Accent4 3 2 2 4 3 2 2 2" xfId="44981" xr:uid="{00000000-0005-0000-0000-000091280000}"/>
    <cellStyle name="20% - Accent4 3 2 2 4 3 2 3" xfId="33680" xr:uid="{00000000-0005-0000-0000-000092280000}"/>
    <cellStyle name="20% - Accent4 3 2 2 4 3 3" xfId="16729" xr:uid="{00000000-0005-0000-0000-000093280000}"/>
    <cellStyle name="20% - Accent4 3 2 2 4 3 3 2" xfId="39331" xr:uid="{00000000-0005-0000-0000-000094280000}"/>
    <cellStyle name="20% - Accent4 3 2 2 4 3 4" xfId="28030" xr:uid="{00000000-0005-0000-0000-000095280000}"/>
    <cellStyle name="20% - Accent4 3 2 2 4 4" xfId="7538" xr:uid="{00000000-0005-0000-0000-000096280000}"/>
    <cellStyle name="20% - Accent4 3 2 2 4 4 2" xfId="18839" xr:uid="{00000000-0005-0000-0000-000097280000}"/>
    <cellStyle name="20% - Accent4 3 2 2 4 4 2 2" xfId="41441" xr:uid="{00000000-0005-0000-0000-000098280000}"/>
    <cellStyle name="20% - Accent4 3 2 2 4 4 3" xfId="30140" xr:uid="{00000000-0005-0000-0000-000099280000}"/>
    <cellStyle name="20% - Accent4 3 2 2 4 5" xfId="13189" xr:uid="{00000000-0005-0000-0000-00009A280000}"/>
    <cellStyle name="20% - Accent4 3 2 2 4 5 2" xfId="35791" xr:uid="{00000000-0005-0000-0000-00009B280000}"/>
    <cellStyle name="20% - Accent4 3 2 2 4 6" xfId="24490" xr:uid="{00000000-0005-0000-0000-00009C280000}"/>
    <cellStyle name="20% - Accent4 3 2 2 5" xfId="2409" xr:uid="{00000000-0005-0000-0000-00009D280000}"/>
    <cellStyle name="20% - Accent4 3 2 2 5 2" xfId="8245" xr:uid="{00000000-0005-0000-0000-00009E280000}"/>
    <cellStyle name="20% - Accent4 3 2 2 5 2 2" xfId="19546" xr:uid="{00000000-0005-0000-0000-00009F280000}"/>
    <cellStyle name="20% - Accent4 3 2 2 5 2 2 2" xfId="42148" xr:uid="{00000000-0005-0000-0000-0000A0280000}"/>
    <cellStyle name="20% - Accent4 3 2 2 5 2 3" xfId="30847" xr:uid="{00000000-0005-0000-0000-0000A1280000}"/>
    <cellStyle name="20% - Accent4 3 2 2 5 3" xfId="13896" xr:uid="{00000000-0005-0000-0000-0000A2280000}"/>
    <cellStyle name="20% - Accent4 3 2 2 5 3 2" xfId="36498" xr:uid="{00000000-0005-0000-0000-0000A3280000}"/>
    <cellStyle name="20% - Accent4 3 2 2 5 4" xfId="25197" xr:uid="{00000000-0005-0000-0000-0000A4280000}"/>
    <cellStyle name="20% - Accent4 3 2 2 6" xfId="4194" xr:uid="{00000000-0005-0000-0000-0000A5280000}"/>
    <cellStyle name="20% - Accent4 3 2 2 6 2" xfId="9844" xr:uid="{00000000-0005-0000-0000-0000A6280000}"/>
    <cellStyle name="20% - Accent4 3 2 2 6 2 2" xfId="21145" xr:uid="{00000000-0005-0000-0000-0000A7280000}"/>
    <cellStyle name="20% - Accent4 3 2 2 6 2 2 2" xfId="43747" xr:uid="{00000000-0005-0000-0000-0000A8280000}"/>
    <cellStyle name="20% - Accent4 3 2 2 6 2 3" xfId="32446" xr:uid="{00000000-0005-0000-0000-0000A9280000}"/>
    <cellStyle name="20% - Accent4 3 2 2 6 3" xfId="15495" xr:uid="{00000000-0005-0000-0000-0000AA280000}"/>
    <cellStyle name="20% - Accent4 3 2 2 6 3 2" xfId="38097" xr:uid="{00000000-0005-0000-0000-0000AB280000}"/>
    <cellStyle name="20% - Accent4 3 2 2 6 4" xfId="26796" xr:uid="{00000000-0005-0000-0000-0000AC280000}"/>
    <cellStyle name="20% - Accent4 3 2 2 7" xfId="6674" xr:uid="{00000000-0005-0000-0000-0000AD280000}"/>
    <cellStyle name="20% - Accent4 3 2 2 7 2" xfId="17975" xr:uid="{00000000-0005-0000-0000-0000AE280000}"/>
    <cellStyle name="20% - Accent4 3 2 2 7 2 2" xfId="40577" xr:uid="{00000000-0005-0000-0000-0000AF280000}"/>
    <cellStyle name="20% - Accent4 3 2 2 7 3" xfId="29276" xr:uid="{00000000-0005-0000-0000-0000B0280000}"/>
    <cellStyle name="20% - Accent4 3 2 2 8" xfId="12325" xr:uid="{00000000-0005-0000-0000-0000B1280000}"/>
    <cellStyle name="20% - Accent4 3 2 2 8 2" xfId="34927" xr:uid="{00000000-0005-0000-0000-0000B2280000}"/>
    <cellStyle name="20% - Accent4 3 2 2 9" xfId="23626" xr:uid="{00000000-0005-0000-0000-0000B3280000}"/>
    <cellStyle name="20% - Accent4 3 2 3" xfId="1181" xr:uid="{00000000-0005-0000-0000-0000B4280000}"/>
    <cellStyle name="20% - Accent4 3 2 3 2" xfId="1684" xr:uid="{00000000-0005-0000-0000-0000B5280000}"/>
    <cellStyle name="20% - Accent4 3 2 3 2 2" xfId="3249" xr:uid="{00000000-0005-0000-0000-0000B6280000}"/>
    <cellStyle name="20% - Accent4 3 2 3 2 2 2" xfId="6221" xr:uid="{00000000-0005-0000-0000-0000B7280000}"/>
    <cellStyle name="20% - Accent4 3 2 3 2 2 2 2" xfId="11871" xr:uid="{00000000-0005-0000-0000-0000B8280000}"/>
    <cellStyle name="20% - Accent4 3 2 3 2 2 2 2 2" xfId="23172" xr:uid="{00000000-0005-0000-0000-0000B9280000}"/>
    <cellStyle name="20% - Accent4 3 2 3 2 2 2 2 2 2" xfId="45774" xr:uid="{00000000-0005-0000-0000-0000BA280000}"/>
    <cellStyle name="20% - Accent4 3 2 3 2 2 2 2 3" xfId="34473" xr:uid="{00000000-0005-0000-0000-0000BB280000}"/>
    <cellStyle name="20% - Accent4 3 2 3 2 2 2 3" xfId="17522" xr:uid="{00000000-0005-0000-0000-0000BC280000}"/>
    <cellStyle name="20% - Accent4 3 2 3 2 2 2 3 2" xfId="40124" xr:uid="{00000000-0005-0000-0000-0000BD280000}"/>
    <cellStyle name="20% - Accent4 3 2 3 2 2 2 4" xfId="28823" xr:uid="{00000000-0005-0000-0000-0000BE280000}"/>
    <cellStyle name="20% - Accent4 3 2 3 2 2 3" xfId="9039" xr:uid="{00000000-0005-0000-0000-0000BF280000}"/>
    <cellStyle name="20% - Accent4 3 2 3 2 2 3 2" xfId="20340" xr:uid="{00000000-0005-0000-0000-0000C0280000}"/>
    <cellStyle name="20% - Accent4 3 2 3 2 2 3 2 2" xfId="42942" xr:uid="{00000000-0005-0000-0000-0000C1280000}"/>
    <cellStyle name="20% - Accent4 3 2 3 2 2 3 3" xfId="31641" xr:uid="{00000000-0005-0000-0000-0000C2280000}"/>
    <cellStyle name="20% - Accent4 3 2 3 2 2 4" xfId="14690" xr:uid="{00000000-0005-0000-0000-0000C3280000}"/>
    <cellStyle name="20% - Accent4 3 2 3 2 2 4 2" xfId="37292" xr:uid="{00000000-0005-0000-0000-0000C4280000}"/>
    <cellStyle name="20% - Accent4 3 2 3 2 2 5" xfId="25991" xr:uid="{00000000-0005-0000-0000-0000C5280000}"/>
    <cellStyle name="20% - Accent4 3 2 3 2 3" xfId="4987" xr:uid="{00000000-0005-0000-0000-0000C6280000}"/>
    <cellStyle name="20% - Accent4 3 2 3 2 3 2" xfId="10637" xr:uid="{00000000-0005-0000-0000-0000C7280000}"/>
    <cellStyle name="20% - Accent4 3 2 3 2 3 2 2" xfId="21938" xr:uid="{00000000-0005-0000-0000-0000C8280000}"/>
    <cellStyle name="20% - Accent4 3 2 3 2 3 2 2 2" xfId="44540" xr:uid="{00000000-0005-0000-0000-0000C9280000}"/>
    <cellStyle name="20% - Accent4 3 2 3 2 3 2 3" xfId="33239" xr:uid="{00000000-0005-0000-0000-0000CA280000}"/>
    <cellStyle name="20% - Accent4 3 2 3 2 3 3" xfId="16288" xr:uid="{00000000-0005-0000-0000-0000CB280000}"/>
    <cellStyle name="20% - Accent4 3 2 3 2 3 3 2" xfId="38890" xr:uid="{00000000-0005-0000-0000-0000CC280000}"/>
    <cellStyle name="20% - Accent4 3 2 3 2 3 4" xfId="27589" xr:uid="{00000000-0005-0000-0000-0000CD280000}"/>
    <cellStyle name="20% - Accent4 3 2 3 2 4" xfId="7540" xr:uid="{00000000-0005-0000-0000-0000CE280000}"/>
    <cellStyle name="20% - Accent4 3 2 3 2 4 2" xfId="18841" xr:uid="{00000000-0005-0000-0000-0000CF280000}"/>
    <cellStyle name="20% - Accent4 3 2 3 2 4 2 2" xfId="41443" xr:uid="{00000000-0005-0000-0000-0000D0280000}"/>
    <cellStyle name="20% - Accent4 3 2 3 2 4 3" xfId="30142" xr:uid="{00000000-0005-0000-0000-0000D1280000}"/>
    <cellStyle name="20% - Accent4 3 2 3 2 5" xfId="13191" xr:uid="{00000000-0005-0000-0000-0000D2280000}"/>
    <cellStyle name="20% - Accent4 3 2 3 2 5 2" xfId="35793" xr:uid="{00000000-0005-0000-0000-0000D3280000}"/>
    <cellStyle name="20% - Accent4 3 2 3 2 6" xfId="24492" xr:uid="{00000000-0005-0000-0000-0000D4280000}"/>
    <cellStyle name="20% - Accent4 3 2 3 3" xfId="2578" xr:uid="{00000000-0005-0000-0000-0000D5280000}"/>
    <cellStyle name="20% - Accent4 3 2 3 3 2" xfId="5597" xr:uid="{00000000-0005-0000-0000-0000D6280000}"/>
    <cellStyle name="20% - Accent4 3 2 3 3 2 2" xfId="11247" xr:uid="{00000000-0005-0000-0000-0000D7280000}"/>
    <cellStyle name="20% - Accent4 3 2 3 3 2 2 2" xfId="22548" xr:uid="{00000000-0005-0000-0000-0000D8280000}"/>
    <cellStyle name="20% - Accent4 3 2 3 3 2 2 2 2" xfId="45150" xr:uid="{00000000-0005-0000-0000-0000D9280000}"/>
    <cellStyle name="20% - Accent4 3 2 3 3 2 2 3" xfId="33849" xr:uid="{00000000-0005-0000-0000-0000DA280000}"/>
    <cellStyle name="20% - Accent4 3 2 3 3 2 3" xfId="16898" xr:uid="{00000000-0005-0000-0000-0000DB280000}"/>
    <cellStyle name="20% - Accent4 3 2 3 3 2 3 2" xfId="39500" xr:uid="{00000000-0005-0000-0000-0000DC280000}"/>
    <cellStyle name="20% - Accent4 3 2 3 3 2 4" xfId="28199" xr:uid="{00000000-0005-0000-0000-0000DD280000}"/>
    <cellStyle name="20% - Accent4 3 2 3 3 3" xfId="8414" xr:uid="{00000000-0005-0000-0000-0000DE280000}"/>
    <cellStyle name="20% - Accent4 3 2 3 3 3 2" xfId="19715" xr:uid="{00000000-0005-0000-0000-0000DF280000}"/>
    <cellStyle name="20% - Accent4 3 2 3 3 3 2 2" xfId="42317" xr:uid="{00000000-0005-0000-0000-0000E0280000}"/>
    <cellStyle name="20% - Accent4 3 2 3 3 3 3" xfId="31016" xr:uid="{00000000-0005-0000-0000-0000E1280000}"/>
    <cellStyle name="20% - Accent4 3 2 3 3 4" xfId="14065" xr:uid="{00000000-0005-0000-0000-0000E2280000}"/>
    <cellStyle name="20% - Accent4 3 2 3 3 4 2" xfId="36667" xr:uid="{00000000-0005-0000-0000-0000E3280000}"/>
    <cellStyle name="20% - Accent4 3 2 3 3 5" xfId="25366" xr:uid="{00000000-0005-0000-0000-0000E4280000}"/>
    <cellStyle name="20% - Accent4 3 2 3 4" xfId="4363" xr:uid="{00000000-0005-0000-0000-0000E5280000}"/>
    <cellStyle name="20% - Accent4 3 2 3 4 2" xfId="10013" xr:uid="{00000000-0005-0000-0000-0000E6280000}"/>
    <cellStyle name="20% - Accent4 3 2 3 4 2 2" xfId="21314" xr:uid="{00000000-0005-0000-0000-0000E7280000}"/>
    <cellStyle name="20% - Accent4 3 2 3 4 2 2 2" xfId="43916" xr:uid="{00000000-0005-0000-0000-0000E8280000}"/>
    <cellStyle name="20% - Accent4 3 2 3 4 2 3" xfId="32615" xr:uid="{00000000-0005-0000-0000-0000E9280000}"/>
    <cellStyle name="20% - Accent4 3 2 3 4 3" xfId="15664" xr:uid="{00000000-0005-0000-0000-0000EA280000}"/>
    <cellStyle name="20% - Accent4 3 2 3 4 3 2" xfId="38266" xr:uid="{00000000-0005-0000-0000-0000EB280000}"/>
    <cellStyle name="20% - Accent4 3 2 3 4 4" xfId="26965" xr:uid="{00000000-0005-0000-0000-0000EC280000}"/>
    <cellStyle name="20% - Accent4 3 2 3 5" xfId="7160" xr:uid="{00000000-0005-0000-0000-0000ED280000}"/>
    <cellStyle name="20% - Accent4 3 2 3 5 2" xfId="18461" xr:uid="{00000000-0005-0000-0000-0000EE280000}"/>
    <cellStyle name="20% - Accent4 3 2 3 5 2 2" xfId="41063" xr:uid="{00000000-0005-0000-0000-0000EF280000}"/>
    <cellStyle name="20% - Accent4 3 2 3 5 3" xfId="29762" xr:uid="{00000000-0005-0000-0000-0000F0280000}"/>
    <cellStyle name="20% - Accent4 3 2 3 6" xfId="12811" xr:uid="{00000000-0005-0000-0000-0000F1280000}"/>
    <cellStyle name="20% - Accent4 3 2 3 6 2" xfId="35413" xr:uid="{00000000-0005-0000-0000-0000F2280000}"/>
    <cellStyle name="20% - Accent4 3 2 3 7" xfId="24112" xr:uid="{00000000-0005-0000-0000-0000F3280000}"/>
    <cellStyle name="20% - Accent4 3 2 4" xfId="870" xr:uid="{00000000-0005-0000-0000-0000F4280000}"/>
    <cellStyle name="20% - Accent4 3 2 4 2" xfId="2942" xr:uid="{00000000-0005-0000-0000-0000F5280000}"/>
    <cellStyle name="20% - Accent4 3 2 4 2 2" xfId="5914" xr:uid="{00000000-0005-0000-0000-0000F6280000}"/>
    <cellStyle name="20% - Accent4 3 2 4 2 2 2" xfId="11564" xr:uid="{00000000-0005-0000-0000-0000F7280000}"/>
    <cellStyle name="20% - Accent4 3 2 4 2 2 2 2" xfId="22865" xr:uid="{00000000-0005-0000-0000-0000F8280000}"/>
    <cellStyle name="20% - Accent4 3 2 4 2 2 2 2 2" xfId="45467" xr:uid="{00000000-0005-0000-0000-0000F9280000}"/>
    <cellStyle name="20% - Accent4 3 2 4 2 2 2 3" xfId="34166" xr:uid="{00000000-0005-0000-0000-0000FA280000}"/>
    <cellStyle name="20% - Accent4 3 2 4 2 2 3" xfId="17215" xr:uid="{00000000-0005-0000-0000-0000FB280000}"/>
    <cellStyle name="20% - Accent4 3 2 4 2 2 3 2" xfId="39817" xr:uid="{00000000-0005-0000-0000-0000FC280000}"/>
    <cellStyle name="20% - Accent4 3 2 4 2 2 4" xfId="28516" xr:uid="{00000000-0005-0000-0000-0000FD280000}"/>
    <cellStyle name="20% - Accent4 3 2 4 2 3" xfId="8732" xr:uid="{00000000-0005-0000-0000-0000FE280000}"/>
    <cellStyle name="20% - Accent4 3 2 4 2 3 2" xfId="20033" xr:uid="{00000000-0005-0000-0000-0000FF280000}"/>
    <cellStyle name="20% - Accent4 3 2 4 2 3 2 2" xfId="42635" xr:uid="{00000000-0005-0000-0000-000000290000}"/>
    <cellStyle name="20% - Accent4 3 2 4 2 3 3" xfId="31334" xr:uid="{00000000-0005-0000-0000-000001290000}"/>
    <cellStyle name="20% - Accent4 3 2 4 2 4" xfId="14383" xr:uid="{00000000-0005-0000-0000-000002290000}"/>
    <cellStyle name="20% - Accent4 3 2 4 2 4 2" xfId="36985" xr:uid="{00000000-0005-0000-0000-000003290000}"/>
    <cellStyle name="20% - Accent4 3 2 4 2 5" xfId="25684" xr:uid="{00000000-0005-0000-0000-000004290000}"/>
    <cellStyle name="20% - Accent4 3 2 4 3" xfId="4680" xr:uid="{00000000-0005-0000-0000-000005290000}"/>
    <cellStyle name="20% - Accent4 3 2 4 3 2" xfId="10330" xr:uid="{00000000-0005-0000-0000-000006290000}"/>
    <cellStyle name="20% - Accent4 3 2 4 3 2 2" xfId="21631" xr:uid="{00000000-0005-0000-0000-000007290000}"/>
    <cellStyle name="20% - Accent4 3 2 4 3 2 2 2" xfId="44233" xr:uid="{00000000-0005-0000-0000-000008290000}"/>
    <cellStyle name="20% - Accent4 3 2 4 3 2 3" xfId="32932" xr:uid="{00000000-0005-0000-0000-000009290000}"/>
    <cellStyle name="20% - Accent4 3 2 4 3 3" xfId="15981" xr:uid="{00000000-0005-0000-0000-00000A290000}"/>
    <cellStyle name="20% - Accent4 3 2 4 3 3 2" xfId="38583" xr:uid="{00000000-0005-0000-0000-00000B290000}"/>
    <cellStyle name="20% - Accent4 3 2 4 3 4" xfId="27282" xr:uid="{00000000-0005-0000-0000-00000C290000}"/>
    <cellStyle name="20% - Accent4 3 2 4 4" xfId="6867" xr:uid="{00000000-0005-0000-0000-00000D290000}"/>
    <cellStyle name="20% - Accent4 3 2 4 4 2" xfId="18168" xr:uid="{00000000-0005-0000-0000-00000E290000}"/>
    <cellStyle name="20% - Accent4 3 2 4 4 2 2" xfId="40770" xr:uid="{00000000-0005-0000-0000-00000F290000}"/>
    <cellStyle name="20% - Accent4 3 2 4 4 3" xfId="29469" xr:uid="{00000000-0005-0000-0000-000010290000}"/>
    <cellStyle name="20% - Accent4 3 2 4 5" xfId="12518" xr:uid="{00000000-0005-0000-0000-000011290000}"/>
    <cellStyle name="20% - Accent4 3 2 4 5 2" xfId="35120" xr:uid="{00000000-0005-0000-0000-000012290000}"/>
    <cellStyle name="20% - Accent4 3 2 4 6" xfId="23819" xr:uid="{00000000-0005-0000-0000-000013290000}"/>
    <cellStyle name="20% - Accent4 3 2 5" xfId="1681" xr:uid="{00000000-0005-0000-0000-000014290000}"/>
    <cellStyle name="20% - Accent4 3 2 5 2" xfId="3636" xr:uid="{00000000-0005-0000-0000-000015290000}"/>
    <cellStyle name="20% - Accent4 3 2 5 2 2" xfId="9348" xr:uid="{00000000-0005-0000-0000-000016290000}"/>
    <cellStyle name="20% - Accent4 3 2 5 2 2 2" xfId="20649" xr:uid="{00000000-0005-0000-0000-000017290000}"/>
    <cellStyle name="20% - Accent4 3 2 5 2 2 2 2" xfId="43251" xr:uid="{00000000-0005-0000-0000-000018290000}"/>
    <cellStyle name="20% - Accent4 3 2 5 2 2 3" xfId="31950" xr:uid="{00000000-0005-0000-0000-000019290000}"/>
    <cellStyle name="20% - Accent4 3 2 5 2 3" xfId="14999" xr:uid="{00000000-0005-0000-0000-00001A290000}"/>
    <cellStyle name="20% - Accent4 3 2 5 2 3 2" xfId="37601" xr:uid="{00000000-0005-0000-0000-00001B290000}"/>
    <cellStyle name="20% - Accent4 3 2 5 2 4" xfId="26300" xr:uid="{00000000-0005-0000-0000-00001C290000}"/>
    <cellStyle name="20% - Accent4 3 2 5 3" xfId="5290" xr:uid="{00000000-0005-0000-0000-00001D290000}"/>
    <cellStyle name="20% - Accent4 3 2 5 3 2" xfId="10940" xr:uid="{00000000-0005-0000-0000-00001E290000}"/>
    <cellStyle name="20% - Accent4 3 2 5 3 2 2" xfId="22241" xr:uid="{00000000-0005-0000-0000-00001F290000}"/>
    <cellStyle name="20% - Accent4 3 2 5 3 2 2 2" xfId="44843" xr:uid="{00000000-0005-0000-0000-000020290000}"/>
    <cellStyle name="20% - Accent4 3 2 5 3 2 3" xfId="33542" xr:uid="{00000000-0005-0000-0000-000021290000}"/>
    <cellStyle name="20% - Accent4 3 2 5 3 3" xfId="16591" xr:uid="{00000000-0005-0000-0000-000022290000}"/>
    <cellStyle name="20% - Accent4 3 2 5 3 3 2" xfId="39193" xr:uid="{00000000-0005-0000-0000-000023290000}"/>
    <cellStyle name="20% - Accent4 3 2 5 3 4" xfId="27892" xr:uid="{00000000-0005-0000-0000-000024290000}"/>
    <cellStyle name="20% - Accent4 3 2 5 4" xfId="7537" xr:uid="{00000000-0005-0000-0000-000025290000}"/>
    <cellStyle name="20% - Accent4 3 2 5 4 2" xfId="18838" xr:uid="{00000000-0005-0000-0000-000026290000}"/>
    <cellStyle name="20% - Accent4 3 2 5 4 2 2" xfId="41440" xr:uid="{00000000-0005-0000-0000-000027290000}"/>
    <cellStyle name="20% - Accent4 3 2 5 4 3" xfId="30139" xr:uid="{00000000-0005-0000-0000-000028290000}"/>
    <cellStyle name="20% - Accent4 3 2 5 5" xfId="13188" xr:uid="{00000000-0005-0000-0000-000029290000}"/>
    <cellStyle name="20% - Accent4 3 2 5 5 2" xfId="35790" xr:uid="{00000000-0005-0000-0000-00002A290000}"/>
    <cellStyle name="20% - Accent4 3 2 5 6" xfId="24489" xr:uid="{00000000-0005-0000-0000-00002B290000}"/>
    <cellStyle name="20% - Accent4 3 2 6" xfId="2268" xr:uid="{00000000-0005-0000-0000-00002C290000}"/>
    <cellStyle name="20% - Accent4 3 2 6 2" xfId="8104" xr:uid="{00000000-0005-0000-0000-00002D290000}"/>
    <cellStyle name="20% - Accent4 3 2 6 2 2" xfId="19405" xr:uid="{00000000-0005-0000-0000-00002E290000}"/>
    <cellStyle name="20% - Accent4 3 2 6 2 2 2" xfId="42007" xr:uid="{00000000-0005-0000-0000-00002F290000}"/>
    <cellStyle name="20% - Accent4 3 2 6 2 3" xfId="30706" xr:uid="{00000000-0005-0000-0000-000030290000}"/>
    <cellStyle name="20% - Accent4 3 2 6 3" xfId="13755" xr:uid="{00000000-0005-0000-0000-000031290000}"/>
    <cellStyle name="20% - Accent4 3 2 6 3 2" xfId="36357" xr:uid="{00000000-0005-0000-0000-000032290000}"/>
    <cellStyle name="20% - Accent4 3 2 6 4" xfId="25056" xr:uid="{00000000-0005-0000-0000-000033290000}"/>
    <cellStyle name="20% - Accent4 3 2 7" xfId="4056" xr:uid="{00000000-0005-0000-0000-000034290000}"/>
    <cellStyle name="20% - Accent4 3 2 7 2" xfId="9706" xr:uid="{00000000-0005-0000-0000-000035290000}"/>
    <cellStyle name="20% - Accent4 3 2 7 2 2" xfId="21007" xr:uid="{00000000-0005-0000-0000-000036290000}"/>
    <cellStyle name="20% - Accent4 3 2 7 2 2 2" xfId="43609" xr:uid="{00000000-0005-0000-0000-000037290000}"/>
    <cellStyle name="20% - Accent4 3 2 7 2 3" xfId="32308" xr:uid="{00000000-0005-0000-0000-000038290000}"/>
    <cellStyle name="20% - Accent4 3 2 7 3" xfId="15357" xr:uid="{00000000-0005-0000-0000-000039290000}"/>
    <cellStyle name="20% - Accent4 3 2 7 3 2" xfId="37959" xr:uid="{00000000-0005-0000-0000-00003A290000}"/>
    <cellStyle name="20% - Accent4 3 2 7 4" xfId="26658" xr:uid="{00000000-0005-0000-0000-00003B290000}"/>
    <cellStyle name="20% - Accent4 3 2 8" xfId="6507" xr:uid="{00000000-0005-0000-0000-00003C290000}"/>
    <cellStyle name="20% - Accent4 3 2 8 2" xfId="17808" xr:uid="{00000000-0005-0000-0000-00003D290000}"/>
    <cellStyle name="20% - Accent4 3 2 8 2 2" xfId="40410" xr:uid="{00000000-0005-0000-0000-00003E290000}"/>
    <cellStyle name="20% - Accent4 3 2 8 3" xfId="29109" xr:uid="{00000000-0005-0000-0000-00003F290000}"/>
    <cellStyle name="20% - Accent4 3 2 9" xfId="12158" xr:uid="{00000000-0005-0000-0000-000040290000}"/>
    <cellStyle name="20% - Accent4 3 2 9 2" xfId="34760" xr:uid="{00000000-0005-0000-0000-000041290000}"/>
    <cellStyle name="20% - Accent4 3 3" xfId="413" xr:uid="{00000000-0005-0000-0000-000042290000}"/>
    <cellStyle name="20% - Accent4 3 3 10" xfId="23508" xr:uid="{00000000-0005-0000-0000-000043290000}"/>
    <cellStyle name="20% - Accent4 3 3 2" xfId="658" xr:uid="{00000000-0005-0000-0000-000044290000}"/>
    <cellStyle name="20% - Accent4 3 3 2 2" xfId="1368" xr:uid="{00000000-0005-0000-0000-000045290000}"/>
    <cellStyle name="20% - Accent4 3 3 2 2 2" xfId="1687" xr:uid="{00000000-0005-0000-0000-000046290000}"/>
    <cellStyle name="20% - Accent4 3 3 2 2 2 2" xfId="3437" xr:uid="{00000000-0005-0000-0000-000047290000}"/>
    <cellStyle name="20% - Accent4 3 3 2 2 2 2 2" xfId="6409" xr:uid="{00000000-0005-0000-0000-000048290000}"/>
    <cellStyle name="20% - Accent4 3 3 2 2 2 2 2 2" xfId="12059" xr:uid="{00000000-0005-0000-0000-000049290000}"/>
    <cellStyle name="20% - Accent4 3 3 2 2 2 2 2 2 2" xfId="23360" xr:uid="{00000000-0005-0000-0000-00004A290000}"/>
    <cellStyle name="20% - Accent4 3 3 2 2 2 2 2 2 2 2" xfId="45962" xr:uid="{00000000-0005-0000-0000-00004B290000}"/>
    <cellStyle name="20% - Accent4 3 3 2 2 2 2 2 2 3" xfId="34661" xr:uid="{00000000-0005-0000-0000-00004C290000}"/>
    <cellStyle name="20% - Accent4 3 3 2 2 2 2 2 3" xfId="17710" xr:uid="{00000000-0005-0000-0000-00004D290000}"/>
    <cellStyle name="20% - Accent4 3 3 2 2 2 2 2 3 2" xfId="40312" xr:uid="{00000000-0005-0000-0000-00004E290000}"/>
    <cellStyle name="20% - Accent4 3 3 2 2 2 2 2 4" xfId="29011" xr:uid="{00000000-0005-0000-0000-00004F290000}"/>
    <cellStyle name="20% - Accent4 3 3 2 2 2 2 3" xfId="9227" xr:uid="{00000000-0005-0000-0000-000050290000}"/>
    <cellStyle name="20% - Accent4 3 3 2 2 2 2 3 2" xfId="20528" xr:uid="{00000000-0005-0000-0000-000051290000}"/>
    <cellStyle name="20% - Accent4 3 3 2 2 2 2 3 2 2" xfId="43130" xr:uid="{00000000-0005-0000-0000-000052290000}"/>
    <cellStyle name="20% - Accent4 3 3 2 2 2 2 3 3" xfId="31829" xr:uid="{00000000-0005-0000-0000-000053290000}"/>
    <cellStyle name="20% - Accent4 3 3 2 2 2 2 4" xfId="14878" xr:uid="{00000000-0005-0000-0000-000054290000}"/>
    <cellStyle name="20% - Accent4 3 3 2 2 2 2 4 2" xfId="37480" xr:uid="{00000000-0005-0000-0000-000055290000}"/>
    <cellStyle name="20% - Accent4 3 3 2 2 2 2 5" xfId="26179" xr:uid="{00000000-0005-0000-0000-000056290000}"/>
    <cellStyle name="20% - Accent4 3 3 2 2 2 3" xfId="5175" xr:uid="{00000000-0005-0000-0000-000057290000}"/>
    <cellStyle name="20% - Accent4 3 3 2 2 2 3 2" xfId="10825" xr:uid="{00000000-0005-0000-0000-000058290000}"/>
    <cellStyle name="20% - Accent4 3 3 2 2 2 3 2 2" xfId="22126" xr:uid="{00000000-0005-0000-0000-000059290000}"/>
    <cellStyle name="20% - Accent4 3 3 2 2 2 3 2 2 2" xfId="44728" xr:uid="{00000000-0005-0000-0000-00005A290000}"/>
    <cellStyle name="20% - Accent4 3 3 2 2 2 3 2 3" xfId="33427" xr:uid="{00000000-0005-0000-0000-00005B290000}"/>
    <cellStyle name="20% - Accent4 3 3 2 2 2 3 3" xfId="16476" xr:uid="{00000000-0005-0000-0000-00005C290000}"/>
    <cellStyle name="20% - Accent4 3 3 2 2 2 3 3 2" xfId="39078" xr:uid="{00000000-0005-0000-0000-00005D290000}"/>
    <cellStyle name="20% - Accent4 3 3 2 2 2 3 4" xfId="27777" xr:uid="{00000000-0005-0000-0000-00005E290000}"/>
    <cellStyle name="20% - Accent4 3 3 2 2 2 4" xfId="7543" xr:uid="{00000000-0005-0000-0000-00005F290000}"/>
    <cellStyle name="20% - Accent4 3 3 2 2 2 4 2" xfId="18844" xr:uid="{00000000-0005-0000-0000-000060290000}"/>
    <cellStyle name="20% - Accent4 3 3 2 2 2 4 2 2" xfId="41446" xr:uid="{00000000-0005-0000-0000-000061290000}"/>
    <cellStyle name="20% - Accent4 3 3 2 2 2 4 3" xfId="30145" xr:uid="{00000000-0005-0000-0000-000062290000}"/>
    <cellStyle name="20% - Accent4 3 3 2 2 2 5" xfId="13194" xr:uid="{00000000-0005-0000-0000-000063290000}"/>
    <cellStyle name="20% - Accent4 3 3 2 2 2 5 2" xfId="35796" xr:uid="{00000000-0005-0000-0000-000064290000}"/>
    <cellStyle name="20% - Accent4 3 3 2 2 2 6" xfId="24495" xr:uid="{00000000-0005-0000-0000-000065290000}"/>
    <cellStyle name="20% - Accent4 3 3 2 2 3" xfId="2766" xr:uid="{00000000-0005-0000-0000-000066290000}"/>
    <cellStyle name="20% - Accent4 3 3 2 2 3 2" xfId="5785" xr:uid="{00000000-0005-0000-0000-000067290000}"/>
    <cellStyle name="20% - Accent4 3 3 2 2 3 2 2" xfId="11435" xr:uid="{00000000-0005-0000-0000-000068290000}"/>
    <cellStyle name="20% - Accent4 3 3 2 2 3 2 2 2" xfId="22736" xr:uid="{00000000-0005-0000-0000-000069290000}"/>
    <cellStyle name="20% - Accent4 3 3 2 2 3 2 2 2 2" xfId="45338" xr:uid="{00000000-0005-0000-0000-00006A290000}"/>
    <cellStyle name="20% - Accent4 3 3 2 2 3 2 2 3" xfId="34037" xr:uid="{00000000-0005-0000-0000-00006B290000}"/>
    <cellStyle name="20% - Accent4 3 3 2 2 3 2 3" xfId="17086" xr:uid="{00000000-0005-0000-0000-00006C290000}"/>
    <cellStyle name="20% - Accent4 3 3 2 2 3 2 3 2" xfId="39688" xr:uid="{00000000-0005-0000-0000-00006D290000}"/>
    <cellStyle name="20% - Accent4 3 3 2 2 3 2 4" xfId="28387" xr:uid="{00000000-0005-0000-0000-00006E290000}"/>
    <cellStyle name="20% - Accent4 3 3 2 2 3 3" xfId="8602" xr:uid="{00000000-0005-0000-0000-00006F290000}"/>
    <cellStyle name="20% - Accent4 3 3 2 2 3 3 2" xfId="19903" xr:uid="{00000000-0005-0000-0000-000070290000}"/>
    <cellStyle name="20% - Accent4 3 3 2 2 3 3 2 2" xfId="42505" xr:uid="{00000000-0005-0000-0000-000071290000}"/>
    <cellStyle name="20% - Accent4 3 3 2 2 3 3 3" xfId="31204" xr:uid="{00000000-0005-0000-0000-000072290000}"/>
    <cellStyle name="20% - Accent4 3 3 2 2 3 4" xfId="14253" xr:uid="{00000000-0005-0000-0000-000073290000}"/>
    <cellStyle name="20% - Accent4 3 3 2 2 3 4 2" xfId="36855" xr:uid="{00000000-0005-0000-0000-000074290000}"/>
    <cellStyle name="20% - Accent4 3 3 2 2 3 5" xfId="25554" xr:uid="{00000000-0005-0000-0000-000075290000}"/>
    <cellStyle name="20% - Accent4 3 3 2 2 4" xfId="4551" xr:uid="{00000000-0005-0000-0000-000076290000}"/>
    <cellStyle name="20% - Accent4 3 3 2 2 4 2" xfId="10201" xr:uid="{00000000-0005-0000-0000-000077290000}"/>
    <cellStyle name="20% - Accent4 3 3 2 2 4 2 2" xfId="21502" xr:uid="{00000000-0005-0000-0000-000078290000}"/>
    <cellStyle name="20% - Accent4 3 3 2 2 4 2 2 2" xfId="44104" xr:uid="{00000000-0005-0000-0000-000079290000}"/>
    <cellStyle name="20% - Accent4 3 3 2 2 4 2 3" xfId="32803" xr:uid="{00000000-0005-0000-0000-00007A290000}"/>
    <cellStyle name="20% - Accent4 3 3 2 2 4 3" xfId="15852" xr:uid="{00000000-0005-0000-0000-00007B290000}"/>
    <cellStyle name="20% - Accent4 3 3 2 2 4 3 2" xfId="38454" xr:uid="{00000000-0005-0000-0000-00007C290000}"/>
    <cellStyle name="20% - Accent4 3 3 2 2 4 4" xfId="27153" xr:uid="{00000000-0005-0000-0000-00007D290000}"/>
    <cellStyle name="20% - Accent4 3 3 2 2 5" xfId="7347" xr:uid="{00000000-0005-0000-0000-00007E290000}"/>
    <cellStyle name="20% - Accent4 3 3 2 2 5 2" xfId="18648" xr:uid="{00000000-0005-0000-0000-00007F290000}"/>
    <cellStyle name="20% - Accent4 3 3 2 2 5 2 2" xfId="41250" xr:uid="{00000000-0005-0000-0000-000080290000}"/>
    <cellStyle name="20% - Accent4 3 3 2 2 5 3" xfId="29949" xr:uid="{00000000-0005-0000-0000-000081290000}"/>
    <cellStyle name="20% - Accent4 3 3 2 2 6" xfId="12998" xr:uid="{00000000-0005-0000-0000-000082290000}"/>
    <cellStyle name="20% - Accent4 3 3 2 2 6 2" xfId="35600" xr:uid="{00000000-0005-0000-0000-000083290000}"/>
    <cellStyle name="20% - Accent4 3 3 2 2 7" xfId="24299" xr:uid="{00000000-0005-0000-0000-000084290000}"/>
    <cellStyle name="20% - Accent4 3 3 2 3" xfId="1066" xr:uid="{00000000-0005-0000-0000-000085290000}"/>
    <cellStyle name="20% - Accent4 3 3 2 3 2" xfId="3129" xr:uid="{00000000-0005-0000-0000-000086290000}"/>
    <cellStyle name="20% - Accent4 3 3 2 3 2 2" xfId="6101" xr:uid="{00000000-0005-0000-0000-000087290000}"/>
    <cellStyle name="20% - Accent4 3 3 2 3 2 2 2" xfId="11751" xr:uid="{00000000-0005-0000-0000-000088290000}"/>
    <cellStyle name="20% - Accent4 3 3 2 3 2 2 2 2" xfId="23052" xr:uid="{00000000-0005-0000-0000-000089290000}"/>
    <cellStyle name="20% - Accent4 3 3 2 3 2 2 2 2 2" xfId="45654" xr:uid="{00000000-0005-0000-0000-00008A290000}"/>
    <cellStyle name="20% - Accent4 3 3 2 3 2 2 2 3" xfId="34353" xr:uid="{00000000-0005-0000-0000-00008B290000}"/>
    <cellStyle name="20% - Accent4 3 3 2 3 2 2 3" xfId="17402" xr:uid="{00000000-0005-0000-0000-00008C290000}"/>
    <cellStyle name="20% - Accent4 3 3 2 3 2 2 3 2" xfId="40004" xr:uid="{00000000-0005-0000-0000-00008D290000}"/>
    <cellStyle name="20% - Accent4 3 3 2 3 2 2 4" xfId="28703" xr:uid="{00000000-0005-0000-0000-00008E290000}"/>
    <cellStyle name="20% - Accent4 3 3 2 3 2 3" xfId="8919" xr:uid="{00000000-0005-0000-0000-00008F290000}"/>
    <cellStyle name="20% - Accent4 3 3 2 3 2 3 2" xfId="20220" xr:uid="{00000000-0005-0000-0000-000090290000}"/>
    <cellStyle name="20% - Accent4 3 3 2 3 2 3 2 2" xfId="42822" xr:uid="{00000000-0005-0000-0000-000091290000}"/>
    <cellStyle name="20% - Accent4 3 3 2 3 2 3 3" xfId="31521" xr:uid="{00000000-0005-0000-0000-000092290000}"/>
    <cellStyle name="20% - Accent4 3 3 2 3 2 4" xfId="14570" xr:uid="{00000000-0005-0000-0000-000093290000}"/>
    <cellStyle name="20% - Accent4 3 3 2 3 2 4 2" xfId="37172" xr:uid="{00000000-0005-0000-0000-000094290000}"/>
    <cellStyle name="20% - Accent4 3 3 2 3 2 5" xfId="25871" xr:uid="{00000000-0005-0000-0000-000095290000}"/>
    <cellStyle name="20% - Accent4 3 3 2 3 3" xfId="4867" xr:uid="{00000000-0005-0000-0000-000096290000}"/>
    <cellStyle name="20% - Accent4 3 3 2 3 3 2" xfId="10517" xr:uid="{00000000-0005-0000-0000-000097290000}"/>
    <cellStyle name="20% - Accent4 3 3 2 3 3 2 2" xfId="21818" xr:uid="{00000000-0005-0000-0000-000098290000}"/>
    <cellStyle name="20% - Accent4 3 3 2 3 3 2 2 2" xfId="44420" xr:uid="{00000000-0005-0000-0000-000099290000}"/>
    <cellStyle name="20% - Accent4 3 3 2 3 3 2 3" xfId="33119" xr:uid="{00000000-0005-0000-0000-00009A290000}"/>
    <cellStyle name="20% - Accent4 3 3 2 3 3 3" xfId="16168" xr:uid="{00000000-0005-0000-0000-00009B290000}"/>
    <cellStyle name="20% - Accent4 3 3 2 3 3 3 2" xfId="38770" xr:uid="{00000000-0005-0000-0000-00009C290000}"/>
    <cellStyle name="20% - Accent4 3 3 2 3 3 4" xfId="27469" xr:uid="{00000000-0005-0000-0000-00009D290000}"/>
    <cellStyle name="20% - Accent4 3 3 2 3 4" xfId="7054" xr:uid="{00000000-0005-0000-0000-00009E290000}"/>
    <cellStyle name="20% - Accent4 3 3 2 3 4 2" xfId="18355" xr:uid="{00000000-0005-0000-0000-00009F290000}"/>
    <cellStyle name="20% - Accent4 3 3 2 3 4 2 2" xfId="40957" xr:uid="{00000000-0005-0000-0000-0000A0290000}"/>
    <cellStyle name="20% - Accent4 3 3 2 3 4 3" xfId="29656" xr:uid="{00000000-0005-0000-0000-0000A1290000}"/>
    <cellStyle name="20% - Accent4 3 3 2 3 5" xfId="12705" xr:uid="{00000000-0005-0000-0000-0000A2290000}"/>
    <cellStyle name="20% - Accent4 3 3 2 3 5 2" xfId="35307" xr:uid="{00000000-0005-0000-0000-0000A3290000}"/>
    <cellStyle name="20% - Accent4 3 3 2 3 6" xfId="24006" xr:uid="{00000000-0005-0000-0000-0000A4290000}"/>
    <cellStyle name="20% - Accent4 3 3 2 4" xfId="1686" xr:uid="{00000000-0005-0000-0000-0000A5290000}"/>
    <cellStyle name="20% - Accent4 3 3 2 4 2" xfId="3639" xr:uid="{00000000-0005-0000-0000-0000A6290000}"/>
    <cellStyle name="20% - Accent4 3 3 2 4 2 2" xfId="9351" xr:uid="{00000000-0005-0000-0000-0000A7290000}"/>
    <cellStyle name="20% - Accent4 3 3 2 4 2 2 2" xfId="20652" xr:uid="{00000000-0005-0000-0000-0000A8290000}"/>
    <cellStyle name="20% - Accent4 3 3 2 4 2 2 2 2" xfId="43254" xr:uid="{00000000-0005-0000-0000-0000A9290000}"/>
    <cellStyle name="20% - Accent4 3 3 2 4 2 2 3" xfId="31953" xr:uid="{00000000-0005-0000-0000-0000AA290000}"/>
    <cellStyle name="20% - Accent4 3 3 2 4 2 3" xfId="15002" xr:uid="{00000000-0005-0000-0000-0000AB290000}"/>
    <cellStyle name="20% - Accent4 3 3 2 4 2 3 2" xfId="37604" xr:uid="{00000000-0005-0000-0000-0000AC290000}"/>
    <cellStyle name="20% - Accent4 3 3 2 4 2 4" xfId="26303" xr:uid="{00000000-0005-0000-0000-0000AD290000}"/>
    <cellStyle name="20% - Accent4 3 3 2 4 3" xfId="5477" xr:uid="{00000000-0005-0000-0000-0000AE290000}"/>
    <cellStyle name="20% - Accent4 3 3 2 4 3 2" xfId="11127" xr:uid="{00000000-0005-0000-0000-0000AF290000}"/>
    <cellStyle name="20% - Accent4 3 3 2 4 3 2 2" xfId="22428" xr:uid="{00000000-0005-0000-0000-0000B0290000}"/>
    <cellStyle name="20% - Accent4 3 3 2 4 3 2 2 2" xfId="45030" xr:uid="{00000000-0005-0000-0000-0000B1290000}"/>
    <cellStyle name="20% - Accent4 3 3 2 4 3 2 3" xfId="33729" xr:uid="{00000000-0005-0000-0000-0000B2290000}"/>
    <cellStyle name="20% - Accent4 3 3 2 4 3 3" xfId="16778" xr:uid="{00000000-0005-0000-0000-0000B3290000}"/>
    <cellStyle name="20% - Accent4 3 3 2 4 3 3 2" xfId="39380" xr:uid="{00000000-0005-0000-0000-0000B4290000}"/>
    <cellStyle name="20% - Accent4 3 3 2 4 3 4" xfId="28079" xr:uid="{00000000-0005-0000-0000-0000B5290000}"/>
    <cellStyle name="20% - Accent4 3 3 2 4 4" xfId="7542" xr:uid="{00000000-0005-0000-0000-0000B6290000}"/>
    <cellStyle name="20% - Accent4 3 3 2 4 4 2" xfId="18843" xr:uid="{00000000-0005-0000-0000-0000B7290000}"/>
    <cellStyle name="20% - Accent4 3 3 2 4 4 2 2" xfId="41445" xr:uid="{00000000-0005-0000-0000-0000B8290000}"/>
    <cellStyle name="20% - Accent4 3 3 2 4 4 3" xfId="30144" xr:uid="{00000000-0005-0000-0000-0000B9290000}"/>
    <cellStyle name="20% - Accent4 3 3 2 4 5" xfId="13193" xr:uid="{00000000-0005-0000-0000-0000BA290000}"/>
    <cellStyle name="20% - Accent4 3 3 2 4 5 2" xfId="35795" xr:uid="{00000000-0005-0000-0000-0000BB290000}"/>
    <cellStyle name="20% - Accent4 3 3 2 4 6" xfId="24494" xr:uid="{00000000-0005-0000-0000-0000BC290000}"/>
    <cellStyle name="20% - Accent4 3 3 2 5" xfId="2458" xr:uid="{00000000-0005-0000-0000-0000BD290000}"/>
    <cellStyle name="20% - Accent4 3 3 2 5 2" xfId="8294" xr:uid="{00000000-0005-0000-0000-0000BE290000}"/>
    <cellStyle name="20% - Accent4 3 3 2 5 2 2" xfId="19595" xr:uid="{00000000-0005-0000-0000-0000BF290000}"/>
    <cellStyle name="20% - Accent4 3 3 2 5 2 2 2" xfId="42197" xr:uid="{00000000-0005-0000-0000-0000C0290000}"/>
    <cellStyle name="20% - Accent4 3 3 2 5 2 3" xfId="30896" xr:uid="{00000000-0005-0000-0000-0000C1290000}"/>
    <cellStyle name="20% - Accent4 3 3 2 5 3" xfId="13945" xr:uid="{00000000-0005-0000-0000-0000C2290000}"/>
    <cellStyle name="20% - Accent4 3 3 2 5 3 2" xfId="36547" xr:uid="{00000000-0005-0000-0000-0000C3290000}"/>
    <cellStyle name="20% - Accent4 3 3 2 5 4" xfId="25246" xr:uid="{00000000-0005-0000-0000-0000C4290000}"/>
    <cellStyle name="20% - Accent4 3 3 2 6" xfId="4243" xr:uid="{00000000-0005-0000-0000-0000C5290000}"/>
    <cellStyle name="20% - Accent4 3 3 2 6 2" xfId="9893" xr:uid="{00000000-0005-0000-0000-0000C6290000}"/>
    <cellStyle name="20% - Accent4 3 3 2 6 2 2" xfId="21194" xr:uid="{00000000-0005-0000-0000-0000C7290000}"/>
    <cellStyle name="20% - Accent4 3 3 2 6 2 2 2" xfId="43796" xr:uid="{00000000-0005-0000-0000-0000C8290000}"/>
    <cellStyle name="20% - Accent4 3 3 2 6 2 3" xfId="32495" xr:uid="{00000000-0005-0000-0000-0000C9290000}"/>
    <cellStyle name="20% - Accent4 3 3 2 6 3" xfId="15544" xr:uid="{00000000-0005-0000-0000-0000CA290000}"/>
    <cellStyle name="20% - Accent4 3 3 2 6 3 2" xfId="38146" xr:uid="{00000000-0005-0000-0000-0000CB290000}"/>
    <cellStyle name="20% - Accent4 3 3 2 6 4" xfId="26845" xr:uid="{00000000-0005-0000-0000-0000CC290000}"/>
    <cellStyle name="20% - Accent4 3 3 2 7" xfId="6723" xr:uid="{00000000-0005-0000-0000-0000CD290000}"/>
    <cellStyle name="20% - Accent4 3 3 2 7 2" xfId="18024" xr:uid="{00000000-0005-0000-0000-0000CE290000}"/>
    <cellStyle name="20% - Accent4 3 3 2 7 2 2" xfId="40626" xr:uid="{00000000-0005-0000-0000-0000CF290000}"/>
    <cellStyle name="20% - Accent4 3 3 2 7 3" xfId="29325" xr:uid="{00000000-0005-0000-0000-0000D0290000}"/>
    <cellStyle name="20% - Accent4 3 3 2 8" xfId="12374" xr:uid="{00000000-0005-0000-0000-0000D1290000}"/>
    <cellStyle name="20% - Accent4 3 3 2 8 2" xfId="34976" xr:uid="{00000000-0005-0000-0000-0000D2290000}"/>
    <cellStyle name="20% - Accent4 3 3 2 9" xfId="23675" xr:uid="{00000000-0005-0000-0000-0000D3290000}"/>
    <cellStyle name="20% - Accent4 3 3 3" xfId="1230" xr:uid="{00000000-0005-0000-0000-0000D4290000}"/>
    <cellStyle name="20% - Accent4 3 3 3 2" xfId="1688" xr:uid="{00000000-0005-0000-0000-0000D5290000}"/>
    <cellStyle name="20% - Accent4 3 3 3 2 2" xfId="3298" xr:uid="{00000000-0005-0000-0000-0000D6290000}"/>
    <cellStyle name="20% - Accent4 3 3 3 2 2 2" xfId="6270" xr:uid="{00000000-0005-0000-0000-0000D7290000}"/>
    <cellStyle name="20% - Accent4 3 3 3 2 2 2 2" xfId="11920" xr:uid="{00000000-0005-0000-0000-0000D8290000}"/>
    <cellStyle name="20% - Accent4 3 3 3 2 2 2 2 2" xfId="23221" xr:uid="{00000000-0005-0000-0000-0000D9290000}"/>
    <cellStyle name="20% - Accent4 3 3 3 2 2 2 2 2 2" xfId="45823" xr:uid="{00000000-0005-0000-0000-0000DA290000}"/>
    <cellStyle name="20% - Accent4 3 3 3 2 2 2 2 3" xfId="34522" xr:uid="{00000000-0005-0000-0000-0000DB290000}"/>
    <cellStyle name="20% - Accent4 3 3 3 2 2 2 3" xfId="17571" xr:uid="{00000000-0005-0000-0000-0000DC290000}"/>
    <cellStyle name="20% - Accent4 3 3 3 2 2 2 3 2" xfId="40173" xr:uid="{00000000-0005-0000-0000-0000DD290000}"/>
    <cellStyle name="20% - Accent4 3 3 3 2 2 2 4" xfId="28872" xr:uid="{00000000-0005-0000-0000-0000DE290000}"/>
    <cellStyle name="20% - Accent4 3 3 3 2 2 3" xfId="9088" xr:uid="{00000000-0005-0000-0000-0000DF290000}"/>
    <cellStyle name="20% - Accent4 3 3 3 2 2 3 2" xfId="20389" xr:uid="{00000000-0005-0000-0000-0000E0290000}"/>
    <cellStyle name="20% - Accent4 3 3 3 2 2 3 2 2" xfId="42991" xr:uid="{00000000-0005-0000-0000-0000E1290000}"/>
    <cellStyle name="20% - Accent4 3 3 3 2 2 3 3" xfId="31690" xr:uid="{00000000-0005-0000-0000-0000E2290000}"/>
    <cellStyle name="20% - Accent4 3 3 3 2 2 4" xfId="14739" xr:uid="{00000000-0005-0000-0000-0000E3290000}"/>
    <cellStyle name="20% - Accent4 3 3 3 2 2 4 2" xfId="37341" xr:uid="{00000000-0005-0000-0000-0000E4290000}"/>
    <cellStyle name="20% - Accent4 3 3 3 2 2 5" xfId="26040" xr:uid="{00000000-0005-0000-0000-0000E5290000}"/>
    <cellStyle name="20% - Accent4 3 3 3 2 3" xfId="5036" xr:uid="{00000000-0005-0000-0000-0000E6290000}"/>
    <cellStyle name="20% - Accent4 3 3 3 2 3 2" xfId="10686" xr:uid="{00000000-0005-0000-0000-0000E7290000}"/>
    <cellStyle name="20% - Accent4 3 3 3 2 3 2 2" xfId="21987" xr:uid="{00000000-0005-0000-0000-0000E8290000}"/>
    <cellStyle name="20% - Accent4 3 3 3 2 3 2 2 2" xfId="44589" xr:uid="{00000000-0005-0000-0000-0000E9290000}"/>
    <cellStyle name="20% - Accent4 3 3 3 2 3 2 3" xfId="33288" xr:uid="{00000000-0005-0000-0000-0000EA290000}"/>
    <cellStyle name="20% - Accent4 3 3 3 2 3 3" xfId="16337" xr:uid="{00000000-0005-0000-0000-0000EB290000}"/>
    <cellStyle name="20% - Accent4 3 3 3 2 3 3 2" xfId="38939" xr:uid="{00000000-0005-0000-0000-0000EC290000}"/>
    <cellStyle name="20% - Accent4 3 3 3 2 3 4" xfId="27638" xr:uid="{00000000-0005-0000-0000-0000ED290000}"/>
    <cellStyle name="20% - Accent4 3 3 3 2 4" xfId="7544" xr:uid="{00000000-0005-0000-0000-0000EE290000}"/>
    <cellStyle name="20% - Accent4 3 3 3 2 4 2" xfId="18845" xr:uid="{00000000-0005-0000-0000-0000EF290000}"/>
    <cellStyle name="20% - Accent4 3 3 3 2 4 2 2" xfId="41447" xr:uid="{00000000-0005-0000-0000-0000F0290000}"/>
    <cellStyle name="20% - Accent4 3 3 3 2 4 3" xfId="30146" xr:uid="{00000000-0005-0000-0000-0000F1290000}"/>
    <cellStyle name="20% - Accent4 3 3 3 2 5" xfId="13195" xr:uid="{00000000-0005-0000-0000-0000F2290000}"/>
    <cellStyle name="20% - Accent4 3 3 3 2 5 2" xfId="35797" xr:uid="{00000000-0005-0000-0000-0000F3290000}"/>
    <cellStyle name="20% - Accent4 3 3 3 2 6" xfId="24496" xr:uid="{00000000-0005-0000-0000-0000F4290000}"/>
    <cellStyle name="20% - Accent4 3 3 3 3" xfId="2627" xr:uid="{00000000-0005-0000-0000-0000F5290000}"/>
    <cellStyle name="20% - Accent4 3 3 3 3 2" xfId="5646" xr:uid="{00000000-0005-0000-0000-0000F6290000}"/>
    <cellStyle name="20% - Accent4 3 3 3 3 2 2" xfId="11296" xr:uid="{00000000-0005-0000-0000-0000F7290000}"/>
    <cellStyle name="20% - Accent4 3 3 3 3 2 2 2" xfId="22597" xr:uid="{00000000-0005-0000-0000-0000F8290000}"/>
    <cellStyle name="20% - Accent4 3 3 3 3 2 2 2 2" xfId="45199" xr:uid="{00000000-0005-0000-0000-0000F9290000}"/>
    <cellStyle name="20% - Accent4 3 3 3 3 2 2 3" xfId="33898" xr:uid="{00000000-0005-0000-0000-0000FA290000}"/>
    <cellStyle name="20% - Accent4 3 3 3 3 2 3" xfId="16947" xr:uid="{00000000-0005-0000-0000-0000FB290000}"/>
    <cellStyle name="20% - Accent4 3 3 3 3 2 3 2" xfId="39549" xr:uid="{00000000-0005-0000-0000-0000FC290000}"/>
    <cellStyle name="20% - Accent4 3 3 3 3 2 4" xfId="28248" xr:uid="{00000000-0005-0000-0000-0000FD290000}"/>
    <cellStyle name="20% - Accent4 3 3 3 3 3" xfId="8463" xr:uid="{00000000-0005-0000-0000-0000FE290000}"/>
    <cellStyle name="20% - Accent4 3 3 3 3 3 2" xfId="19764" xr:uid="{00000000-0005-0000-0000-0000FF290000}"/>
    <cellStyle name="20% - Accent4 3 3 3 3 3 2 2" xfId="42366" xr:uid="{00000000-0005-0000-0000-0000002A0000}"/>
    <cellStyle name="20% - Accent4 3 3 3 3 3 3" xfId="31065" xr:uid="{00000000-0005-0000-0000-0000012A0000}"/>
    <cellStyle name="20% - Accent4 3 3 3 3 4" xfId="14114" xr:uid="{00000000-0005-0000-0000-0000022A0000}"/>
    <cellStyle name="20% - Accent4 3 3 3 3 4 2" xfId="36716" xr:uid="{00000000-0005-0000-0000-0000032A0000}"/>
    <cellStyle name="20% - Accent4 3 3 3 3 5" xfId="25415" xr:uid="{00000000-0005-0000-0000-0000042A0000}"/>
    <cellStyle name="20% - Accent4 3 3 3 4" xfId="4412" xr:uid="{00000000-0005-0000-0000-0000052A0000}"/>
    <cellStyle name="20% - Accent4 3 3 3 4 2" xfId="10062" xr:uid="{00000000-0005-0000-0000-0000062A0000}"/>
    <cellStyle name="20% - Accent4 3 3 3 4 2 2" xfId="21363" xr:uid="{00000000-0005-0000-0000-0000072A0000}"/>
    <cellStyle name="20% - Accent4 3 3 3 4 2 2 2" xfId="43965" xr:uid="{00000000-0005-0000-0000-0000082A0000}"/>
    <cellStyle name="20% - Accent4 3 3 3 4 2 3" xfId="32664" xr:uid="{00000000-0005-0000-0000-0000092A0000}"/>
    <cellStyle name="20% - Accent4 3 3 3 4 3" xfId="15713" xr:uid="{00000000-0005-0000-0000-00000A2A0000}"/>
    <cellStyle name="20% - Accent4 3 3 3 4 3 2" xfId="38315" xr:uid="{00000000-0005-0000-0000-00000B2A0000}"/>
    <cellStyle name="20% - Accent4 3 3 3 4 4" xfId="27014" xr:uid="{00000000-0005-0000-0000-00000C2A0000}"/>
    <cellStyle name="20% - Accent4 3 3 3 5" xfId="7209" xr:uid="{00000000-0005-0000-0000-00000D2A0000}"/>
    <cellStyle name="20% - Accent4 3 3 3 5 2" xfId="18510" xr:uid="{00000000-0005-0000-0000-00000E2A0000}"/>
    <cellStyle name="20% - Accent4 3 3 3 5 2 2" xfId="41112" xr:uid="{00000000-0005-0000-0000-00000F2A0000}"/>
    <cellStyle name="20% - Accent4 3 3 3 5 3" xfId="29811" xr:uid="{00000000-0005-0000-0000-0000102A0000}"/>
    <cellStyle name="20% - Accent4 3 3 3 6" xfId="12860" xr:uid="{00000000-0005-0000-0000-0000112A0000}"/>
    <cellStyle name="20% - Accent4 3 3 3 6 2" xfId="35462" xr:uid="{00000000-0005-0000-0000-0000122A0000}"/>
    <cellStyle name="20% - Accent4 3 3 3 7" xfId="24161" xr:uid="{00000000-0005-0000-0000-0000132A0000}"/>
    <cellStyle name="20% - Accent4 3 3 4" xfId="921" xr:uid="{00000000-0005-0000-0000-0000142A0000}"/>
    <cellStyle name="20% - Accent4 3 3 4 2" xfId="2991" xr:uid="{00000000-0005-0000-0000-0000152A0000}"/>
    <cellStyle name="20% - Accent4 3 3 4 2 2" xfId="5963" xr:uid="{00000000-0005-0000-0000-0000162A0000}"/>
    <cellStyle name="20% - Accent4 3 3 4 2 2 2" xfId="11613" xr:uid="{00000000-0005-0000-0000-0000172A0000}"/>
    <cellStyle name="20% - Accent4 3 3 4 2 2 2 2" xfId="22914" xr:uid="{00000000-0005-0000-0000-0000182A0000}"/>
    <cellStyle name="20% - Accent4 3 3 4 2 2 2 2 2" xfId="45516" xr:uid="{00000000-0005-0000-0000-0000192A0000}"/>
    <cellStyle name="20% - Accent4 3 3 4 2 2 2 3" xfId="34215" xr:uid="{00000000-0005-0000-0000-00001A2A0000}"/>
    <cellStyle name="20% - Accent4 3 3 4 2 2 3" xfId="17264" xr:uid="{00000000-0005-0000-0000-00001B2A0000}"/>
    <cellStyle name="20% - Accent4 3 3 4 2 2 3 2" xfId="39866" xr:uid="{00000000-0005-0000-0000-00001C2A0000}"/>
    <cellStyle name="20% - Accent4 3 3 4 2 2 4" xfId="28565" xr:uid="{00000000-0005-0000-0000-00001D2A0000}"/>
    <cellStyle name="20% - Accent4 3 3 4 2 3" xfId="8781" xr:uid="{00000000-0005-0000-0000-00001E2A0000}"/>
    <cellStyle name="20% - Accent4 3 3 4 2 3 2" xfId="20082" xr:uid="{00000000-0005-0000-0000-00001F2A0000}"/>
    <cellStyle name="20% - Accent4 3 3 4 2 3 2 2" xfId="42684" xr:uid="{00000000-0005-0000-0000-0000202A0000}"/>
    <cellStyle name="20% - Accent4 3 3 4 2 3 3" xfId="31383" xr:uid="{00000000-0005-0000-0000-0000212A0000}"/>
    <cellStyle name="20% - Accent4 3 3 4 2 4" xfId="14432" xr:uid="{00000000-0005-0000-0000-0000222A0000}"/>
    <cellStyle name="20% - Accent4 3 3 4 2 4 2" xfId="37034" xr:uid="{00000000-0005-0000-0000-0000232A0000}"/>
    <cellStyle name="20% - Accent4 3 3 4 2 5" xfId="25733" xr:uid="{00000000-0005-0000-0000-0000242A0000}"/>
    <cellStyle name="20% - Accent4 3 3 4 3" xfId="4729" xr:uid="{00000000-0005-0000-0000-0000252A0000}"/>
    <cellStyle name="20% - Accent4 3 3 4 3 2" xfId="10379" xr:uid="{00000000-0005-0000-0000-0000262A0000}"/>
    <cellStyle name="20% - Accent4 3 3 4 3 2 2" xfId="21680" xr:uid="{00000000-0005-0000-0000-0000272A0000}"/>
    <cellStyle name="20% - Accent4 3 3 4 3 2 2 2" xfId="44282" xr:uid="{00000000-0005-0000-0000-0000282A0000}"/>
    <cellStyle name="20% - Accent4 3 3 4 3 2 3" xfId="32981" xr:uid="{00000000-0005-0000-0000-0000292A0000}"/>
    <cellStyle name="20% - Accent4 3 3 4 3 3" xfId="16030" xr:uid="{00000000-0005-0000-0000-00002A2A0000}"/>
    <cellStyle name="20% - Accent4 3 3 4 3 3 2" xfId="38632" xr:uid="{00000000-0005-0000-0000-00002B2A0000}"/>
    <cellStyle name="20% - Accent4 3 3 4 3 4" xfId="27331" xr:uid="{00000000-0005-0000-0000-00002C2A0000}"/>
    <cellStyle name="20% - Accent4 3 3 4 4" xfId="6916" xr:uid="{00000000-0005-0000-0000-00002D2A0000}"/>
    <cellStyle name="20% - Accent4 3 3 4 4 2" xfId="18217" xr:uid="{00000000-0005-0000-0000-00002E2A0000}"/>
    <cellStyle name="20% - Accent4 3 3 4 4 2 2" xfId="40819" xr:uid="{00000000-0005-0000-0000-00002F2A0000}"/>
    <cellStyle name="20% - Accent4 3 3 4 4 3" xfId="29518" xr:uid="{00000000-0005-0000-0000-0000302A0000}"/>
    <cellStyle name="20% - Accent4 3 3 4 5" xfId="12567" xr:uid="{00000000-0005-0000-0000-0000312A0000}"/>
    <cellStyle name="20% - Accent4 3 3 4 5 2" xfId="35169" xr:uid="{00000000-0005-0000-0000-0000322A0000}"/>
    <cellStyle name="20% - Accent4 3 3 4 6" xfId="23868" xr:uid="{00000000-0005-0000-0000-0000332A0000}"/>
    <cellStyle name="20% - Accent4 3 3 5" xfId="1685" xr:uid="{00000000-0005-0000-0000-0000342A0000}"/>
    <cellStyle name="20% - Accent4 3 3 5 2" xfId="3638" xr:uid="{00000000-0005-0000-0000-0000352A0000}"/>
    <cellStyle name="20% - Accent4 3 3 5 2 2" xfId="9350" xr:uid="{00000000-0005-0000-0000-0000362A0000}"/>
    <cellStyle name="20% - Accent4 3 3 5 2 2 2" xfId="20651" xr:uid="{00000000-0005-0000-0000-0000372A0000}"/>
    <cellStyle name="20% - Accent4 3 3 5 2 2 2 2" xfId="43253" xr:uid="{00000000-0005-0000-0000-0000382A0000}"/>
    <cellStyle name="20% - Accent4 3 3 5 2 2 3" xfId="31952" xr:uid="{00000000-0005-0000-0000-0000392A0000}"/>
    <cellStyle name="20% - Accent4 3 3 5 2 3" xfId="15001" xr:uid="{00000000-0005-0000-0000-00003A2A0000}"/>
    <cellStyle name="20% - Accent4 3 3 5 2 3 2" xfId="37603" xr:uid="{00000000-0005-0000-0000-00003B2A0000}"/>
    <cellStyle name="20% - Accent4 3 3 5 2 4" xfId="26302" xr:uid="{00000000-0005-0000-0000-00003C2A0000}"/>
    <cellStyle name="20% - Accent4 3 3 5 3" xfId="5339" xr:uid="{00000000-0005-0000-0000-00003D2A0000}"/>
    <cellStyle name="20% - Accent4 3 3 5 3 2" xfId="10989" xr:uid="{00000000-0005-0000-0000-00003E2A0000}"/>
    <cellStyle name="20% - Accent4 3 3 5 3 2 2" xfId="22290" xr:uid="{00000000-0005-0000-0000-00003F2A0000}"/>
    <cellStyle name="20% - Accent4 3 3 5 3 2 2 2" xfId="44892" xr:uid="{00000000-0005-0000-0000-0000402A0000}"/>
    <cellStyle name="20% - Accent4 3 3 5 3 2 3" xfId="33591" xr:uid="{00000000-0005-0000-0000-0000412A0000}"/>
    <cellStyle name="20% - Accent4 3 3 5 3 3" xfId="16640" xr:uid="{00000000-0005-0000-0000-0000422A0000}"/>
    <cellStyle name="20% - Accent4 3 3 5 3 3 2" xfId="39242" xr:uid="{00000000-0005-0000-0000-0000432A0000}"/>
    <cellStyle name="20% - Accent4 3 3 5 3 4" xfId="27941" xr:uid="{00000000-0005-0000-0000-0000442A0000}"/>
    <cellStyle name="20% - Accent4 3 3 5 4" xfId="7541" xr:uid="{00000000-0005-0000-0000-0000452A0000}"/>
    <cellStyle name="20% - Accent4 3 3 5 4 2" xfId="18842" xr:uid="{00000000-0005-0000-0000-0000462A0000}"/>
    <cellStyle name="20% - Accent4 3 3 5 4 2 2" xfId="41444" xr:uid="{00000000-0005-0000-0000-0000472A0000}"/>
    <cellStyle name="20% - Accent4 3 3 5 4 3" xfId="30143" xr:uid="{00000000-0005-0000-0000-0000482A0000}"/>
    <cellStyle name="20% - Accent4 3 3 5 5" xfId="13192" xr:uid="{00000000-0005-0000-0000-0000492A0000}"/>
    <cellStyle name="20% - Accent4 3 3 5 5 2" xfId="35794" xr:uid="{00000000-0005-0000-0000-00004A2A0000}"/>
    <cellStyle name="20% - Accent4 3 3 5 6" xfId="24493" xr:uid="{00000000-0005-0000-0000-00004B2A0000}"/>
    <cellStyle name="20% - Accent4 3 3 6" xfId="2318" xr:uid="{00000000-0005-0000-0000-00004C2A0000}"/>
    <cellStyle name="20% - Accent4 3 3 6 2" xfId="8154" xr:uid="{00000000-0005-0000-0000-00004D2A0000}"/>
    <cellStyle name="20% - Accent4 3 3 6 2 2" xfId="19455" xr:uid="{00000000-0005-0000-0000-00004E2A0000}"/>
    <cellStyle name="20% - Accent4 3 3 6 2 2 2" xfId="42057" xr:uid="{00000000-0005-0000-0000-00004F2A0000}"/>
    <cellStyle name="20% - Accent4 3 3 6 2 3" xfId="30756" xr:uid="{00000000-0005-0000-0000-0000502A0000}"/>
    <cellStyle name="20% - Accent4 3 3 6 3" xfId="13805" xr:uid="{00000000-0005-0000-0000-0000512A0000}"/>
    <cellStyle name="20% - Accent4 3 3 6 3 2" xfId="36407" xr:uid="{00000000-0005-0000-0000-0000522A0000}"/>
    <cellStyle name="20% - Accent4 3 3 6 4" xfId="25106" xr:uid="{00000000-0005-0000-0000-0000532A0000}"/>
    <cellStyle name="20% - Accent4 3 3 7" xfId="4105" xr:uid="{00000000-0005-0000-0000-0000542A0000}"/>
    <cellStyle name="20% - Accent4 3 3 7 2" xfId="9755" xr:uid="{00000000-0005-0000-0000-0000552A0000}"/>
    <cellStyle name="20% - Accent4 3 3 7 2 2" xfId="21056" xr:uid="{00000000-0005-0000-0000-0000562A0000}"/>
    <cellStyle name="20% - Accent4 3 3 7 2 2 2" xfId="43658" xr:uid="{00000000-0005-0000-0000-0000572A0000}"/>
    <cellStyle name="20% - Accent4 3 3 7 2 3" xfId="32357" xr:uid="{00000000-0005-0000-0000-0000582A0000}"/>
    <cellStyle name="20% - Accent4 3 3 7 3" xfId="15406" xr:uid="{00000000-0005-0000-0000-0000592A0000}"/>
    <cellStyle name="20% - Accent4 3 3 7 3 2" xfId="38008" xr:uid="{00000000-0005-0000-0000-00005A2A0000}"/>
    <cellStyle name="20% - Accent4 3 3 7 4" xfId="26707" xr:uid="{00000000-0005-0000-0000-00005B2A0000}"/>
    <cellStyle name="20% - Accent4 3 3 8" xfId="6556" xr:uid="{00000000-0005-0000-0000-00005C2A0000}"/>
    <cellStyle name="20% - Accent4 3 3 8 2" xfId="17857" xr:uid="{00000000-0005-0000-0000-00005D2A0000}"/>
    <cellStyle name="20% - Accent4 3 3 8 2 2" xfId="40459" xr:uid="{00000000-0005-0000-0000-00005E2A0000}"/>
    <cellStyle name="20% - Accent4 3 3 8 3" xfId="29158" xr:uid="{00000000-0005-0000-0000-00005F2A0000}"/>
    <cellStyle name="20% - Accent4 3 3 9" xfId="12207" xr:uid="{00000000-0005-0000-0000-0000602A0000}"/>
    <cellStyle name="20% - Accent4 3 3 9 2" xfId="34809" xr:uid="{00000000-0005-0000-0000-0000612A0000}"/>
    <cellStyle name="20% - Accent4 3 4" xfId="555" xr:uid="{00000000-0005-0000-0000-0000622A0000}"/>
    <cellStyle name="20% - Accent4 3 4 2" xfId="1134" xr:uid="{00000000-0005-0000-0000-0000632A0000}"/>
    <cellStyle name="20% - Accent4 3 4 2 2" xfId="1690" xr:uid="{00000000-0005-0000-0000-0000642A0000}"/>
    <cellStyle name="20% - Accent4 3 4 2 2 2" xfId="3201" xr:uid="{00000000-0005-0000-0000-0000652A0000}"/>
    <cellStyle name="20% - Accent4 3 4 2 2 2 2" xfId="6173" xr:uid="{00000000-0005-0000-0000-0000662A0000}"/>
    <cellStyle name="20% - Accent4 3 4 2 2 2 2 2" xfId="11823" xr:uid="{00000000-0005-0000-0000-0000672A0000}"/>
    <cellStyle name="20% - Accent4 3 4 2 2 2 2 2 2" xfId="23124" xr:uid="{00000000-0005-0000-0000-0000682A0000}"/>
    <cellStyle name="20% - Accent4 3 4 2 2 2 2 2 2 2" xfId="45726" xr:uid="{00000000-0005-0000-0000-0000692A0000}"/>
    <cellStyle name="20% - Accent4 3 4 2 2 2 2 2 3" xfId="34425" xr:uid="{00000000-0005-0000-0000-00006A2A0000}"/>
    <cellStyle name="20% - Accent4 3 4 2 2 2 2 3" xfId="17474" xr:uid="{00000000-0005-0000-0000-00006B2A0000}"/>
    <cellStyle name="20% - Accent4 3 4 2 2 2 2 3 2" xfId="40076" xr:uid="{00000000-0005-0000-0000-00006C2A0000}"/>
    <cellStyle name="20% - Accent4 3 4 2 2 2 2 4" xfId="28775" xr:uid="{00000000-0005-0000-0000-00006D2A0000}"/>
    <cellStyle name="20% - Accent4 3 4 2 2 2 3" xfId="8991" xr:uid="{00000000-0005-0000-0000-00006E2A0000}"/>
    <cellStyle name="20% - Accent4 3 4 2 2 2 3 2" xfId="20292" xr:uid="{00000000-0005-0000-0000-00006F2A0000}"/>
    <cellStyle name="20% - Accent4 3 4 2 2 2 3 2 2" xfId="42894" xr:uid="{00000000-0005-0000-0000-0000702A0000}"/>
    <cellStyle name="20% - Accent4 3 4 2 2 2 3 3" xfId="31593" xr:uid="{00000000-0005-0000-0000-0000712A0000}"/>
    <cellStyle name="20% - Accent4 3 4 2 2 2 4" xfId="14642" xr:uid="{00000000-0005-0000-0000-0000722A0000}"/>
    <cellStyle name="20% - Accent4 3 4 2 2 2 4 2" xfId="37244" xr:uid="{00000000-0005-0000-0000-0000732A0000}"/>
    <cellStyle name="20% - Accent4 3 4 2 2 2 5" xfId="25943" xr:uid="{00000000-0005-0000-0000-0000742A0000}"/>
    <cellStyle name="20% - Accent4 3 4 2 2 3" xfId="4939" xr:uid="{00000000-0005-0000-0000-0000752A0000}"/>
    <cellStyle name="20% - Accent4 3 4 2 2 3 2" xfId="10589" xr:uid="{00000000-0005-0000-0000-0000762A0000}"/>
    <cellStyle name="20% - Accent4 3 4 2 2 3 2 2" xfId="21890" xr:uid="{00000000-0005-0000-0000-0000772A0000}"/>
    <cellStyle name="20% - Accent4 3 4 2 2 3 2 2 2" xfId="44492" xr:uid="{00000000-0005-0000-0000-0000782A0000}"/>
    <cellStyle name="20% - Accent4 3 4 2 2 3 2 3" xfId="33191" xr:uid="{00000000-0005-0000-0000-0000792A0000}"/>
    <cellStyle name="20% - Accent4 3 4 2 2 3 3" xfId="16240" xr:uid="{00000000-0005-0000-0000-00007A2A0000}"/>
    <cellStyle name="20% - Accent4 3 4 2 2 3 3 2" xfId="38842" xr:uid="{00000000-0005-0000-0000-00007B2A0000}"/>
    <cellStyle name="20% - Accent4 3 4 2 2 3 4" xfId="27541" xr:uid="{00000000-0005-0000-0000-00007C2A0000}"/>
    <cellStyle name="20% - Accent4 3 4 2 2 4" xfId="7546" xr:uid="{00000000-0005-0000-0000-00007D2A0000}"/>
    <cellStyle name="20% - Accent4 3 4 2 2 4 2" xfId="18847" xr:uid="{00000000-0005-0000-0000-00007E2A0000}"/>
    <cellStyle name="20% - Accent4 3 4 2 2 4 2 2" xfId="41449" xr:uid="{00000000-0005-0000-0000-00007F2A0000}"/>
    <cellStyle name="20% - Accent4 3 4 2 2 4 3" xfId="30148" xr:uid="{00000000-0005-0000-0000-0000802A0000}"/>
    <cellStyle name="20% - Accent4 3 4 2 2 5" xfId="13197" xr:uid="{00000000-0005-0000-0000-0000812A0000}"/>
    <cellStyle name="20% - Accent4 3 4 2 2 5 2" xfId="35799" xr:uid="{00000000-0005-0000-0000-0000822A0000}"/>
    <cellStyle name="20% - Accent4 3 4 2 2 6" xfId="24498" xr:uid="{00000000-0005-0000-0000-0000832A0000}"/>
    <cellStyle name="20% - Accent4 3 4 2 3" xfId="2530" xr:uid="{00000000-0005-0000-0000-0000842A0000}"/>
    <cellStyle name="20% - Accent4 3 4 2 3 2" xfId="5549" xr:uid="{00000000-0005-0000-0000-0000852A0000}"/>
    <cellStyle name="20% - Accent4 3 4 2 3 2 2" xfId="11199" xr:uid="{00000000-0005-0000-0000-0000862A0000}"/>
    <cellStyle name="20% - Accent4 3 4 2 3 2 2 2" xfId="22500" xr:uid="{00000000-0005-0000-0000-0000872A0000}"/>
    <cellStyle name="20% - Accent4 3 4 2 3 2 2 2 2" xfId="45102" xr:uid="{00000000-0005-0000-0000-0000882A0000}"/>
    <cellStyle name="20% - Accent4 3 4 2 3 2 2 3" xfId="33801" xr:uid="{00000000-0005-0000-0000-0000892A0000}"/>
    <cellStyle name="20% - Accent4 3 4 2 3 2 3" xfId="16850" xr:uid="{00000000-0005-0000-0000-00008A2A0000}"/>
    <cellStyle name="20% - Accent4 3 4 2 3 2 3 2" xfId="39452" xr:uid="{00000000-0005-0000-0000-00008B2A0000}"/>
    <cellStyle name="20% - Accent4 3 4 2 3 2 4" xfId="28151" xr:uid="{00000000-0005-0000-0000-00008C2A0000}"/>
    <cellStyle name="20% - Accent4 3 4 2 3 3" xfId="8366" xr:uid="{00000000-0005-0000-0000-00008D2A0000}"/>
    <cellStyle name="20% - Accent4 3 4 2 3 3 2" xfId="19667" xr:uid="{00000000-0005-0000-0000-00008E2A0000}"/>
    <cellStyle name="20% - Accent4 3 4 2 3 3 2 2" xfId="42269" xr:uid="{00000000-0005-0000-0000-00008F2A0000}"/>
    <cellStyle name="20% - Accent4 3 4 2 3 3 3" xfId="30968" xr:uid="{00000000-0005-0000-0000-0000902A0000}"/>
    <cellStyle name="20% - Accent4 3 4 2 3 4" xfId="14017" xr:uid="{00000000-0005-0000-0000-0000912A0000}"/>
    <cellStyle name="20% - Accent4 3 4 2 3 4 2" xfId="36619" xr:uid="{00000000-0005-0000-0000-0000922A0000}"/>
    <cellStyle name="20% - Accent4 3 4 2 3 5" xfId="25318" xr:uid="{00000000-0005-0000-0000-0000932A0000}"/>
    <cellStyle name="20% - Accent4 3 4 2 4" xfId="4315" xr:uid="{00000000-0005-0000-0000-0000942A0000}"/>
    <cellStyle name="20% - Accent4 3 4 2 4 2" xfId="9965" xr:uid="{00000000-0005-0000-0000-0000952A0000}"/>
    <cellStyle name="20% - Accent4 3 4 2 4 2 2" xfId="21266" xr:uid="{00000000-0005-0000-0000-0000962A0000}"/>
    <cellStyle name="20% - Accent4 3 4 2 4 2 2 2" xfId="43868" xr:uid="{00000000-0005-0000-0000-0000972A0000}"/>
    <cellStyle name="20% - Accent4 3 4 2 4 2 3" xfId="32567" xr:uid="{00000000-0005-0000-0000-0000982A0000}"/>
    <cellStyle name="20% - Accent4 3 4 2 4 3" xfId="15616" xr:uid="{00000000-0005-0000-0000-0000992A0000}"/>
    <cellStyle name="20% - Accent4 3 4 2 4 3 2" xfId="38218" xr:uid="{00000000-0005-0000-0000-00009A2A0000}"/>
    <cellStyle name="20% - Accent4 3 4 2 4 4" xfId="26917" xr:uid="{00000000-0005-0000-0000-00009B2A0000}"/>
    <cellStyle name="20% - Accent4 3 4 2 5" xfId="7113" xr:uid="{00000000-0005-0000-0000-00009C2A0000}"/>
    <cellStyle name="20% - Accent4 3 4 2 5 2" xfId="18414" xr:uid="{00000000-0005-0000-0000-00009D2A0000}"/>
    <cellStyle name="20% - Accent4 3 4 2 5 2 2" xfId="41016" xr:uid="{00000000-0005-0000-0000-00009E2A0000}"/>
    <cellStyle name="20% - Accent4 3 4 2 5 3" xfId="29715" xr:uid="{00000000-0005-0000-0000-00009F2A0000}"/>
    <cellStyle name="20% - Accent4 3 4 2 6" xfId="12764" xr:uid="{00000000-0005-0000-0000-0000A02A0000}"/>
    <cellStyle name="20% - Accent4 3 4 2 6 2" xfId="35366" xr:uid="{00000000-0005-0000-0000-0000A12A0000}"/>
    <cellStyle name="20% - Accent4 3 4 2 7" xfId="24065" xr:uid="{00000000-0005-0000-0000-0000A22A0000}"/>
    <cellStyle name="20% - Accent4 3 4 3" xfId="807" xr:uid="{00000000-0005-0000-0000-0000A32A0000}"/>
    <cellStyle name="20% - Accent4 3 4 3 2" xfId="2895" xr:uid="{00000000-0005-0000-0000-0000A42A0000}"/>
    <cellStyle name="20% - Accent4 3 4 3 2 2" xfId="5867" xr:uid="{00000000-0005-0000-0000-0000A52A0000}"/>
    <cellStyle name="20% - Accent4 3 4 3 2 2 2" xfId="11517" xr:uid="{00000000-0005-0000-0000-0000A62A0000}"/>
    <cellStyle name="20% - Accent4 3 4 3 2 2 2 2" xfId="22818" xr:uid="{00000000-0005-0000-0000-0000A72A0000}"/>
    <cellStyle name="20% - Accent4 3 4 3 2 2 2 2 2" xfId="45420" xr:uid="{00000000-0005-0000-0000-0000A82A0000}"/>
    <cellStyle name="20% - Accent4 3 4 3 2 2 2 3" xfId="34119" xr:uid="{00000000-0005-0000-0000-0000A92A0000}"/>
    <cellStyle name="20% - Accent4 3 4 3 2 2 3" xfId="17168" xr:uid="{00000000-0005-0000-0000-0000AA2A0000}"/>
    <cellStyle name="20% - Accent4 3 4 3 2 2 3 2" xfId="39770" xr:uid="{00000000-0005-0000-0000-0000AB2A0000}"/>
    <cellStyle name="20% - Accent4 3 4 3 2 2 4" xfId="28469" xr:uid="{00000000-0005-0000-0000-0000AC2A0000}"/>
    <cellStyle name="20% - Accent4 3 4 3 2 3" xfId="8685" xr:uid="{00000000-0005-0000-0000-0000AD2A0000}"/>
    <cellStyle name="20% - Accent4 3 4 3 2 3 2" xfId="19986" xr:uid="{00000000-0005-0000-0000-0000AE2A0000}"/>
    <cellStyle name="20% - Accent4 3 4 3 2 3 2 2" xfId="42588" xr:uid="{00000000-0005-0000-0000-0000AF2A0000}"/>
    <cellStyle name="20% - Accent4 3 4 3 2 3 3" xfId="31287" xr:uid="{00000000-0005-0000-0000-0000B02A0000}"/>
    <cellStyle name="20% - Accent4 3 4 3 2 4" xfId="14336" xr:uid="{00000000-0005-0000-0000-0000B12A0000}"/>
    <cellStyle name="20% - Accent4 3 4 3 2 4 2" xfId="36938" xr:uid="{00000000-0005-0000-0000-0000B22A0000}"/>
    <cellStyle name="20% - Accent4 3 4 3 2 5" xfId="25637" xr:uid="{00000000-0005-0000-0000-0000B32A0000}"/>
    <cellStyle name="20% - Accent4 3 4 3 3" xfId="4633" xr:uid="{00000000-0005-0000-0000-0000B42A0000}"/>
    <cellStyle name="20% - Accent4 3 4 3 3 2" xfId="10283" xr:uid="{00000000-0005-0000-0000-0000B52A0000}"/>
    <cellStyle name="20% - Accent4 3 4 3 3 2 2" xfId="21584" xr:uid="{00000000-0005-0000-0000-0000B62A0000}"/>
    <cellStyle name="20% - Accent4 3 4 3 3 2 2 2" xfId="44186" xr:uid="{00000000-0005-0000-0000-0000B72A0000}"/>
    <cellStyle name="20% - Accent4 3 4 3 3 2 3" xfId="32885" xr:uid="{00000000-0005-0000-0000-0000B82A0000}"/>
    <cellStyle name="20% - Accent4 3 4 3 3 3" xfId="15934" xr:uid="{00000000-0005-0000-0000-0000B92A0000}"/>
    <cellStyle name="20% - Accent4 3 4 3 3 3 2" xfId="38536" xr:uid="{00000000-0005-0000-0000-0000BA2A0000}"/>
    <cellStyle name="20% - Accent4 3 4 3 3 4" xfId="27235" xr:uid="{00000000-0005-0000-0000-0000BB2A0000}"/>
    <cellStyle name="20% - Accent4 3 4 3 4" xfId="6816" xr:uid="{00000000-0005-0000-0000-0000BC2A0000}"/>
    <cellStyle name="20% - Accent4 3 4 3 4 2" xfId="18117" xr:uid="{00000000-0005-0000-0000-0000BD2A0000}"/>
    <cellStyle name="20% - Accent4 3 4 3 4 2 2" xfId="40719" xr:uid="{00000000-0005-0000-0000-0000BE2A0000}"/>
    <cellStyle name="20% - Accent4 3 4 3 4 3" xfId="29418" xr:uid="{00000000-0005-0000-0000-0000BF2A0000}"/>
    <cellStyle name="20% - Accent4 3 4 3 5" xfId="12467" xr:uid="{00000000-0005-0000-0000-0000C02A0000}"/>
    <cellStyle name="20% - Accent4 3 4 3 5 2" xfId="35069" xr:uid="{00000000-0005-0000-0000-0000C12A0000}"/>
    <cellStyle name="20% - Accent4 3 4 3 6" xfId="23768" xr:uid="{00000000-0005-0000-0000-0000C22A0000}"/>
    <cellStyle name="20% - Accent4 3 4 4" xfId="1689" xr:uid="{00000000-0005-0000-0000-0000C32A0000}"/>
    <cellStyle name="20% - Accent4 3 4 4 2" xfId="3640" xr:uid="{00000000-0005-0000-0000-0000C42A0000}"/>
    <cellStyle name="20% - Accent4 3 4 4 2 2" xfId="9352" xr:uid="{00000000-0005-0000-0000-0000C52A0000}"/>
    <cellStyle name="20% - Accent4 3 4 4 2 2 2" xfId="20653" xr:uid="{00000000-0005-0000-0000-0000C62A0000}"/>
    <cellStyle name="20% - Accent4 3 4 4 2 2 2 2" xfId="43255" xr:uid="{00000000-0005-0000-0000-0000C72A0000}"/>
    <cellStyle name="20% - Accent4 3 4 4 2 2 3" xfId="31954" xr:uid="{00000000-0005-0000-0000-0000C82A0000}"/>
    <cellStyle name="20% - Accent4 3 4 4 2 3" xfId="15003" xr:uid="{00000000-0005-0000-0000-0000C92A0000}"/>
    <cellStyle name="20% - Accent4 3 4 4 2 3 2" xfId="37605" xr:uid="{00000000-0005-0000-0000-0000CA2A0000}"/>
    <cellStyle name="20% - Accent4 3 4 4 2 4" xfId="26304" xr:uid="{00000000-0005-0000-0000-0000CB2A0000}"/>
    <cellStyle name="20% - Accent4 3 4 4 3" xfId="5243" xr:uid="{00000000-0005-0000-0000-0000CC2A0000}"/>
    <cellStyle name="20% - Accent4 3 4 4 3 2" xfId="10893" xr:uid="{00000000-0005-0000-0000-0000CD2A0000}"/>
    <cellStyle name="20% - Accent4 3 4 4 3 2 2" xfId="22194" xr:uid="{00000000-0005-0000-0000-0000CE2A0000}"/>
    <cellStyle name="20% - Accent4 3 4 4 3 2 2 2" xfId="44796" xr:uid="{00000000-0005-0000-0000-0000CF2A0000}"/>
    <cellStyle name="20% - Accent4 3 4 4 3 2 3" xfId="33495" xr:uid="{00000000-0005-0000-0000-0000D02A0000}"/>
    <cellStyle name="20% - Accent4 3 4 4 3 3" xfId="16544" xr:uid="{00000000-0005-0000-0000-0000D12A0000}"/>
    <cellStyle name="20% - Accent4 3 4 4 3 3 2" xfId="39146" xr:uid="{00000000-0005-0000-0000-0000D22A0000}"/>
    <cellStyle name="20% - Accent4 3 4 4 3 4" xfId="27845" xr:uid="{00000000-0005-0000-0000-0000D32A0000}"/>
    <cellStyle name="20% - Accent4 3 4 4 4" xfId="7545" xr:uid="{00000000-0005-0000-0000-0000D42A0000}"/>
    <cellStyle name="20% - Accent4 3 4 4 4 2" xfId="18846" xr:uid="{00000000-0005-0000-0000-0000D52A0000}"/>
    <cellStyle name="20% - Accent4 3 4 4 4 2 2" xfId="41448" xr:uid="{00000000-0005-0000-0000-0000D62A0000}"/>
    <cellStyle name="20% - Accent4 3 4 4 4 3" xfId="30147" xr:uid="{00000000-0005-0000-0000-0000D72A0000}"/>
    <cellStyle name="20% - Accent4 3 4 4 5" xfId="13196" xr:uid="{00000000-0005-0000-0000-0000D82A0000}"/>
    <cellStyle name="20% - Accent4 3 4 4 5 2" xfId="35798" xr:uid="{00000000-0005-0000-0000-0000D92A0000}"/>
    <cellStyle name="20% - Accent4 3 4 4 6" xfId="24497" xr:uid="{00000000-0005-0000-0000-0000DA2A0000}"/>
    <cellStyle name="20% - Accent4 3 4 5" xfId="2215" xr:uid="{00000000-0005-0000-0000-0000DB2A0000}"/>
    <cellStyle name="20% - Accent4 3 4 5 2" xfId="8057" xr:uid="{00000000-0005-0000-0000-0000DC2A0000}"/>
    <cellStyle name="20% - Accent4 3 4 5 2 2" xfId="19358" xr:uid="{00000000-0005-0000-0000-0000DD2A0000}"/>
    <cellStyle name="20% - Accent4 3 4 5 2 2 2" xfId="41960" xr:uid="{00000000-0005-0000-0000-0000DE2A0000}"/>
    <cellStyle name="20% - Accent4 3 4 5 2 3" xfId="30659" xr:uid="{00000000-0005-0000-0000-0000DF2A0000}"/>
    <cellStyle name="20% - Accent4 3 4 5 3" xfId="13708" xr:uid="{00000000-0005-0000-0000-0000E02A0000}"/>
    <cellStyle name="20% - Accent4 3 4 5 3 2" xfId="36310" xr:uid="{00000000-0005-0000-0000-0000E12A0000}"/>
    <cellStyle name="20% - Accent4 3 4 5 4" xfId="25009" xr:uid="{00000000-0005-0000-0000-0000E22A0000}"/>
    <cellStyle name="20% - Accent4 3 4 6" xfId="4009" xr:uid="{00000000-0005-0000-0000-0000E32A0000}"/>
    <cellStyle name="20% - Accent4 3 4 6 2" xfId="9659" xr:uid="{00000000-0005-0000-0000-0000E42A0000}"/>
    <cellStyle name="20% - Accent4 3 4 6 2 2" xfId="20960" xr:uid="{00000000-0005-0000-0000-0000E52A0000}"/>
    <cellStyle name="20% - Accent4 3 4 6 2 2 2" xfId="43562" xr:uid="{00000000-0005-0000-0000-0000E62A0000}"/>
    <cellStyle name="20% - Accent4 3 4 6 2 3" xfId="32261" xr:uid="{00000000-0005-0000-0000-0000E72A0000}"/>
    <cellStyle name="20% - Accent4 3 4 6 3" xfId="15310" xr:uid="{00000000-0005-0000-0000-0000E82A0000}"/>
    <cellStyle name="20% - Accent4 3 4 6 3 2" xfId="37912" xr:uid="{00000000-0005-0000-0000-0000E92A0000}"/>
    <cellStyle name="20% - Accent4 3 4 6 4" xfId="26611" xr:uid="{00000000-0005-0000-0000-0000EA2A0000}"/>
    <cellStyle name="20% - Accent4 3 4 7" xfId="6627" xr:uid="{00000000-0005-0000-0000-0000EB2A0000}"/>
    <cellStyle name="20% - Accent4 3 4 7 2" xfId="17928" xr:uid="{00000000-0005-0000-0000-0000EC2A0000}"/>
    <cellStyle name="20% - Accent4 3 4 7 2 2" xfId="40530" xr:uid="{00000000-0005-0000-0000-0000ED2A0000}"/>
    <cellStyle name="20% - Accent4 3 4 7 3" xfId="29229" xr:uid="{00000000-0005-0000-0000-0000EE2A0000}"/>
    <cellStyle name="20% - Accent4 3 4 8" xfId="12278" xr:uid="{00000000-0005-0000-0000-0000EF2A0000}"/>
    <cellStyle name="20% - Accent4 3 4 8 2" xfId="34880" xr:uid="{00000000-0005-0000-0000-0000F02A0000}"/>
    <cellStyle name="20% - Accent4 3 4 9" xfId="23579" xr:uid="{00000000-0005-0000-0000-0000F12A0000}"/>
    <cellStyle name="20% - Accent4 3 5" xfId="452" xr:uid="{00000000-0005-0000-0000-0000F22A0000}"/>
    <cellStyle name="20% - Accent4 3 6" xfId="1506" xr:uid="{00000000-0005-0000-0000-0000F32A0000}"/>
    <cellStyle name="20% - Accent4 3 7" xfId="6460" xr:uid="{00000000-0005-0000-0000-0000F42A0000}"/>
    <cellStyle name="20% - Accent4 3 7 2" xfId="17761" xr:uid="{00000000-0005-0000-0000-0000F52A0000}"/>
    <cellStyle name="20% - Accent4 3 7 2 2" xfId="40363" xr:uid="{00000000-0005-0000-0000-0000F62A0000}"/>
    <cellStyle name="20% - Accent4 3 7 3" xfId="29062" xr:uid="{00000000-0005-0000-0000-0000F72A0000}"/>
    <cellStyle name="20% - Accent4 3 8" xfId="12111" xr:uid="{00000000-0005-0000-0000-0000F82A0000}"/>
    <cellStyle name="20% - Accent4 3 8 2" xfId="34713" xr:uid="{00000000-0005-0000-0000-0000F92A0000}"/>
    <cellStyle name="20% - Accent4 3 9" xfId="23412" xr:uid="{00000000-0005-0000-0000-0000FA2A0000}"/>
    <cellStyle name="20% - Accent4 4" xfId="242" xr:uid="{00000000-0005-0000-0000-0000FB2A0000}"/>
    <cellStyle name="20% - Accent4 4 10" xfId="3995" xr:uid="{00000000-0005-0000-0000-0000FC2A0000}"/>
    <cellStyle name="20% - Accent4 4 10 2" xfId="9645" xr:uid="{00000000-0005-0000-0000-0000FD2A0000}"/>
    <cellStyle name="20% - Accent4 4 10 2 2" xfId="20946" xr:uid="{00000000-0005-0000-0000-0000FE2A0000}"/>
    <cellStyle name="20% - Accent4 4 10 2 2 2" xfId="43548" xr:uid="{00000000-0005-0000-0000-0000FF2A0000}"/>
    <cellStyle name="20% - Accent4 4 10 2 3" xfId="32247" xr:uid="{00000000-0005-0000-0000-0000002B0000}"/>
    <cellStyle name="20% - Accent4 4 10 3" xfId="15296" xr:uid="{00000000-0005-0000-0000-0000012B0000}"/>
    <cellStyle name="20% - Accent4 4 10 3 2" xfId="37898" xr:uid="{00000000-0005-0000-0000-0000022B0000}"/>
    <cellStyle name="20% - Accent4 4 10 4" xfId="26597" xr:uid="{00000000-0005-0000-0000-0000032B0000}"/>
    <cellStyle name="20% - Accent4 4 11" xfId="6474" xr:uid="{00000000-0005-0000-0000-0000042B0000}"/>
    <cellStyle name="20% - Accent4 4 11 2" xfId="17775" xr:uid="{00000000-0005-0000-0000-0000052B0000}"/>
    <cellStyle name="20% - Accent4 4 11 2 2" xfId="40377" xr:uid="{00000000-0005-0000-0000-0000062B0000}"/>
    <cellStyle name="20% - Accent4 4 11 3" xfId="29076" xr:uid="{00000000-0005-0000-0000-0000072B0000}"/>
    <cellStyle name="20% - Accent4 4 12" xfId="12125" xr:uid="{00000000-0005-0000-0000-0000082B0000}"/>
    <cellStyle name="20% - Accent4 4 12 2" xfId="34727" xr:uid="{00000000-0005-0000-0000-0000092B0000}"/>
    <cellStyle name="20% - Accent4 4 13" xfId="23426" xr:uid="{00000000-0005-0000-0000-00000A2B0000}"/>
    <cellStyle name="20% - Accent4 4 2" xfId="365" xr:uid="{00000000-0005-0000-0000-00000B2B0000}"/>
    <cellStyle name="20% - Accent4 4 2 10" xfId="23473" xr:uid="{00000000-0005-0000-0000-00000C2B0000}"/>
    <cellStyle name="20% - Accent4 4 2 2" xfId="623" xr:uid="{00000000-0005-0000-0000-00000D2B0000}"/>
    <cellStyle name="20% - Accent4 4 2 2 2" xfId="1333" xr:uid="{00000000-0005-0000-0000-00000E2B0000}"/>
    <cellStyle name="20% - Accent4 4 2 2 2 2" xfId="1694" xr:uid="{00000000-0005-0000-0000-00000F2B0000}"/>
    <cellStyle name="20% - Accent4 4 2 2 2 2 2" xfId="3402" xr:uid="{00000000-0005-0000-0000-0000102B0000}"/>
    <cellStyle name="20% - Accent4 4 2 2 2 2 2 2" xfId="6374" xr:uid="{00000000-0005-0000-0000-0000112B0000}"/>
    <cellStyle name="20% - Accent4 4 2 2 2 2 2 2 2" xfId="12024" xr:uid="{00000000-0005-0000-0000-0000122B0000}"/>
    <cellStyle name="20% - Accent4 4 2 2 2 2 2 2 2 2" xfId="23325" xr:uid="{00000000-0005-0000-0000-0000132B0000}"/>
    <cellStyle name="20% - Accent4 4 2 2 2 2 2 2 2 2 2" xfId="45927" xr:uid="{00000000-0005-0000-0000-0000142B0000}"/>
    <cellStyle name="20% - Accent4 4 2 2 2 2 2 2 2 3" xfId="34626" xr:uid="{00000000-0005-0000-0000-0000152B0000}"/>
    <cellStyle name="20% - Accent4 4 2 2 2 2 2 2 3" xfId="17675" xr:uid="{00000000-0005-0000-0000-0000162B0000}"/>
    <cellStyle name="20% - Accent4 4 2 2 2 2 2 2 3 2" xfId="40277" xr:uid="{00000000-0005-0000-0000-0000172B0000}"/>
    <cellStyle name="20% - Accent4 4 2 2 2 2 2 2 4" xfId="28976" xr:uid="{00000000-0005-0000-0000-0000182B0000}"/>
    <cellStyle name="20% - Accent4 4 2 2 2 2 2 3" xfId="9192" xr:uid="{00000000-0005-0000-0000-0000192B0000}"/>
    <cellStyle name="20% - Accent4 4 2 2 2 2 2 3 2" xfId="20493" xr:uid="{00000000-0005-0000-0000-00001A2B0000}"/>
    <cellStyle name="20% - Accent4 4 2 2 2 2 2 3 2 2" xfId="43095" xr:uid="{00000000-0005-0000-0000-00001B2B0000}"/>
    <cellStyle name="20% - Accent4 4 2 2 2 2 2 3 3" xfId="31794" xr:uid="{00000000-0005-0000-0000-00001C2B0000}"/>
    <cellStyle name="20% - Accent4 4 2 2 2 2 2 4" xfId="14843" xr:uid="{00000000-0005-0000-0000-00001D2B0000}"/>
    <cellStyle name="20% - Accent4 4 2 2 2 2 2 4 2" xfId="37445" xr:uid="{00000000-0005-0000-0000-00001E2B0000}"/>
    <cellStyle name="20% - Accent4 4 2 2 2 2 2 5" xfId="26144" xr:uid="{00000000-0005-0000-0000-00001F2B0000}"/>
    <cellStyle name="20% - Accent4 4 2 2 2 2 3" xfId="5140" xr:uid="{00000000-0005-0000-0000-0000202B0000}"/>
    <cellStyle name="20% - Accent4 4 2 2 2 2 3 2" xfId="10790" xr:uid="{00000000-0005-0000-0000-0000212B0000}"/>
    <cellStyle name="20% - Accent4 4 2 2 2 2 3 2 2" xfId="22091" xr:uid="{00000000-0005-0000-0000-0000222B0000}"/>
    <cellStyle name="20% - Accent4 4 2 2 2 2 3 2 2 2" xfId="44693" xr:uid="{00000000-0005-0000-0000-0000232B0000}"/>
    <cellStyle name="20% - Accent4 4 2 2 2 2 3 2 3" xfId="33392" xr:uid="{00000000-0005-0000-0000-0000242B0000}"/>
    <cellStyle name="20% - Accent4 4 2 2 2 2 3 3" xfId="16441" xr:uid="{00000000-0005-0000-0000-0000252B0000}"/>
    <cellStyle name="20% - Accent4 4 2 2 2 2 3 3 2" xfId="39043" xr:uid="{00000000-0005-0000-0000-0000262B0000}"/>
    <cellStyle name="20% - Accent4 4 2 2 2 2 3 4" xfId="27742" xr:uid="{00000000-0005-0000-0000-0000272B0000}"/>
    <cellStyle name="20% - Accent4 4 2 2 2 2 4" xfId="7550" xr:uid="{00000000-0005-0000-0000-0000282B0000}"/>
    <cellStyle name="20% - Accent4 4 2 2 2 2 4 2" xfId="18851" xr:uid="{00000000-0005-0000-0000-0000292B0000}"/>
    <cellStyle name="20% - Accent4 4 2 2 2 2 4 2 2" xfId="41453" xr:uid="{00000000-0005-0000-0000-00002A2B0000}"/>
    <cellStyle name="20% - Accent4 4 2 2 2 2 4 3" xfId="30152" xr:uid="{00000000-0005-0000-0000-00002B2B0000}"/>
    <cellStyle name="20% - Accent4 4 2 2 2 2 5" xfId="13201" xr:uid="{00000000-0005-0000-0000-00002C2B0000}"/>
    <cellStyle name="20% - Accent4 4 2 2 2 2 5 2" xfId="35803" xr:uid="{00000000-0005-0000-0000-00002D2B0000}"/>
    <cellStyle name="20% - Accent4 4 2 2 2 2 6" xfId="24502" xr:uid="{00000000-0005-0000-0000-00002E2B0000}"/>
    <cellStyle name="20% - Accent4 4 2 2 2 3" xfId="2731" xr:uid="{00000000-0005-0000-0000-00002F2B0000}"/>
    <cellStyle name="20% - Accent4 4 2 2 2 3 2" xfId="5750" xr:uid="{00000000-0005-0000-0000-0000302B0000}"/>
    <cellStyle name="20% - Accent4 4 2 2 2 3 2 2" xfId="11400" xr:uid="{00000000-0005-0000-0000-0000312B0000}"/>
    <cellStyle name="20% - Accent4 4 2 2 2 3 2 2 2" xfId="22701" xr:uid="{00000000-0005-0000-0000-0000322B0000}"/>
    <cellStyle name="20% - Accent4 4 2 2 2 3 2 2 2 2" xfId="45303" xr:uid="{00000000-0005-0000-0000-0000332B0000}"/>
    <cellStyle name="20% - Accent4 4 2 2 2 3 2 2 3" xfId="34002" xr:uid="{00000000-0005-0000-0000-0000342B0000}"/>
    <cellStyle name="20% - Accent4 4 2 2 2 3 2 3" xfId="17051" xr:uid="{00000000-0005-0000-0000-0000352B0000}"/>
    <cellStyle name="20% - Accent4 4 2 2 2 3 2 3 2" xfId="39653" xr:uid="{00000000-0005-0000-0000-0000362B0000}"/>
    <cellStyle name="20% - Accent4 4 2 2 2 3 2 4" xfId="28352" xr:uid="{00000000-0005-0000-0000-0000372B0000}"/>
    <cellStyle name="20% - Accent4 4 2 2 2 3 3" xfId="8567" xr:uid="{00000000-0005-0000-0000-0000382B0000}"/>
    <cellStyle name="20% - Accent4 4 2 2 2 3 3 2" xfId="19868" xr:uid="{00000000-0005-0000-0000-0000392B0000}"/>
    <cellStyle name="20% - Accent4 4 2 2 2 3 3 2 2" xfId="42470" xr:uid="{00000000-0005-0000-0000-00003A2B0000}"/>
    <cellStyle name="20% - Accent4 4 2 2 2 3 3 3" xfId="31169" xr:uid="{00000000-0005-0000-0000-00003B2B0000}"/>
    <cellStyle name="20% - Accent4 4 2 2 2 3 4" xfId="14218" xr:uid="{00000000-0005-0000-0000-00003C2B0000}"/>
    <cellStyle name="20% - Accent4 4 2 2 2 3 4 2" xfId="36820" xr:uid="{00000000-0005-0000-0000-00003D2B0000}"/>
    <cellStyle name="20% - Accent4 4 2 2 2 3 5" xfId="25519" xr:uid="{00000000-0005-0000-0000-00003E2B0000}"/>
    <cellStyle name="20% - Accent4 4 2 2 2 4" xfId="4516" xr:uid="{00000000-0005-0000-0000-00003F2B0000}"/>
    <cellStyle name="20% - Accent4 4 2 2 2 4 2" xfId="10166" xr:uid="{00000000-0005-0000-0000-0000402B0000}"/>
    <cellStyle name="20% - Accent4 4 2 2 2 4 2 2" xfId="21467" xr:uid="{00000000-0005-0000-0000-0000412B0000}"/>
    <cellStyle name="20% - Accent4 4 2 2 2 4 2 2 2" xfId="44069" xr:uid="{00000000-0005-0000-0000-0000422B0000}"/>
    <cellStyle name="20% - Accent4 4 2 2 2 4 2 3" xfId="32768" xr:uid="{00000000-0005-0000-0000-0000432B0000}"/>
    <cellStyle name="20% - Accent4 4 2 2 2 4 3" xfId="15817" xr:uid="{00000000-0005-0000-0000-0000442B0000}"/>
    <cellStyle name="20% - Accent4 4 2 2 2 4 3 2" xfId="38419" xr:uid="{00000000-0005-0000-0000-0000452B0000}"/>
    <cellStyle name="20% - Accent4 4 2 2 2 4 4" xfId="27118" xr:uid="{00000000-0005-0000-0000-0000462B0000}"/>
    <cellStyle name="20% - Accent4 4 2 2 2 5" xfId="7312" xr:uid="{00000000-0005-0000-0000-0000472B0000}"/>
    <cellStyle name="20% - Accent4 4 2 2 2 5 2" xfId="18613" xr:uid="{00000000-0005-0000-0000-0000482B0000}"/>
    <cellStyle name="20% - Accent4 4 2 2 2 5 2 2" xfId="41215" xr:uid="{00000000-0005-0000-0000-0000492B0000}"/>
    <cellStyle name="20% - Accent4 4 2 2 2 5 3" xfId="29914" xr:uid="{00000000-0005-0000-0000-00004A2B0000}"/>
    <cellStyle name="20% - Accent4 4 2 2 2 6" xfId="12963" xr:uid="{00000000-0005-0000-0000-00004B2B0000}"/>
    <cellStyle name="20% - Accent4 4 2 2 2 6 2" xfId="35565" xr:uid="{00000000-0005-0000-0000-00004C2B0000}"/>
    <cellStyle name="20% - Accent4 4 2 2 2 7" xfId="24264" xr:uid="{00000000-0005-0000-0000-00004D2B0000}"/>
    <cellStyle name="20% - Accent4 4 2 2 3" xfId="1031" xr:uid="{00000000-0005-0000-0000-00004E2B0000}"/>
    <cellStyle name="20% - Accent4 4 2 2 3 2" xfId="3094" xr:uid="{00000000-0005-0000-0000-00004F2B0000}"/>
    <cellStyle name="20% - Accent4 4 2 2 3 2 2" xfId="6066" xr:uid="{00000000-0005-0000-0000-0000502B0000}"/>
    <cellStyle name="20% - Accent4 4 2 2 3 2 2 2" xfId="11716" xr:uid="{00000000-0005-0000-0000-0000512B0000}"/>
    <cellStyle name="20% - Accent4 4 2 2 3 2 2 2 2" xfId="23017" xr:uid="{00000000-0005-0000-0000-0000522B0000}"/>
    <cellStyle name="20% - Accent4 4 2 2 3 2 2 2 2 2" xfId="45619" xr:uid="{00000000-0005-0000-0000-0000532B0000}"/>
    <cellStyle name="20% - Accent4 4 2 2 3 2 2 2 3" xfId="34318" xr:uid="{00000000-0005-0000-0000-0000542B0000}"/>
    <cellStyle name="20% - Accent4 4 2 2 3 2 2 3" xfId="17367" xr:uid="{00000000-0005-0000-0000-0000552B0000}"/>
    <cellStyle name="20% - Accent4 4 2 2 3 2 2 3 2" xfId="39969" xr:uid="{00000000-0005-0000-0000-0000562B0000}"/>
    <cellStyle name="20% - Accent4 4 2 2 3 2 2 4" xfId="28668" xr:uid="{00000000-0005-0000-0000-0000572B0000}"/>
    <cellStyle name="20% - Accent4 4 2 2 3 2 3" xfId="8884" xr:uid="{00000000-0005-0000-0000-0000582B0000}"/>
    <cellStyle name="20% - Accent4 4 2 2 3 2 3 2" xfId="20185" xr:uid="{00000000-0005-0000-0000-0000592B0000}"/>
    <cellStyle name="20% - Accent4 4 2 2 3 2 3 2 2" xfId="42787" xr:uid="{00000000-0005-0000-0000-00005A2B0000}"/>
    <cellStyle name="20% - Accent4 4 2 2 3 2 3 3" xfId="31486" xr:uid="{00000000-0005-0000-0000-00005B2B0000}"/>
    <cellStyle name="20% - Accent4 4 2 2 3 2 4" xfId="14535" xr:uid="{00000000-0005-0000-0000-00005C2B0000}"/>
    <cellStyle name="20% - Accent4 4 2 2 3 2 4 2" xfId="37137" xr:uid="{00000000-0005-0000-0000-00005D2B0000}"/>
    <cellStyle name="20% - Accent4 4 2 2 3 2 5" xfId="25836" xr:uid="{00000000-0005-0000-0000-00005E2B0000}"/>
    <cellStyle name="20% - Accent4 4 2 2 3 3" xfId="4832" xr:uid="{00000000-0005-0000-0000-00005F2B0000}"/>
    <cellStyle name="20% - Accent4 4 2 2 3 3 2" xfId="10482" xr:uid="{00000000-0005-0000-0000-0000602B0000}"/>
    <cellStyle name="20% - Accent4 4 2 2 3 3 2 2" xfId="21783" xr:uid="{00000000-0005-0000-0000-0000612B0000}"/>
    <cellStyle name="20% - Accent4 4 2 2 3 3 2 2 2" xfId="44385" xr:uid="{00000000-0005-0000-0000-0000622B0000}"/>
    <cellStyle name="20% - Accent4 4 2 2 3 3 2 3" xfId="33084" xr:uid="{00000000-0005-0000-0000-0000632B0000}"/>
    <cellStyle name="20% - Accent4 4 2 2 3 3 3" xfId="16133" xr:uid="{00000000-0005-0000-0000-0000642B0000}"/>
    <cellStyle name="20% - Accent4 4 2 2 3 3 3 2" xfId="38735" xr:uid="{00000000-0005-0000-0000-0000652B0000}"/>
    <cellStyle name="20% - Accent4 4 2 2 3 3 4" xfId="27434" xr:uid="{00000000-0005-0000-0000-0000662B0000}"/>
    <cellStyle name="20% - Accent4 4 2 2 3 4" xfId="7019" xr:uid="{00000000-0005-0000-0000-0000672B0000}"/>
    <cellStyle name="20% - Accent4 4 2 2 3 4 2" xfId="18320" xr:uid="{00000000-0005-0000-0000-0000682B0000}"/>
    <cellStyle name="20% - Accent4 4 2 2 3 4 2 2" xfId="40922" xr:uid="{00000000-0005-0000-0000-0000692B0000}"/>
    <cellStyle name="20% - Accent4 4 2 2 3 4 3" xfId="29621" xr:uid="{00000000-0005-0000-0000-00006A2B0000}"/>
    <cellStyle name="20% - Accent4 4 2 2 3 5" xfId="12670" xr:uid="{00000000-0005-0000-0000-00006B2B0000}"/>
    <cellStyle name="20% - Accent4 4 2 2 3 5 2" xfId="35272" xr:uid="{00000000-0005-0000-0000-00006C2B0000}"/>
    <cellStyle name="20% - Accent4 4 2 2 3 6" xfId="23971" xr:uid="{00000000-0005-0000-0000-00006D2B0000}"/>
    <cellStyle name="20% - Accent4 4 2 2 4" xfId="1693" xr:uid="{00000000-0005-0000-0000-00006E2B0000}"/>
    <cellStyle name="20% - Accent4 4 2 2 4 2" xfId="3643" xr:uid="{00000000-0005-0000-0000-00006F2B0000}"/>
    <cellStyle name="20% - Accent4 4 2 2 4 2 2" xfId="9355" xr:uid="{00000000-0005-0000-0000-0000702B0000}"/>
    <cellStyle name="20% - Accent4 4 2 2 4 2 2 2" xfId="20656" xr:uid="{00000000-0005-0000-0000-0000712B0000}"/>
    <cellStyle name="20% - Accent4 4 2 2 4 2 2 2 2" xfId="43258" xr:uid="{00000000-0005-0000-0000-0000722B0000}"/>
    <cellStyle name="20% - Accent4 4 2 2 4 2 2 3" xfId="31957" xr:uid="{00000000-0005-0000-0000-0000732B0000}"/>
    <cellStyle name="20% - Accent4 4 2 2 4 2 3" xfId="15006" xr:uid="{00000000-0005-0000-0000-0000742B0000}"/>
    <cellStyle name="20% - Accent4 4 2 2 4 2 3 2" xfId="37608" xr:uid="{00000000-0005-0000-0000-0000752B0000}"/>
    <cellStyle name="20% - Accent4 4 2 2 4 2 4" xfId="26307" xr:uid="{00000000-0005-0000-0000-0000762B0000}"/>
    <cellStyle name="20% - Accent4 4 2 2 4 3" xfId="5442" xr:uid="{00000000-0005-0000-0000-0000772B0000}"/>
    <cellStyle name="20% - Accent4 4 2 2 4 3 2" xfId="11092" xr:uid="{00000000-0005-0000-0000-0000782B0000}"/>
    <cellStyle name="20% - Accent4 4 2 2 4 3 2 2" xfId="22393" xr:uid="{00000000-0005-0000-0000-0000792B0000}"/>
    <cellStyle name="20% - Accent4 4 2 2 4 3 2 2 2" xfId="44995" xr:uid="{00000000-0005-0000-0000-00007A2B0000}"/>
    <cellStyle name="20% - Accent4 4 2 2 4 3 2 3" xfId="33694" xr:uid="{00000000-0005-0000-0000-00007B2B0000}"/>
    <cellStyle name="20% - Accent4 4 2 2 4 3 3" xfId="16743" xr:uid="{00000000-0005-0000-0000-00007C2B0000}"/>
    <cellStyle name="20% - Accent4 4 2 2 4 3 3 2" xfId="39345" xr:uid="{00000000-0005-0000-0000-00007D2B0000}"/>
    <cellStyle name="20% - Accent4 4 2 2 4 3 4" xfId="28044" xr:uid="{00000000-0005-0000-0000-00007E2B0000}"/>
    <cellStyle name="20% - Accent4 4 2 2 4 4" xfId="7549" xr:uid="{00000000-0005-0000-0000-00007F2B0000}"/>
    <cellStyle name="20% - Accent4 4 2 2 4 4 2" xfId="18850" xr:uid="{00000000-0005-0000-0000-0000802B0000}"/>
    <cellStyle name="20% - Accent4 4 2 2 4 4 2 2" xfId="41452" xr:uid="{00000000-0005-0000-0000-0000812B0000}"/>
    <cellStyle name="20% - Accent4 4 2 2 4 4 3" xfId="30151" xr:uid="{00000000-0005-0000-0000-0000822B0000}"/>
    <cellStyle name="20% - Accent4 4 2 2 4 5" xfId="13200" xr:uid="{00000000-0005-0000-0000-0000832B0000}"/>
    <cellStyle name="20% - Accent4 4 2 2 4 5 2" xfId="35802" xr:uid="{00000000-0005-0000-0000-0000842B0000}"/>
    <cellStyle name="20% - Accent4 4 2 2 4 6" xfId="24501" xr:uid="{00000000-0005-0000-0000-0000852B0000}"/>
    <cellStyle name="20% - Accent4 4 2 2 5" xfId="2423" xr:uid="{00000000-0005-0000-0000-0000862B0000}"/>
    <cellStyle name="20% - Accent4 4 2 2 5 2" xfId="8259" xr:uid="{00000000-0005-0000-0000-0000872B0000}"/>
    <cellStyle name="20% - Accent4 4 2 2 5 2 2" xfId="19560" xr:uid="{00000000-0005-0000-0000-0000882B0000}"/>
    <cellStyle name="20% - Accent4 4 2 2 5 2 2 2" xfId="42162" xr:uid="{00000000-0005-0000-0000-0000892B0000}"/>
    <cellStyle name="20% - Accent4 4 2 2 5 2 3" xfId="30861" xr:uid="{00000000-0005-0000-0000-00008A2B0000}"/>
    <cellStyle name="20% - Accent4 4 2 2 5 3" xfId="13910" xr:uid="{00000000-0005-0000-0000-00008B2B0000}"/>
    <cellStyle name="20% - Accent4 4 2 2 5 3 2" xfId="36512" xr:uid="{00000000-0005-0000-0000-00008C2B0000}"/>
    <cellStyle name="20% - Accent4 4 2 2 5 4" xfId="25211" xr:uid="{00000000-0005-0000-0000-00008D2B0000}"/>
    <cellStyle name="20% - Accent4 4 2 2 6" xfId="4208" xr:uid="{00000000-0005-0000-0000-00008E2B0000}"/>
    <cellStyle name="20% - Accent4 4 2 2 6 2" xfId="9858" xr:uid="{00000000-0005-0000-0000-00008F2B0000}"/>
    <cellStyle name="20% - Accent4 4 2 2 6 2 2" xfId="21159" xr:uid="{00000000-0005-0000-0000-0000902B0000}"/>
    <cellStyle name="20% - Accent4 4 2 2 6 2 2 2" xfId="43761" xr:uid="{00000000-0005-0000-0000-0000912B0000}"/>
    <cellStyle name="20% - Accent4 4 2 2 6 2 3" xfId="32460" xr:uid="{00000000-0005-0000-0000-0000922B0000}"/>
    <cellStyle name="20% - Accent4 4 2 2 6 3" xfId="15509" xr:uid="{00000000-0005-0000-0000-0000932B0000}"/>
    <cellStyle name="20% - Accent4 4 2 2 6 3 2" xfId="38111" xr:uid="{00000000-0005-0000-0000-0000942B0000}"/>
    <cellStyle name="20% - Accent4 4 2 2 6 4" xfId="26810" xr:uid="{00000000-0005-0000-0000-0000952B0000}"/>
    <cellStyle name="20% - Accent4 4 2 2 7" xfId="6688" xr:uid="{00000000-0005-0000-0000-0000962B0000}"/>
    <cellStyle name="20% - Accent4 4 2 2 7 2" xfId="17989" xr:uid="{00000000-0005-0000-0000-0000972B0000}"/>
    <cellStyle name="20% - Accent4 4 2 2 7 2 2" xfId="40591" xr:uid="{00000000-0005-0000-0000-0000982B0000}"/>
    <cellStyle name="20% - Accent4 4 2 2 7 3" xfId="29290" xr:uid="{00000000-0005-0000-0000-0000992B0000}"/>
    <cellStyle name="20% - Accent4 4 2 2 8" xfId="12339" xr:uid="{00000000-0005-0000-0000-00009A2B0000}"/>
    <cellStyle name="20% - Accent4 4 2 2 8 2" xfId="34941" xr:uid="{00000000-0005-0000-0000-00009B2B0000}"/>
    <cellStyle name="20% - Accent4 4 2 2 9" xfId="23640" xr:uid="{00000000-0005-0000-0000-00009C2B0000}"/>
    <cellStyle name="20% - Accent4 4 2 3" xfId="1195" xr:uid="{00000000-0005-0000-0000-00009D2B0000}"/>
    <cellStyle name="20% - Accent4 4 2 3 2" xfId="1695" xr:uid="{00000000-0005-0000-0000-00009E2B0000}"/>
    <cellStyle name="20% - Accent4 4 2 3 2 2" xfId="3263" xr:uid="{00000000-0005-0000-0000-00009F2B0000}"/>
    <cellStyle name="20% - Accent4 4 2 3 2 2 2" xfId="6235" xr:uid="{00000000-0005-0000-0000-0000A02B0000}"/>
    <cellStyle name="20% - Accent4 4 2 3 2 2 2 2" xfId="11885" xr:uid="{00000000-0005-0000-0000-0000A12B0000}"/>
    <cellStyle name="20% - Accent4 4 2 3 2 2 2 2 2" xfId="23186" xr:uid="{00000000-0005-0000-0000-0000A22B0000}"/>
    <cellStyle name="20% - Accent4 4 2 3 2 2 2 2 2 2" xfId="45788" xr:uid="{00000000-0005-0000-0000-0000A32B0000}"/>
    <cellStyle name="20% - Accent4 4 2 3 2 2 2 2 3" xfId="34487" xr:uid="{00000000-0005-0000-0000-0000A42B0000}"/>
    <cellStyle name="20% - Accent4 4 2 3 2 2 2 3" xfId="17536" xr:uid="{00000000-0005-0000-0000-0000A52B0000}"/>
    <cellStyle name="20% - Accent4 4 2 3 2 2 2 3 2" xfId="40138" xr:uid="{00000000-0005-0000-0000-0000A62B0000}"/>
    <cellStyle name="20% - Accent4 4 2 3 2 2 2 4" xfId="28837" xr:uid="{00000000-0005-0000-0000-0000A72B0000}"/>
    <cellStyle name="20% - Accent4 4 2 3 2 2 3" xfId="9053" xr:uid="{00000000-0005-0000-0000-0000A82B0000}"/>
    <cellStyle name="20% - Accent4 4 2 3 2 2 3 2" xfId="20354" xr:uid="{00000000-0005-0000-0000-0000A92B0000}"/>
    <cellStyle name="20% - Accent4 4 2 3 2 2 3 2 2" xfId="42956" xr:uid="{00000000-0005-0000-0000-0000AA2B0000}"/>
    <cellStyle name="20% - Accent4 4 2 3 2 2 3 3" xfId="31655" xr:uid="{00000000-0005-0000-0000-0000AB2B0000}"/>
    <cellStyle name="20% - Accent4 4 2 3 2 2 4" xfId="14704" xr:uid="{00000000-0005-0000-0000-0000AC2B0000}"/>
    <cellStyle name="20% - Accent4 4 2 3 2 2 4 2" xfId="37306" xr:uid="{00000000-0005-0000-0000-0000AD2B0000}"/>
    <cellStyle name="20% - Accent4 4 2 3 2 2 5" xfId="26005" xr:uid="{00000000-0005-0000-0000-0000AE2B0000}"/>
    <cellStyle name="20% - Accent4 4 2 3 2 3" xfId="5001" xr:uid="{00000000-0005-0000-0000-0000AF2B0000}"/>
    <cellStyle name="20% - Accent4 4 2 3 2 3 2" xfId="10651" xr:uid="{00000000-0005-0000-0000-0000B02B0000}"/>
    <cellStyle name="20% - Accent4 4 2 3 2 3 2 2" xfId="21952" xr:uid="{00000000-0005-0000-0000-0000B12B0000}"/>
    <cellStyle name="20% - Accent4 4 2 3 2 3 2 2 2" xfId="44554" xr:uid="{00000000-0005-0000-0000-0000B22B0000}"/>
    <cellStyle name="20% - Accent4 4 2 3 2 3 2 3" xfId="33253" xr:uid="{00000000-0005-0000-0000-0000B32B0000}"/>
    <cellStyle name="20% - Accent4 4 2 3 2 3 3" xfId="16302" xr:uid="{00000000-0005-0000-0000-0000B42B0000}"/>
    <cellStyle name="20% - Accent4 4 2 3 2 3 3 2" xfId="38904" xr:uid="{00000000-0005-0000-0000-0000B52B0000}"/>
    <cellStyle name="20% - Accent4 4 2 3 2 3 4" xfId="27603" xr:uid="{00000000-0005-0000-0000-0000B62B0000}"/>
    <cellStyle name="20% - Accent4 4 2 3 2 4" xfId="7551" xr:uid="{00000000-0005-0000-0000-0000B72B0000}"/>
    <cellStyle name="20% - Accent4 4 2 3 2 4 2" xfId="18852" xr:uid="{00000000-0005-0000-0000-0000B82B0000}"/>
    <cellStyle name="20% - Accent4 4 2 3 2 4 2 2" xfId="41454" xr:uid="{00000000-0005-0000-0000-0000B92B0000}"/>
    <cellStyle name="20% - Accent4 4 2 3 2 4 3" xfId="30153" xr:uid="{00000000-0005-0000-0000-0000BA2B0000}"/>
    <cellStyle name="20% - Accent4 4 2 3 2 5" xfId="13202" xr:uid="{00000000-0005-0000-0000-0000BB2B0000}"/>
    <cellStyle name="20% - Accent4 4 2 3 2 5 2" xfId="35804" xr:uid="{00000000-0005-0000-0000-0000BC2B0000}"/>
    <cellStyle name="20% - Accent4 4 2 3 2 6" xfId="24503" xr:uid="{00000000-0005-0000-0000-0000BD2B0000}"/>
    <cellStyle name="20% - Accent4 4 2 3 3" xfId="2592" xr:uid="{00000000-0005-0000-0000-0000BE2B0000}"/>
    <cellStyle name="20% - Accent4 4 2 3 3 2" xfId="5611" xr:uid="{00000000-0005-0000-0000-0000BF2B0000}"/>
    <cellStyle name="20% - Accent4 4 2 3 3 2 2" xfId="11261" xr:uid="{00000000-0005-0000-0000-0000C02B0000}"/>
    <cellStyle name="20% - Accent4 4 2 3 3 2 2 2" xfId="22562" xr:uid="{00000000-0005-0000-0000-0000C12B0000}"/>
    <cellStyle name="20% - Accent4 4 2 3 3 2 2 2 2" xfId="45164" xr:uid="{00000000-0005-0000-0000-0000C22B0000}"/>
    <cellStyle name="20% - Accent4 4 2 3 3 2 2 3" xfId="33863" xr:uid="{00000000-0005-0000-0000-0000C32B0000}"/>
    <cellStyle name="20% - Accent4 4 2 3 3 2 3" xfId="16912" xr:uid="{00000000-0005-0000-0000-0000C42B0000}"/>
    <cellStyle name="20% - Accent4 4 2 3 3 2 3 2" xfId="39514" xr:uid="{00000000-0005-0000-0000-0000C52B0000}"/>
    <cellStyle name="20% - Accent4 4 2 3 3 2 4" xfId="28213" xr:uid="{00000000-0005-0000-0000-0000C62B0000}"/>
    <cellStyle name="20% - Accent4 4 2 3 3 3" xfId="8428" xr:uid="{00000000-0005-0000-0000-0000C72B0000}"/>
    <cellStyle name="20% - Accent4 4 2 3 3 3 2" xfId="19729" xr:uid="{00000000-0005-0000-0000-0000C82B0000}"/>
    <cellStyle name="20% - Accent4 4 2 3 3 3 2 2" xfId="42331" xr:uid="{00000000-0005-0000-0000-0000C92B0000}"/>
    <cellStyle name="20% - Accent4 4 2 3 3 3 3" xfId="31030" xr:uid="{00000000-0005-0000-0000-0000CA2B0000}"/>
    <cellStyle name="20% - Accent4 4 2 3 3 4" xfId="14079" xr:uid="{00000000-0005-0000-0000-0000CB2B0000}"/>
    <cellStyle name="20% - Accent4 4 2 3 3 4 2" xfId="36681" xr:uid="{00000000-0005-0000-0000-0000CC2B0000}"/>
    <cellStyle name="20% - Accent4 4 2 3 3 5" xfId="25380" xr:uid="{00000000-0005-0000-0000-0000CD2B0000}"/>
    <cellStyle name="20% - Accent4 4 2 3 4" xfId="4377" xr:uid="{00000000-0005-0000-0000-0000CE2B0000}"/>
    <cellStyle name="20% - Accent4 4 2 3 4 2" xfId="10027" xr:uid="{00000000-0005-0000-0000-0000CF2B0000}"/>
    <cellStyle name="20% - Accent4 4 2 3 4 2 2" xfId="21328" xr:uid="{00000000-0005-0000-0000-0000D02B0000}"/>
    <cellStyle name="20% - Accent4 4 2 3 4 2 2 2" xfId="43930" xr:uid="{00000000-0005-0000-0000-0000D12B0000}"/>
    <cellStyle name="20% - Accent4 4 2 3 4 2 3" xfId="32629" xr:uid="{00000000-0005-0000-0000-0000D22B0000}"/>
    <cellStyle name="20% - Accent4 4 2 3 4 3" xfId="15678" xr:uid="{00000000-0005-0000-0000-0000D32B0000}"/>
    <cellStyle name="20% - Accent4 4 2 3 4 3 2" xfId="38280" xr:uid="{00000000-0005-0000-0000-0000D42B0000}"/>
    <cellStyle name="20% - Accent4 4 2 3 4 4" xfId="26979" xr:uid="{00000000-0005-0000-0000-0000D52B0000}"/>
    <cellStyle name="20% - Accent4 4 2 3 5" xfId="7174" xr:uid="{00000000-0005-0000-0000-0000D62B0000}"/>
    <cellStyle name="20% - Accent4 4 2 3 5 2" xfId="18475" xr:uid="{00000000-0005-0000-0000-0000D72B0000}"/>
    <cellStyle name="20% - Accent4 4 2 3 5 2 2" xfId="41077" xr:uid="{00000000-0005-0000-0000-0000D82B0000}"/>
    <cellStyle name="20% - Accent4 4 2 3 5 3" xfId="29776" xr:uid="{00000000-0005-0000-0000-0000D92B0000}"/>
    <cellStyle name="20% - Accent4 4 2 3 6" xfId="12825" xr:uid="{00000000-0005-0000-0000-0000DA2B0000}"/>
    <cellStyle name="20% - Accent4 4 2 3 6 2" xfId="35427" xr:uid="{00000000-0005-0000-0000-0000DB2B0000}"/>
    <cellStyle name="20% - Accent4 4 2 3 7" xfId="24126" xr:uid="{00000000-0005-0000-0000-0000DC2B0000}"/>
    <cellStyle name="20% - Accent4 4 2 4" xfId="885" xr:uid="{00000000-0005-0000-0000-0000DD2B0000}"/>
    <cellStyle name="20% - Accent4 4 2 4 2" xfId="2956" xr:uid="{00000000-0005-0000-0000-0000DE2B0000}"/>
    <cellStyle name="20% - Accent4 4 2 4 2 2" xfId="5928" xr:uid="{00000000-0005-0000-0000-0000DF2B0000}"/>
    <cellStyle name="20% - Accent4 4 2 4 2 2 2" xfId="11578" xr:uid="{00000000-0005-0000-0000-0000E02B0000}"/>
    <cellStyle name="20% - Accent4 4 2 4 2 2 2 2" xfId="22879" xr:uid="{00000000-0005-0000-0000-0000E12B0000}"/>
    <cellStyle name="20% - Accent4 4 2 4 2 2 2 2 2" xfId="45481" xr:uid="{00000000-0005-0000-0000-0000E22B0000}"/>
    <cellStyle name="20% - Accent4 4 2 4 2 2 2 3" xfId="34180" xr:uid="{00000000-0005-0000-0000-0000E32B0000}"/>
    <cellStyle name="20% - Accent4 4 2 4 2 2 3" xfId="17229" xr:uid="{00000000-0005-0000-0000-0000E42B0000}"/>
    <cellStyle name="20% - Accent4 4 2 4 2 2 3 2" xfId="39831" xr:uid="{00000000-0005-0000-0000-0000E52B0000}"/>
    <cellStyle name="20% - Accent4 4 2 4 2 2 4" xfId="28530" xr:uid="{00000000-0005-0000-0000-0000E62B0000}"/>
    <cellStyle name="20% - Accent4 4 2 4 2 3" xfId="8746" xr:uid="{00000000-0005-0000-0000-0000E72B0000}"/>
    <cellStyle name="20% - Accent4 4 2 4 2 3 2" xfId="20047" xr:uid="{00000000-0005-0000-0000-0000E82B0000}"/>
    <cellStyle name="20% - Accent4 4 2 4 2 3 2 2" xfId="42649" xr:uid="{00000000-0005-0000-0000-0000E92B0000}"/>
    <cellStyle name="20% - Accent4 4 2 4 2 3 3" xfId="31348" xr:uid="{00000000-0005-0000-0000-0000EA2B0000}"/>
    <cellStyle name="20% - Accent4 4 2 4 2 4" xfId="14397" xr:uid="{00000000-0005-0000-0000-0000EB2B0000}"/>
    <cellStyle name="20% - Accent4 4 2 4 2 4 2" xfId="36999" xr:uid="{00000000-0005-0000-0000-0000EC2B0000}"/>
    <cellStyle name="20% - Accent4 4 2 4 2 5" xfId="25698" xr:uid="{00000000-0005-0000-0000-0000ED2B0000}"/>
    <cellStyle name="20% - Accent4 4 2 4 3" xfId="4694" xr:uid="{00000000-0005-0000-0000-0000EE2B0000}"/>
    <cellStyle name="20% - Accent4 4 2 4 3 2" xfId="10344" xr:uid="{00000000-0005-0000-0000-0000EF2B0000}"/>
    <cellStyle name="20% - Accent4 4 2 4 3 2 2" xfId="21645" xr:uid="{00000000-0005-0000-0000-0000F02B0000}"/>
    <cellStyle name="20% - Accent4 4 2 4 3 2 2 2" xfId="44247" xr:uid="{00000000-0005-0000-0000-0000F12B0000}"/>
    <cellStyle name="20% - Accent4 4 2 4 3 2 3" xfId="32946" xr:uid="{00000000-0005-0000-0000-0000F22B0000}"/>
    <cellStyle name="20% - Accent4 4 2 4 3 3" xfId="15995" xr:uid="{00000000-0005-0000-0000-0000F32B0000}"/>
    <cellStyle name="20% - Accent4 4 2 4 3 3 2" xfId="38597" xr:uid="{00000000-0005-0000-0000-0000F42B0000}"/>
    <cellStyle name="20% - Accent4 4 2 4 3 4" xfId="27296" xr:uid="{00000000-0005-0000-0000-0000F52B0000}"/>
    <cellStyle name="20% - Accent4 4 2 4 4" xfId="6881" xr:uid="{00000000-0005-0000-0000-0000F62B0000}"/>
    <cellStyle name="20% - Accent4 4 2 4 4 2" xfId="18182" xr:uid="{00000000-0005-0000-0000-0000F72B0000}"/>
    <cellStyle name="20% - Accent4 4 2 4 4 2 2" xfId="40784" xr:uid="{00000000-0005-0000-0000-0000F82B0000}"/>
    <cellStyle name="20% - Accent4 4 2 4 4 3" xfId="29483" xr:uid="{00000000-0005-0000-0000-0000F92B0000}"/>
    <cellStyle name="20% - Accent4 4 2 4 5" xfId="12532" xr:uid="{00000000-0005-0000-0000-0000FA2B0000}"/>
    <cellStyle name="20% - Accent4 4 2 4 5 2" xfId="35134" xr:uid="{00000000-0005-0000-0000-0000FB2B0000}"/>
    <cellStyle name="20% - Accent4 4 2 4 6" xfId="23833" xr:uid="{00000000-0005-0000-0000-0000FC2B0000}"/>
    <cellStyle name="20% - Accent4 4 2 5" xfId="1692" xr:uid="{00000000-0005-0000-0000-0000FD2B0000}"/>
    <cellStyle name="20% - Accent4 4 2 5 2" xfId="3642" xr:uid="{00000000-0005-0000-0000-0000FE2B0000}"/>
    <cellStyle name="20% - Accent4 4 2 5 2 2" xfId="9354" xr:uid="{00000000-0005-0000-0000-0000FF2B0000}"/>
    <cellStyle name="20% - Accent4 4 2 5 2 2 2" xfId="20655" xr:uid="{00000000-0005-0000-0000-0000002C0000}"/>
    <cellStyle name="20% - Accent4 4 2 5 2 2 2 2" xfId="43257" xr:uid="{00000000-0005-0000-0000-0000012C0000}"/>
    <cellStyle name="20% - Accent4 4 2 5 2 2 3" xfId="31956" xr:uid="{00000000-0005-0000-0000-0000022C0000}"/>
    <cellStyle name="20% - Accent4 4 2 5 2 3" xfId="15005" xr:uid="{00000000-0005-0000-0000-0000032C0000}"/>
    <cellStyle name="20% - Accent4 4 2 5 2 3 2" xfId="37607" xr:uid="{00000000-0005-0000-0000-0000042C0000}"/>
    <cellStyle name="20% - Accent4 4 2 5 2 4" xfId="26306" xr:uid="{00000000-0005-0000-0000-0000052C0000}"/>
    <cellStyle name="20% - Accent4 4 2 5 3" xfId="5304" xr:uid="{00000000-0005-0000-0000-0000062C0000}"/>
    <cellStyle name="20% - Accent4 4 2 5 3 2" xfId="10954" xr:uid="{00000000-0005-0000-0000-0000072C0000}"/>
    <cellStyle name="20% - Accent4 4 2 5 3 2 2" xfId="22255" xr:uid="{00000000-0005-0000-0000-0000082C0000}"/>
    <cellStyle name="20% - Accent4 4 2 5 3 2 2 2" xfId="44857" xr:uid="{00000000-0005-0000-0000-0000092C0000}"/>
    <cellStyle name="20% - Accent4 4 2 5 3 2 3" xfId="33556" xr:uid="{00000000-0005-0000-0000-00000A2C0000}"/>
    <cellStyle name="20% - Accent4 4 2 5 3 3" xfId="16605" xr:uid="{00000000-0005-0000-0000-00000B2C0000}"/>
    <cellStyle name="20% - Accent4 4 2 5 3 3 2" xfId="39207" xr:uid="{00000000-0005-0000-0000-00000C2C0000}"/>
    <cellStyle name="20% - Accent4 4 2 5 3 4" xfId="27906" xr:uid="{00000000-0005-0000-0000-00000D2C0000}"/>
    <cellStyle name="20% - Accent4 4 2 5 4" xfId="7548" xr:uid="{00000000-0005-0000-0000-00000E2C0000}"/>
    <cellStyle name="20% - Accent4 4 2 5 4 2" xfId="18849" xr:uid="{00000000-0005-0000-0000-00000F2C0000}"/>
    <cellStyle name="20% - Accent4 4 2 5 4 2 2" xfId="41451" xr:uid="{00000000-0005-0000-0000-0000102C0000}"/>
    <cellStyle name="20% - Accent4 4 2 5 4 3" xfId="30150" xr:uid="{00000000-0005-0000-0000-0000112C0000}"/>
    <cellStyle name="20% - Accent4 4 2 5 5" xfId="13199" xr:uid="{00000000-0005-0000-0000-0000122C0000}"/>
    <cellStyle name="20% - Accent4 4 2 5 5 2" xfId="35801" xr:uid="{00000000-0005-0000-0000-0000132C0000}"/>
    <cellStyle name="20% - Accent4 4 2 5 6" xfId="24500" xr:uid="{00000000-0005-0000-0000-0000142C0000}"/>
    <cellStyle name="20% - Accent4 4 2 6" xfId="2283" xr:uid="{00000000-0005-0000-0000-0000152C0000}"/>
    <cellStyle name="20% - Accent4 4 2 6 2" xfId="8119" xr:uid="{00000000-0005-0000-0000-0000162C0000}"/>
    <cellStyle name="20% - Accent4 4 2 6 2 2" xfId="19420" xr:uid="{00000000-0005-0000-0000-0000172C0000}"/>
    <cellStyle name="20% - Accent4 4 2 6 2 2 2" xfId="42022" xr:uid="{00000000-0005-0000-0000-0000182C0000}"/>
    <cellStyle name="20% - Accent4 4 2 6 2 3" xfId="30721" xr:uid="{00000000-0005-0000-0000-0000192C0000}"/>
    <cellStyle name="20% - Accent4 4 2 6 3" xfId="13770" xr:uid="{00000000-0005-0000-0000-00001A2C0000}"/>
    <cellStyle name="20% - Accent4 4 2 6 3 2" xfId="36372" xr:uid="{00000000-0005-0000-0000-00001B2C0000}"/>
    <cellStyle name="20% - Accent4 4 2 6 4" xfId="25071" xr:uid="{00000000-0005-0000-0000-00001C2C0000}"/>
    <cellStyle name="20% - Accent4 4 2 7" xfId="4070" xr:uid="{00000000-0005-0000-0000-00001D2C0000}"/>
    <cellStyle name="20% - Accent4 4 2 7 2" xfId="9720" xr:uid="{00000000-0005-0000-0000-00001E2C0000}"/>
    <cellStyle name="20% - Accent4 4 2 7 2 2" xfId="21021" xr:uid="{00000000-0005-0000-0000-00001F2C0000}"/>
    <cellStyle name="20% - Accent4 4 2 7 2 2 2" xfId="43623" xr:uid="{00000000-0005-0000-0000-0000202C0000}"/>
    <cellStyle name="20% - Accent4 4 2 7 2 3" xfId="32322" xr:uid="{00000000-0005-0000-0000-0000212C0000}"/>
    <cellStyle name="20% - Accent4 4 2 7 3" xfId="15371" xr:uid="{00000000-0005-0000-0000-0000222C0000}"/>
    <cellStyle name="20% - Accent4 4 2 7 3 2" xfId="37973" xr:uid="{00000000-0005-0000-0000-0000232C0000}"/>
    <cellStyle name="20% - Accent4 4 2 7 4" xfId="26672" xr:uid="{00000000-0005-0000-0000-0000242C0000}"/>
    <cellStyle name="20% - Accent4 4 2 8" xfId="6521" xr:uid="{00000000-0005-0000-0000-0000252C0000}"/>
    <cellStyle name="20% - Accent4 4 2 8 2" xfId="17822" xr:uid="{00000000-0005-0000-0000-0000262C0000}"/>
    <cellStyle name="20% - Accent4 4 2 8 2 2" xfId="40424" xr:uid="{00000000-0005-0000-0000-0000272C0000}"/>
    <cellStyle name="20% - Accent4 4 2 8 3" xfId="29123" xr:uid="{00000000-0005-0000-0000-0000282C0000}"/>
    <cellStyle name="20% - Accent4 4 2 9" xfId="12172" xr:uid="{00000000-0005-0000-0000-0000292C0000}"/>
    <cellStyle name="20% - Accent4 4 2 9 2" xfId="34774" xr:uid="{00000000-0005-0000-0000-00002A2C0000}"/>
    <cellStyle name="20% - Accent4 4 3" xfId="427" xr:uid="{00000000-0005-0000-0000-00002B2C0000}"/>
    <cellStyle name="20% - Accent4 4 3 10" xfId="23522" xr:uid="{00000000-0005-0000-0000-00002C2C0000}"/>
    <cellStyle name="20% - Accent4 4 3 2" xfId="672" xr:uid="{00000000-0005-0000-0000-00002D2C0000}"/>
    <cellStyle name="20% - Accent4 4 3 2 2" xfId="1382" xr:uid="{00000000-0005-0000-0000-00002E2C0000}"/>
    <cellStyle name="20% - Accent4 4 3 2 2 2" xfId="1698" xr:uid="{00000000-0005-0000-0000-00002F2C0000}"/>
    <cellStyle name="20% - Accent4 4 3 2 2 2 2" xfId="3451" xr:uid="{00000000-0005-0000-0000-0000302C0000}"/>
    <cellStyle name="20% - Accent4 4 3 2 2 2 2 2" xfId="6423" xr:uid="{00000000-0005-0000-0000-0000312C0000}"/>
    <cellStyle name="20% - Accent4 4 3 2 2 2 2 2 2" xfId="12073" xr:uid="{00000000-0005-0000-0000-0000322C0000}"/>
    <cellStyle name="20% - Accent4 4 3 2 2 2 2 2 2 2" xfId="23374" xr:uid="{00000000-0005-0000-0000-0000332C0000}"/>
    <cellStyle name="20% - Accent4 4 3 2 2 2 2 2 2 2 2" xfId="45976" xr:uid="{00000000-0005-0000-0000-0000342C0000}"/>
    <cellStyle name="20% - Accent4 4 3 2 2 2 2 2 2 3" xfId="34675" xr:uid="{00000000-0005-0000-0000-0000352C0000}"/>
    <cellStyle name="20% - Accent4 4 3 2 2 2 2 2 3" xfId="17724" xr:uid="{00000000-0005-0000-0000-0000362C0000}"/>
    <cellStyle name="20% - Accent4 4 3 2 2 2 2 2 3 2" xfId="40326" xr:uid="{00000000-0005-0000-0000-0000372C0000}"/>
    <cellStyle name="20% - Accent4 4 3 2 2 2 2 2 4" xfId="29025" xr:uid="{00000000-0005-0000-0000-0000382C0000}"/>
    <cellStyle name="20% - Accent4 4 3 2 2 2 2 3" xfId="9241" xr:uid="{00000000-0005-0000-0000-0000392C0000}"/>
    <cellStyle name="20% - Accent4 4 3 2 2 2 2 3 2" xfId="20542" xr:uid="{00000000-0005-0000-0000-00003A2C0000}"/>
    <cellStyle name="20% - Accent4 4 3 2 2 2 2 3 2 2" xfId="43144" xr:uid="{00000000-0005-0000-0000-00003B2C0000}"/>
    <cellStyle name="20% - Accent4 4 3 2 2 2 2 3 3" xfId="31843" xr:uid="{00000000-0005-0000-0000-00003C2C0000}"/>
    <cellStyle name="20% - Accent4 4 3 2 2 2 2 4" xfId="14892" xr:uid="{00000000-0005-0000-0000-00003D2C0000}"/>
    <cellStyle name="20% - Accent4 4 3 2 2 2 2 4 2" xfId="37494" xr:uid="{00000000-0005-0000-0000-00003E2C0000}"/>
    <cellStyle name="20% - Accent4 4 3 2 2 2 2 5" xfId="26193" xr:uid="{00000000-0005-0000-0000-00003F2C0000}"/>
    <cellStyle name="20% - Accent4 4 3 2 2 2 3" xfId="5189" xr:uid="{00000000-0005-0000-0000-0000402C0000}"/>
    <cellStyle name="20% - Accent4 4 3 2 2 2 3 2" xfId="10839" xr:uid="{00000000-0005-0000-0000-0000412C0000}"/>
    <cellStyle name="20% - Accent4 4 3 2 2 2 3 2 2" xfId="22140" xr:uid="{00000000-0005-0000-0000-0000422C0000}"/>
    <cellStyle name="20% - Accent4 4 3 2 2 2 3 2 2 2" xfId="44742" xr:uid="{00000000-0005-0000-0000-0000432C0000}"/>
    <cellStyle name="20% - Accent4 4 3 2 2 2 3 2 3" xfId="33441" xr:uid="{00000000-0005-0000-0000-0000442C0000}"/>
    <cellStyle name="20% - Accent4 4 3 2 2 2 3 3" xfId="16490" xr:uid="{00000000-0005-0000-0000-0000452C0000}"/>
    <cellStyle name="20% - Accent4 4 3 2 2 2 3 3 2" xfId="39092" xr:uid="{00000000-0005-0000-0000-0000462C0000}"/>
    <cellStyle name="20% - Accent4 4 3 2 2 2 3 4" xfId="27791" xr:uid="{00000000-0005-0000-0000-0000472C0000}"/>
    <cellStyle name="20% - Accent4 4 3 2 2 2 4" xfId="7554" xr:uid="{00000000-0005-0000-0000-0000482C0000}"/>
    <cellStyle name="20% - Accent4 4 3 2 2 2 4 2" xfId="18855" xr:uid="{00000000-0005-0000-0000-0000492C0000}"/>
    <cellStyle name="20% - Accent4 4 3 2 2 2 4 2 2" xfId="41457" xr:uid="{00000000-0005-0000-0000-00004A2C0000}"/>
    <cellStyle name="20% - Accent4 4 3 2 2 2 4 3" xfId="30156" xr:uid="{00000000-0005-0000-0000-00004B2C0000}"/>
    <cellStyle name="20% - Accent4 4 3 2 2 2 5" xfId="13205" xr:uid="{00000000-0005-0000-0000-00004C2C0000}"/>
    <cellStyle name="20% - Accent4 4 3 2 2 2 5 2" xfId="35807" xr:uid="{00000000-0005-0000-0000-00004D2C0000}"/>
    <cellStyle name="20% - Accent4 4 3 2 2 2 6" xfId="24506" xr:uid="{00000000-0005-0000-0000-00004E2C0000}"/>
    <cellStyle name="20% - Accent4 4 3 2 2 3" xfId="2780" xr:uid="{00000000-0005-0000-0000-00004F2C0000}"/>
    <cellStyle name="20% - Accent4 4 3 2 2 3 2" xfId="5799" xr:uid="{00000000-0005-0000-0000-0000502C0000}"/>
    <cellStyle name="20% - Accent4 4 3 2 2 3 2 2" xfId="11449" xr:uid="{00000000-0005-0000-0000-0000512C0000}"/>
    <cellStyle name="20% - Accent4 4 3 2 2 3 2 2 2" xfId="22750" xr:uid="{00000000-0005-0000-0000-0000522C0000}"/>
    <cellStyle name="20% - Accent4 4 3 2 2 3 2 2 2 2" xfId="45352" xr:uid="{00000000-0005-0000-0000-0000532C0000}"/>
    <cellStyle name="20% - Accent4 4 3 2 2 3 2 2 3" xfId="34051" xr:uid="{00000000-0005-0000-0000-0000542C0000}"/>
    <cellStyle name="20% - Accent4 4 3 2 2 3 2 3" xfId="17100" xr:uid="{00000000-0005-0000-0000-0000552C0000}"/>
    <cellStyle name="20% - Accent4 4 3 2 2 3 2 3 2" xfId="39702" xr:uid="{00000000-0005-0000-0000-0000562C0000}"/>
    <cellStyle name="20% - Accent4 4 3 2 2 3 2 4" xfId="28401" xr:uid="{00000000-0005-0000-0000-0000572C0000}"/>
    <cellStyle name="20% - Accent4 4 3 2 2 3 3" xfId="8616" xr:uid="{00000000-0005-0000-0000-0000582C0000}"/>
    <cellStyle name="20% - Accent4 4 3 2 2 3 3 2" xfId="19917" xr:uid="{00000000-0005-0000-0000-0000592C0000}"/>
    <cellStyle name="20% - Accent4 4 3 2 2 3 3 2 2" xfId="42519" xr:uid="{00000000-0005-0000-0000-00005A2C0000}"/>
    <cellStyle name="20% - Accent4 4 3 2 2 3 3 3" xfId="31218" xr:uid="{00000000-0005-0000-0000-00005B2C0000}"/>
    <cellStyle name="20% - Accent4 4 3 2 2 3 4" xfId="14267" xr:uid="{00000000-0005-0000-0000-00005C2C0000}"/>
    <cellStyle name="20% - Accent4 4 3 2 2 3 4 2" xfId="36869" xr:uid="{00000000-0005-0000-0000-00005D2C0000}"/>
    <cellStyle name="20% - Accent4 4 3 2 2 3 5" xfId="25568" xr:uid="{00000000-0005-0000-0000-00005E2C0000}"/>
    <cellStyle name="20% - Accent4 4 3 2 2 4" xfId="4565" xr:uid="{00000000-0005-0000-0000-00005F2C0000}"/>
    <cellStyle name="20% - Accent4 4 3 2 2 4 2" xfId="10215" xr:uid="{00000000-0005-0000-0000-0000602C0000}"/>
    <cellStyle name="20% - Accent4 4 3 2 2 4 2 2" xfId="21516" xr:uid="{00000000-0005-0000-0000-0000612C0000}"/>
    <cellStyle name="20% - Accent4 4 3 2 2 4 2 2 2" xfId="44118" xr:uid="{00000000-0005-0000-0000-0000622C0000}"/>
    <cellStyle name="20% - Accent4 4 3 2 2 4 2 3" xfId="32817" xr:uid="{00000000-0005-0000-0000-0000632C0000}"/>
    <cellStyle name="20% - Accent4 4 3 2 2 4 3" xfId="15866" xr:uid="{00000000-0005-0000-0000-0000642C0000}"/>
    <cellStyle name="20% - Accent4 4 3 2 2 4 3 2" xfId="38468" xr:uid="{00000000-0005-0000-0000-0000652C0000}"/>
    <cellStyle name="20% - Accent4 4 3 2 2 4 4" xfId="27167" xr:uid="{00000000-0005-0000-0000-0000662C0000}"/>
    <cellStyle name="20% - Accent4 4 3 2 2 5" xfId="7361" xr:uid="{00000000-0005-0000-0000-0000672C0000}"/>
    <cellStyle name="20% - Accent4 4 3 2 2 5 2" xfId="18662" xr:uid="{00000000-0005-0000-0000-0000682C0000}"/>
    <cellStyle name="20% - Accent4 4 3 2 2 5 2 2" xfId="41264" xr:uid="{00000000-0005-0000-0000-0000692C0000}"/>
    <cellStyle name="20% - Accent4 4 3 2 2 5 3" xfId="29963" xr:uid="{00000000-0005-0000-0000-00006A2C0000}"/>
    <cellStyle name="20% - Accent4 4 3 2 2 6" xfId="13012" xr:uid="{00000000-0005-0000-0000-00006B2C0000}"/>
    <cellStyle name="20% - Accent4 4 3 2 2 6 2" xfId="35614" xr:uid="{00000000-0005-0000-0000-00006C2C0000}"/>
    <cellStyle name="20% - Accent4 4 3 2 2 7" xfId="24313" xr:uid="{00000000-0005-0000-0000-00006D2C0000}"/>
    <cellStyle name="20% - Accent4 4 3 2 3" xfId="1080" xr:uid="{00000000-0005-0000-0000-00006E2C0000}"/>
    <cellStyle name="20% - Accent4 4 3 2 3 2" xfId="3143" xr:uid="{00000000-0005-0000-0000-00006F2C0000}"/>
    <cellStyle name="20% - Accent4 4 3 2 3 2 2" xfId="6115" xr:uid="{00000000-0005-0000-0000-0000702C0000}"/>
    <cellStyle name="20% - Accent4 4 3 2 3 2 2 2" xfId="11765" xr:uid="{00000000-0005-0000-0000-0000712C0000}"/>
    <cellStyle name="20% - Accent4 4 3 2 3 2 2 2 2" xfId="23066" xr:uid="{00000000-0005-0000-0000-0000722C0000}"/>
    <cellStyle name="20% - Accent4 4 3 2 3 2 2 2 2 2" xfId="45668" xr:uid="{00000000-0005-0000-0000-0000732C0000}"/>
    <cellStyle name="20% - Accent4 4 3 2 3 2 2 2 3" xfId="34367" xr:uid="{00000000-0005-0000-0000-0000742C0000}"/>
    <cellStyle name="20% - Accent4 4 3 2 3 2 2 3" xfId="17416" xr:uid="{00000000-0005-0000-0000-0000752C0000}"/>
    <cellStyle name="20% - Accent4 4 3 2 3 2 2 3 2" xfId="40018" xr:uid="{00000000-0005-0000-0000-0000762C0000}"/>
    <cellStyle name="20% - Accent4 4 3 2 3 2 2 4" xfId="28717" xr:uid="{00000000-0005-0000-0000-0000772C0000}"/>
    <cellStyle name="20% - Accent4 4 3 2 3 2 3" xfId="8933" xr:uid="{00000000-0005-0000-0000-0000782C0000}"/>
    <cellStyle name="20% - Accent4 4 3 2 3 2 3 2" xfId="20234" xr:uid="{00000000-0005-0000-0000-0000792C0000}"/>
    <cellStyle name="20% - Accent4 4 3 2 3 2 3 2 2" xfId="42836" xr:uid="{00000000-0005-0000-0000-00007A2C0000}"/>
    <cellStyle name="20% - Accent4 4 3 2 3 2 3 3" xfId="31535" xr:uid="{00000000-0005-0000-0000-00007B2C0000}"/>
    <cellStyle name="20% - Accent4 4 3 2 3 2 4" xfId="14584" xr:uid="{00000000-0005-0000-0000-00007C2C0000}"/>
    <cellStyle name="20% - Accent4 4 3 2 3 2 4 2" xfId="37186" xr:uid="{00000000-0005-0000-0000-00007D2C0000}"/>
    <cellStyle name="20% - Accent4 4 3 2 3 2 5" xfId="25885" xr:uid="{00000000-0005-0000-0000-00007E2C0000}"/>
    <cellStyle name="20% - Accent4 4 3 2 3 3" xfId="4881" xr:uid="{00000000-0005-0000-0000-00007F2C0000}"/>
    <cellStyle name="20% - Accent4 4 3 2 3 3 2" xfId="10531" xr:uid="{00000000-0005-0000-0000-0000802C0000}"/>
    <cellStyle name="20% - Accent4 4 3 2 3 3 2 2" xfId="21832" xr:uid="{00000000-0005-0000-0000-0000812C0000}"/>
    <cellStyle name="20% - Accent4 4 3 2 3 3 2 2 2" xfId="44434" xr:uid="{00000000-0005-0000-0000-0000822C0000}"/>
    <cellStyle name="20% - Accent4 4 3 2 3 3 2 3" xfId="33133" xr:uid="{00000000-0005-0000-0000-0000832C0000}"/>
    <cellStyle name="20% - Accent4 4 3 2 3 3 3" xfId="16182" xr:uid="{00000000-0005-0000-0000-0000842C0000}"/>
    <cellStyle name="20% - Accent4 4 3 2 3 3 3 2" xfId="38784" xr:uid="{00000000-0005-0000-0000-0000852C0000}"/>
    <cellStyle name="20% - Accent4 4 3 2 3 3 4" xfId="27483" xr:uid="{00000000-0005-0000-0000-0000862C0000}"/>
    <cellStyle name="20% - Accent4 4 3 2 3 4" xfId="7068" xr:uid="{00000000-0005-0000-0000-0000872C0000}"/>
    <cellStyle name="20% - Accent4 4 3 2 3 4 2" xfId="18369" xr:uid="{00000000-0005-0000-0000-0000882C0000}"/>
    <cellStyle name="20% - Accent4 4 3 2 3 4 2 2" xfId="40971" xr:uid="{00000000-0005-0000-0000-0000892C0000}"/>
    <cellStyle name="20% - Accent4 4 3 2 3 4 3" xfId="29670" xr:uid="{00000000-0005-0000-0000-00008A2C0000}"/>
    <cellStyle name="20% - Accent4 4 3 2 3 5" xfId="12719" xr:uid="{00000000-0005-0000-0000-00008B2C0000}"/>
    <cellStyle name="20% - Accent4 4 3 2 3 5 2" xfId="35321" xr:uid="{00000000-0005-0000-0000-00008C2C0000}"/>
    <cellStyle name="20% - Accent4 4 3 2 3 6" xfId="24020" xr:uid="{00000000-0005-0000-0000-00008D2C0000}"/>
    <cellStyle name="20% - Accent4 4 3 2 4" xfId="1697" xr:uid="{00000000-0005-0000-0000-00008E2C0000}"/>
    <cellStyle name="20% - Accent4 4 3 2 4 2" xfId="3645" xr:uid="{00000000-0005-0000-0000-00008F2C0000}"/>
    <cellStyle name="20% - Accent4 4 3 2 4 2 2" xfId="9357" xr:uid="{00000000-0005-0000-0000-0000902C0000}"/>
    <cellStyle name="20% - Accent4 4 3 2 4 2 2 2" xfId="20658" xr:uid="{00000000-0005-0000-0000-0000912C0000}"/>
    <cellStyle name="20% - Accent4 4 3 2 4 2 2 2 2" xfId="43260" xr:uid="{00000000-0005-0000-0000-0000922C0000}"/>
    <cellStyle name="20% - Accent4 4 3 2 4 2 2 3" xfId="31959" xr:uid="{00000000-0005-0000-0000-0000932C0000}"/>
    <cellStyle name="20% - Accent4 4 3 2 4 2 3" xfId="15008" xr:uid="{00000000-0005-0000-0000-0000942C0000}"/>
    <cellStyle name="20% - Accent4 4 3 2 4 2 3 2" xfId="37610" xr:uid="{00000000-0005-0000-0000-0000952C0000}"/>
    <cellStyle name="20% - Accent4 4 3 2 4 2 4" xfId="26309" xr:uid="{00000000-0005-0000-0000-0000962C0000}"/>
    <cellStyle name="20% - Accent4 4 3 2 4 3" xfId="5491" xr:uid="{00000000-0005-0000-0000-0000972C0000}"/>
    <cellStyle name="20% - Accent4 4 3 2 4 3 2" xfId="11141" xr:uid="{00000000-0005-0000-0000-0000982C0000}"/>
    <cellStyle name="20% - Accent4 4 3 2 4 3 2 2" xfId="22442" xr:uid="{00000000-0005-0000-0000-0000992C0000}"/>
    <cellStyle name="20% - Accent4 4 3 2 4 3 2 2 2" xfId="45044" xr:uid="{00000000-0005-0000-0000-00009A2C0000}"/>
    <cellStyle name="20% - Accent4 4 3 2 4 3 2 3" xfId="33743" xr:uid="{00000000-0005-0000-0000-00009B2C0000}"/>
    <cellStyle name="20% - Accent4 4 3 2 4 3 3" xfId="16792" xr:uid="{00000000-0005-0000-0000-00009C2C0000}"/>
    <cellStyle name="20% - Accent4 4 3 2 4 3 3 2" xfId="39394" xr:uid="{00000000-0005-0000-0000-00009D2C0000}"/>
    <cellStyle name="20% - Accent4 4 3 2 4 3 4" xfId="28093" xr:uid="{00000000-0005-0000-0000-00009E2C0000}"/>
    <cellStyle name="20% - Accent4 4 3 2 4 4" xfId="7553" xr:uid="{00000000-0005-0000-0000-00009F2C0000}"/>
    <cellStyle name="20% - Accent4 4 3 2 4 4 2" xfId="18854" xr:uid="{00000000-0005-0000-0000-0000A02C0000}"/>
    <cellStyle name="20% - Accent4 4 3 2 4 4 2 2" xfId="41456" xr:uid="{00000000-0005-0000-0000-0000A12C0000}"/>
    <cellStyle name="20% - Accent4 4 3 2 4 4 3" xfId="30155" xr:uid="{00000000-0005-0000-0000-0000A22C0000}"/>
    <cellStyle name="20% - Accent4 4 3 2 4 5" xfId="13204" xr:uid="{00000000-0005-0000-0000-0000A32C0000}"/>
    <cellStyle name="20% - Accent4 4 3 2 4 5 2" xfId="35806" xr:uid="{00000000-0005-0000-0000-0000A42C0000}"/>
    <cellStyle name="20% - Accent4 4 3 2 4 6" xfId="24505" xr:uid="{00000000-0005-0000-0000-0000A52C0000}"/>
    <cellStyle name="20% - Accent4 4 3 2 5" xfId="2472" xr:uid="{00000000-0005-0000-0000-0000A62C0000}"/>
    <cellStyle name="20% - Accent4 4 3 2 5 2" xfId="8308" xr:uid="{00000000-0005-0000-0000-0000A72C0000}"/>
    <cellStyle name="20% - Accent4 4 3 2 5 2 2" xfId="19609" xr:uid="{00000000-0005-0000-0000-0000A82C0000}"/>
    <cellStyle name="20% - Accent4 4 3 2 5 2 2 2" xfId="42211" xr:uid="{00000000-0005-0000-0000-0000A92C0000}"/>
    <cellStyle name="20% - Accent4 4 3 2 5 2 3" xfId="30910" xr:uid="{00000000-0005-0000-0000-0000AA2C0000}"/>
    <cellStyle name="20% - Accent4 4 3 2 5 3" xfId="13959" xr:uid="{00000000-0005-0000-0000-0000AB2C0000}"/>
    <cellStyle name="20% - Accent4 4 3 2 5 3 2" xfId="36561" xr:uid="{00000000-0005-0000-0000-0000AC2C0000}"/>
    <cellStyle name="20% - Accent4 4 3 2 5 4" xfId="25260" xr:uid="{00000000-0005-0000-0000-0000AD2C0000}"/>
    <cellStyle name="20% - Accent4 4 3 2 6" xfId="4257" xr:uid="{00000000-0005-0000-0000-0000AE2C0000}"/>
    <cellStyle name="20% - Accent4 4 3 2 6 2" xfId="9907" xr:uid="{00000000-0005-0000-0000-0000AF2C0000}"/>
    <cellStyle name="20% - Accent4 4 3 2 6 2 2" xfId="21208" xr:uid="{00000000-0005-0000-0000-0000B02C0000}"/>
    <cellStyle name="20% - Accent4 4 3 2 6 2 2 2" xfId="43810" xr:uid="{00000000-0005-0000-0000-0000B12C0000}"/>
    <cellStyle name="20% - Accent4 4 3 2 6 2 3" xfId="32509" xr:uid="{00000000-0005-0000-0000-0000B22C0000}"/>
    <cellStyle name="20% - Accent4 4 3 2 6 3" xfId="15558" xr:uid="{00000000-0005-0000-0000-0000B32C0000}"/>
    <cellStyle name="20% - Accent4 4 3 2 6 3 2" xfId="38160" xr:uid="{00000000-0005-0000-0000-0000B42C0000}"/>
    <cellStyle name="20% - Accent4 4 3 2 6 4" xfId="26859" xr:uid="{00000000-0005-0000-0000-0000B52C0000}"/>
    <cellStyle name="20% - Accent4 4 3 2 7" xfId="6737" xr:uid="{00000000-0005-0000-0000-0000B62C0000}"/>
    <cellStyle name="20% - Accent4 4 3 2 7 2" xfId="18038" xr:uid="{00000000-0005-0000-0000-0000B72C0000}"/>
    <cellStyle name="20% - Accent4 4 3 2 7 2 2" xfId="40640" xr:uid="{00000000-0005-0000-0000-0000B82C0000}"/>
    <cellStyle name="20% - Accent4 4 3 2 7 3" xfId="29339" xr:uid="{00000000-0005-0000-0000-0000B92C0000}"/>
    <cellStyle name="20% - Accent4 4 3 2 8" xfId="12388" xr:uid="{00000000-0005-0000-0000-0000BA2C0000}"/>
    <cellStyle name="20% - Accent4 4 3 2 8 2" xfId="34990" xr:uid="{00000000-0005-0000-0000-0000BB2C0000}"/>
    <cellStyle name="20% - Accent4 4 3 2 9" xfId="23689" xr:uid="{00000000-0005-0000-0000-0000BC2C0000}"/>
    <cellStyle name="20% - Accent4 4 3 3" xfId="1244" xr:uid="{00000000-0005-0000-0000-0000BD2C0000}"/>
    <cellStyle name="20% - Accent4 4 3 3 2" xfId="1699" xr:uid="{00000000-0005-0000-0000-0000BE2C0000}"/>
    <cellStyle name="20% - Accent4 4 3 3 2 2" xfId="3312" xr:uid="{00000000-0005-0000-0000-0000BF2C0000}"/>
    <cellStyle name="20% - Accent4 4 3 3 2 2 2" xfId="6284" xr:uid="{00000000-0005-0000-0000-0000C02C0000}"/>
    <cellStyle name="20% - Accent4 4 3 3 2 2 2 2" xfId="11934" xr:uid="{00000000-0005-0000-0000-0000C12C0000}"/>
    <cellStyle name="20% - Accent4 4 3 3 2 2 2 2 2" xfId="23235" xr:uid="{00000000-0005-0000-0000-0000C22C0000}"/>
    <cellStyle name="20% - Accent4 4 3 3 2 2 2 2 2 2" xfId="45837" xr:uid="{00000000-0005-0000-0000-0000C32C0000}"/>
    <cellStyle name="20% - Accent4 4 3 3 2 2 2 2 3" xfId="34536" xr:uid="{00000000-0005-0000-0000-0000C42C0000}"/>
    <cellStyle name="20% - Accent4 4 3 3 2 2 2 3" xfId="17585" xr:uid="{00000000-0005-0000-0000-0000C52C0000}"/>
    <cellStyle name="20% - Accent4 4 3 3 2 2 2 3 2" xfId="40187" xr:uid="{00000000-0005-0000-0000-0000C62C0000}"/>
    <cellStyle name="20% - Accent4 4 3 3 2 2 2 4" xfId="28886" xr:uid="{00000000-0005-0000-0000-0000C72C0000}"/>
    <cellStyle name="20% - Accent4 4 3 3 2 2 3" xfId="9102" xr:uid="{00000000-0005-0000-0000-0000C82C0000}"/>
    <cellStyle name="20% - Accent4 4 3 3 2 2 3 2" xfId="20403" xr:uid="{00000000-0005-0000-0000-0000C92C0000}"/>
    <cellStyle name="20% - Accent4 4 3 3 2 2 3 2 2" xfId="43005" xr:uid="{00000000-0005-0000-0000-0000CA2C0000}"/>
    <cellStyle name="20% - Accent4 4 3 3 2 2 3 3" xfId="31704" xr:uid="{00000000-0005-0000-0000-0000CB2C0000}"/>
    <cellStyle name="20% - Accent4 4 3 3 2 2 4" xfId="14753" xr:uid="{00000000-0005-0000-0000-0000CC2C0000}"/>
    <cellStyle name="20% - Accent4 4 3 3 2 2 4 2" xfId="37355" xr:uid="{00000000-0005-0000-0000-0000CD2C0000}"/>
    <cellStyle name="20% - Accent4 4 3 3 2 2 5" xfId="26054" xr:uid="{00000000-0005-0000-0000-0000CE2C0000}"/>
    <cellStyle name="20% - Accent4 4 3 3 2 3" xfId="5050" xr:uid="{00000000-0005-0000-0000-0000CF2C0000}"/>
    <cellStyle name="20% - Accent4 4 3 3 2 3 2" xfId="10700" xr:uid="{00000000-0005-0000-0000-0000D02C0000}"/>
    <cellStyle name="20% - Accent4 4 3 3 2 3 2 2" xfId="22001" xr:uid="{00000000-0005-0000-0000-0000D12C0000}"/>
    <cellStyle name="20% - Accent4 4 3 3 2 3 2 2 2" xfId="44603" xr:uid="{00000000-0005-0000-0000-0000D22C0000}"/>
    <cellStyle name="20% - Accent4 4 3 3 2 3 2 3" xfId="33302" xr:uid="{00000000-0005-0000-0000-0000D32C0000}"/>
    <cellStyle name="20% - Accent4 4 3 3 2 3 3" xfId="16351" xr:uid="{00000000-0005-0000-0000-0000D42C0000}"/>
    <cellStyle name="20% - Accent4 4 3 3 2 3 3 2" xfId="38953" xr:uid="{00000000-0005-0000-0000-0000D52C0000}"/>
    <cellStyle name="20% - Accent4 4 3 3 2 3 4" xfId="27652" xr:uid="{00000000-0005-0000-0000-0000D62C0000}"/>
    <cellStyle name="20% - Accent4 4 3 3 2 4" xfId="7555" xr:uid="{00000000-0005-0000-0000-0000D72C0000}"/>
    <cellStyle name="20% - Accent4 4 3 3 2 4 2" xfId="18856" xr:uid="{00000000-0005-0000-0000-0000D82C0000}"/>
    <cellStyle name="20% - Accent4 4 3 3 2 4 2 2" xfId="41458" xr:uid="{00000000-0005-0000-0000-0000D92C0000}"/>
    <cellStyle name="20% - Accent4 4 3 3 2 4 3" xfId="30157" xr:uid="{00000000-0005-0000-0000-0000DA2C0000}"/>
    <cellStyle name="20% - Accent4 4 3 3 2 5" xfId="13206" xr:uid="{00000000-0005-0000-0000-0000DB2C0000}"/>
    <cellStyle name="20% - Accent4 4 3 3 2 5 2" xfId="35808" xr:uid="{00000000-0005-0000-0000-0000DC2C0000}"/>
    <cellStyle name="20% - Accent4 4 3 3 2 6" xfId="24507" xr:uid="{00000000-0005-0000-0000-0000DD2C0000}"/>
    <cellStyle name="20% - Accent4 4 3 3 3" xfId="2641" xr:uid="{00000000-0005-0000-0000-0000DE2C0000}"/>
    <cellStyle name="20% - Accent4 4 3 3 3 2" xfId="5660" xr:uid="{00000000-0005-0000-0000-0000DF2C0000}"/>
    <cellStyle name="20% - Accent4 4 3 3 3 2 2" xfId="11310" xr:uid="{00000000-0005-0000-0000-0000E02C0000}"/>
    <cellStyle name="20% - Accent4 4 3 3 3 2 2 2" xfId="22611" xr:uid="{00000000-0005-0000-0000-0000E12C0000}"/>
    <cellStyle name="20% - Accent4 4 3 3 3 2 2 2 2" xfId="45213" xr:uid="{00000000-0005-0000-0000-0000E22C0000}"/>
    <cellStyle name="20% - Accent4 4 3 3 3 2 2 3" xfId="33912" xr:uid="{00000000-0005-0000-0000-0000E32C0000}"/>
    <cellStyle name="20% - Accent4 4 3 3 3 2 3" xfId="16961" xr:uid="{00000000-0005-0000-0000-0000E42C0000}"/>
    <cellStyle name="20% - Accent4 4 3 3 3 2 3 2" xfId="39563" xr:uid="{00000000-0005-0000-0000-0000E52C0000}"/>
    <cellStyle name="20% - Accent4 4 3 3 3 2 4" xfId="28262" xr:uid="{00000000-0005-0000-0000-0000E62C0000}"/>
    <cellStyle name="20% - Accent4 4 3 3 3 3" xfId="8477" xr:uid="{00000000-0005-0000-0000-0000E72C0000}"/>
    <cellStyle name="20% - Accent4 4 3 3 3 3 2" xfId="19778" xr:uid="{00000000-0005-0000-0000-0000E82C0000}"/>
    <cellStyle name="20% - Accent4 4 3 3 3 3 2 2" xfId="42380" xr:uid="{00000000-0005-0000-0000-0000E92C0000}"/>
    <cellStyle name="20% - Accent4 4 3 3 3 3 3" xfId="31079" xr:uid="{00000000-0005-0000-0000-0000EA2C0000}"/>
    <cellStyle name="20% - Accent4 4 3 3 3 4" xfId="14128" xr:uid="{00000000-0005-0000-0000-0000EB2C0000}"/>
    <cellStyle name="20% - Accent4 4 3 3 3 4 2" xfId="36730" xr:uid="{00000000-0005-0000-0000-0000EC2C0000}"/>
    <cellStyle name="20% - Accent4 4 3 3 3 5" xfId="25429" xr:uid="{00000000-0005-0000-0000-0000ED2C0000}"/>
    <cellStyle name="20% - Accent4 4 3 3 4" xfId="4426" xr:uid="{00000000-0005-0000-0000-0000EE2C0000}"/>
    <cellStyle name="20% - Accent4 4 3 3 4 2" xfId="10076" xr:uid="{00000000-0005-0000-0000-0000EF2C0000}"/>
    <cellStyle name="20% - Accent4 4 3 3 4 2 2" xfId="21377" xr:uid="{00000000-0005-0000-0000-0000F02C0000}"/>
    <cellStyle name="20% - Accent4 4 3 3 4 2 2 2" xfId="43979" xr:uid="{00000000-0005-0000-0000-0000F12C0000}"/>
    <cellStyle name="20% - Accent4 4 3 3 4 2 3" xfId="32678" xr:uid="{00000000-0005-0000-0000-0000F22C0000}"/>
    <cellStyle name="20% - Accent4 4 3 3 4 3" xfId="15727" xr:uid="{00000000-0005-0000-0000-0000F32C0000}"/>
    <cellStyle name="20% - Accent4 4 3 3 4 3 2" xfId="38329" xr:uid="{00000000-0005-0000-0000-0000F42C0000}"/>
    <cellStyle name="20% - Accent4 4 3 3 4 4" xfId="27028" xr:uid="{00000000-0005-0000-0000-0000F52C0000}"/>
    <cellStyle name="20% - Accent4 4 3 3 5" xfId="7223" xr:uid="{00000000-0005-0000-0000-0000F62C0000}"/>
    <cellStyle name="20% - Accent4 4 3 3 5 2" xfId="18524" xr:uid="{00000000-0005-0000-0000-0000F72C0000}"/>
    <cellStyle name="20% - Accent4 4 3 3 5 2 2" xfId="41126" xr:uid="{00000000-0005-0000-0000-0000F82C0000}"/>
    <cellStyle name="20% - Accent4 4 3 3 5 3" xfId="29825" xr:uid="{00000000-0005-0000-0000-0000F92C0000}"/>
    <cellStyle name="20% - Accent4 4 3 3 6" xfId="12874" xr:uid="{00000000-0005-0000-0000-0000FA2C0000}"/>
    <cellStyle name="20% - Accent4 4 3 3 6 2" xfId="35476" xr:uid="{00000000-0005-0000-0000-0000FB2C0000}"/>
    <cellStyle name="20% - Accent4 4 3 3 7" xfId="24175" xr:uid="{00000000-0005-0000-0000-0000FC2C0000}"/>
    <cellStyle name="20% - Accent4 4 3 4" xfId="935" xr:uid="{00000000-0005-0000-0000-0000FD2C0000}"/>
    <cellStyle name="20% - Accent4 4 3 4 2" xfId="3005" xr:uid="{00000000-0005-0000-0000-0000FE2C0000}"/>
    <cellStyle name="20% - Accent4 4 3 4 2 2" xfId="5977" xr:uid="{00000000-0005-0000-0000-0000FF2C0000}"/>
    <cellStyle name="20% - Accent4 4 3 4 2 2 2" xfId="11627" xr:uid="{00000000-0005-0000-0000-0000002D0000}"/>
    <cellStyle name="20% - Accent4 4 3 4 2 2 2 2" xfId="22928" xr:uid="{00000000-0005-0000-0000-0000012D0000}"/>
    <cellStyle name="20% - Accent4 4 3 4 2 2 2 2 2" xfId="45530" xr:uid="{00000000-0005-0000-0000-0000022D0000}"/>
    <cellStyle name="20% - Accent4 4 3 4 2 2 2 3" xfId="34229" xr:uid="{00000000-0005-0000-0000-0000032D0000}"/>
    <cellStyle name="20% - Accent4 4 3 4 2 2 3" xfId="17278" xr:uid="{00000000-0005-0000-0000-0000042D0000}"/>
    <cellStyle name="20% - Accent4 4 3 4 2 2 3 2" xfId="39880" xr:uid="{00000000-0005-0000-0000-0000052D0000}"/>
    <cellStyle name="20% - Accent4 4 3 4 2 2 4" xfId="28579" xr:uid="{00000000-0005-0000-0000-0000062D0000}"/>
    <cellStyle name="20% - Accent4 4 3 4 2 3" xfId="8795" xr:uid="{00000000-0005-0000-0000-0000072D0000}"/>
    <cellStyle name="20% - Accent4 4 3 4 2 3 2" xfId="20096" xr:uid="{00000000-0005-0000-0000-0000082D0000}"/>
    <cellStyle name="20% - Accent4 4 3 4 2 3 2 2" xfId="42698" xr:uid="{00000000-0005-0000-0000-0000092D0000}"/>
    <cellStyle name="20% - Accent4 4 3 4 2 3 3" xfId="31397" xr:uid="{00000000-0005-0000-0000-00000A2D0000}"/>
    <cellStyle name="20% - Accent4 4 3 4 2 4" xfId="14446" xr:uid="{00000000-0005-0000-0000-00000B2D0000}"/>
    <cellStyle name="20% - Accent4 4 3 4 2 4 2" xfId="37048" xr:uid="{00000000-0005-0000-0000-00000C2D0000}"/>
    <cellStyle name="20% - Accent4 4 3 4 2 5" xfId="25747" xr:uid="{00000000-0005-0000-0000-00000D2D0000}"/>
    <cellStyle name="20% - Accent4 4 3 4 3" xfId="4743" xr:uid="{00000000-0005-0000-0000-00000E2D0000}"/>
    <cellStyle name="20% - Accent4 4 3 4 3 2" xfId="10393" xr:uid="{00000000-0005-0000-0000-00000F2D0000}"/>
    <cellStyle name="20% - Accent4 4 3 4 3 2 2" xfId="21694" xr:uid="{00000000-0005-0000-0000-0000102D0000}"/>
    <cellStyle name="20% - Accent4 4 3 4 3 2 2 2" xfId="44296" xr:uid="{00000000-0005-0000-0000-0000112D0000}"/>
    <cellStyle name="20% - Accent4 4 3 4 3 2 3" xfId="32995" xr:uid="{00000000-0005-0000-0000-0000122D0000}"/>
    <cellStyle name="20% - Accent4 4 3 4 3 3" xfId="16044" xr:uid="{00000000-0005-0000-0000-0000132D0000}"/>
    <cellStyle name="20% - Accent4 4 3 4 3 3 2" xfId="38646" xr:uid="{00000000-0005-0000-0000-0000142D0000}"/>
    <cellStyle name="20% - Accent4 4 3 4 3 4" xfId="27345" xr:uid="{00000000-0005-0000-0000-0000152D0000}"/>
    <cellStyle name="20% - Accent4 4 3 4 4" xfId="6930" xr:uid="{00000000-0005-0000-0000-0000162D0000}"/>
    <cellStyle name="20% - Accent4 4 3 4 4 2" xfId="18231" xr:uid="{00000000-0005-0000-0000-0000172D0000}"/>
    <cellStyle name="20% - Accent4 4 3 4 4 2 2" xfId="40833" xr:uid="{00000000-0005-0000-0000-0000182D0000}"/>
    <cellStyle name="20% - Accent4 4 3 4 4 3" xfId="29532" xr:uid="{00000000-0005-0000-0000-0000192D0000}"/>
    <cellStyle name="20% - Accent4 4 3 4 5" xfId="12581" xr:uid="{00000000-0005-0000-0000-00001A2D0000}"/>
    <cellStyle name="20% - Accent4 4 3 4 5 2" xfId="35183" xr:uid="{00000000-0005-0000-0000-00001B2D0000}"/>
    <cellStyle name="20% - Accent4 4 3 4 6" xfId="23882" xr:uid="{00000000-0005-0000-0000-00001C2D0000}"/>
    <cellStyle name="20% - Accent4 4 3 5" xfId="1696" xr:uid="{00000000-0005-0000-0000-00001D2D0000}"/>
    <cellStyle name="20% - Accent4 4 3 5 2" xfId="3644" xr:uid="{00000000-0005-0000-0000-00001E2D0000}"/>
    <cellStyle name="20% - Accent4 4 3 5 2 2" xfId="9356" xr:uid="{00000000-0005-0000-0000-00001F2D0000}"/>
    <cellStyle name="20% - Accent4 4 3 5 2 2 2" xfId="20657" xr:uid="{00000000-0005-0000-0000-0000202D0000}"/>
    <cellStyle name="20% - Accent4 4 3 5 2 2 2 2" xfId="43259" xr:uid="{00000000-0005-0000-0000-0000212D0000}"/>
    <cellStyle name="20% - Accent4 4 3 5 2 2 3" xfId="31958" xr:uid="{00000000-0005-0000-0000-0000222D0000}"/>
    <cellStyle name="20% - Accent4 4 3 5 2 3" xfId="15007" xr:uid="{00000000-0005-0000-0000-0000232D0000}"/>
    <cellStyle name="20% - Accent4 4 3 5 2 3 2" xfId="37609" xr:uid="{00000000-0005-0000-0000-0000242D0000}"/>
    <cellStyle name="20% - Accent4 4 3 5 2 4" xfId="26308" xr:uid="{00000000-0005-0000-0000-0000252D0000}"/>
    <cellStyle name="20% - Accent4 4 3 5 3" xfId="5353" xr:uid="{00000000-0005-0000-0000-0000262D0000}"/>
    <cellStyle name="20% - Accent4 4 3 5 3 2" xfId="11003" xr:uid="{00000000-0005-0000-0000-0000272D0000}"/>
    <cellStyle name="20% - Accent4 4 3 5 3 2 2" xfId="22304" xr:uid="{00000000-0005-0000-0000-0000282D0000}"/>
    <cellStyle name="20% - Accent4 4 3 5 3 2 2 2" xfId="44906" xr:uid="{00000000-0005-0000-0000-0000292D0000}"/>
    <cellStyle name="20% - Accent4 4 3 5 3 2 3" xfId="33605" xr:uid="{00000000-0005-0000-0000-00002A2D0000}"/>
    <cellStyle name="20% - Accent4 4 3 5 3 3" xfId="16654" xr:uid="{00000000-0005-0000-0000-00002B2D0000}"/>
    <cellStyle name="20% - Accent4 4 3 5 3 3 2" xfId="39256" xr:uid="{00000000-0005-0000-0000-00002C2D0000}"/>
    <cellStyle name="20% - Accent4 4 3 5 3 4" xfId="27955" xr:uid="{00000000-0005-0000-0000-00002D2D0000}"/>
    <cellStyle name="20% - Accent4 4 3 5 4" xfId="7552" xr:uid="{00000000-0005-0000-0000-00002E2D0000}"/>
    <cellStyle name="20% - Accent4 4 3 5 4 2" xfId="18853" xr:uid="{00000000-0005-0000-0000-00002F2D0000}"/>
    <cellStyle name="20% - Accent4 4 3 5 4 2 2" xfId="41455" xr:uid="{00000000-0005-0000-0000-0000302D0000}"/>
    <cellStyle name="20% - Accent4 4 3 5 4 3" xfId="30154" xr:uid="{00000000-0005-0000-0000-0000312D0000}"/>
    <cellStyle name="20% - Accent4 4 3 5 5" xfId="13203" xr:uid="{00000000-0005-0000-0000-0000322D0000}"/>
    <cellStyle name="20% - Accent4 4 3 5 5 2" xfId="35805" xr:uid="{00000000-0005-0000-0000-0000332D0000}"/>
    <cellStyle name="20% - Accent4 4 3 5 6" xfId="24504" xr:uid="{00000000-0005-0000-0000-0000342D0000}"/>
    <cellStyle name="20% - Accent4 4 3 6" xfId="2332" xr:uid="{00000000-0005-0000-0000-0000352D0000}"/>
    <cellStyle name="20% - Accent4 4 3 6 2" xfId="8168" xr:uid="{00000000-0005-0000-0000-0000362D0000}"/>
    <cellStyle name="20% - Accent4 4 3 6 2 2" xfId="19469" xr:uid="{00000000-0005-0000-0000-0000372D0000}"/>
    <cellStyle name="20% - Accent4 4 3 6 2 2 2" xfId="42071" xr:uid="{00000000-0005-0000-0000-0000382D0000}"/>
    <cellStyle name="20% - Accent4 4 3 6 2 3" xfId="30770" xr:uid="{00000000-0005-0000-0000-0000392D0000}"/>
    <cellStyle name="20% - Accent4 4 3 6 3" xfId="13819" xr:uid="{00000000-0005-0000-0000-00003A2D0000}"/>
    <cellStyle name="20% - Accent4 4 3 6 3 2" xfId="36421" xr:uid="{00000000-0005-0000-0000-00003B2D0000}"/>
    <cellStyle name="20% - Accent4 4 3 6 4" xfId="25120" xr:uid="{00000000-0005-0000-0000-00003C2D0000}"/>
    <cellStyle name="20% - Accent4 4 3 7" xfId="4119" xr:uid="{00000000-0005-0000-0000-00003D2D0000}"/>
    <cellStyle name="20% - Accent4 4 3 7 2" xfId="9769" xr:uid="{00000000-0005-0000-0000-00003E2D0000}"/>
    <cellStyle name="20% - Accent4 4 3 7 2 2" xfId="21070" xr:uid="{00000000-0005-0000-0000-00003F2D0000}"/>
    <cellStyle name="20% - Accent4 4 3 7 2 2 2" xfId="43672" xr:uid="{00000000-0005-0000-0000-0000402D0000}"/>
    <cellStyle name="20% - Accent4 4 3 7 2 3" xfId="32371" xr:uid="{00000000-0005-0000-0000-0000412D0000}"/>
    <cellStyle name="20% - Accent4 4 3 7 3" xfId="15420" xr:uid="{00000000-0005-0000-0000-0000422D0000}"/>
    <cellStyle name="20% - Accent4 4 3 7 3 2" xfId="38022" xr:uid="{00000000-0005-0000-0000-0000432D0000}"/>
    <cellStyle name="20% - Accent4 4 3 7 4" xfId="26721" xr:uid="{00000000-0005-0000-0000-0000442D0000}"/>
    <cellStyle name="20% - Accent4 4 3 8" xfId="6570" xr:uid="{00000000-0005-0000-0000-0000452D0000}"/>
    <cellStyle name="20% - Accent4 4 3 8 2" xfId="17871" xr:uid="{00000000-0005-0000-0000-0000462D0000}"/>
    <cellStyle name="20% - Accent4 4 3 8 2 2" xfId="40473" xr:uid="{00000000-0005-0000-0000-0000472D0000}"/>
    <cellStyle name="20% - Accent4 4 3 8 3" xfId="29172" xr:uid="{00000000-0005-0000-0000-0000482D0000}"/>
    <cellStyle name="20% - Accent4 4 3 9" xfId="12221" xr:uid="{00000000-0005-0000-0000-0000492D0000}"/>
    <cellStyle name="20% - Accent4 4 3 9 2" xfId="34823" xr:uid="{00000000-0005-0000-0000-00004A2D0000}"/>
    <cellStyle name="20% - Accent4 4 4" xfId="574" xr:uid="{00000000-0005-0000-0000-00004B2D0000}"/>
    <cellStyle name="20% - Accent4 4 4 2" xfId="1148" xr:uid="{00000000-0005-0000-0000-00004C2D0000}"/>
    <cellStyle name="20% - Accent4 4 4 2 2" xfId="1701" xr:uid="{00000000-0005-0000-0000-00004D2D0000}"/>
    <cellStyle name="20% - Accent4 4 4 2 2 2" xfId="3216" xr:uid="{00000000-0005-0000-0000-00004E2D0000}"/>
    <cellStyle name="20% - Accent4 4 4 2 2 2 2" xfId="6188" xr:uid="{00000000-0005-0000-0000-00004F2D0000}"/>
    <cellStyle name="20% - Accent4 4 4 2 2 2 2 2" xfId="11838" xr:uid="{00000000-0005-0000-0000-0000502D0000}"/>
    <cellStyle name="20% - Accent4 4 4 2 2 2 2 2 2" xfId="23139" xr:uid="{00000000-0005-0000-0000-0000512D0000}"/>
    <cellStyle name="20% - Accent4 4 4 2 2 2 2 2 2 2" xfId="45741" xr:uid="{00000000-0005-0000-0000-0000522D0000}"/>
    <cellStyle name="20% - Accent4 4 4 2 2 2 2 2 3" xfId="34440" xr:uid="{00000000-0005-0000-0000-0000532D0000}"/>
    <cellStyle name="20% - Accent4 4 4 2 2 2 2 3" xfId="17489" xr:uid="{00000000-0005-0000-0000-0000542D0000}"/>
    <cellStyle name="20% - Accent4 4 4 2 2 2 2 3 2" xfId="40091" xr:uid="{00000000-0005-0000-0000-0000552D0000}"/>
    <cellStyle name="20% - Accent4 4 4 2 2 2 2 4" xfId="28790" xr:uid="{00000000-0005-0000-0000-0000562D0000}"/>
    <cellStyle name="20% - Accent4 4 4 2 2 2 3" xfId="9006" xr:uid="{00000000-0005-0000-0000-0000572D0000}"/>
    <cellStyle name="20% - Accent4 4 4 2 2 2 3 2" xfId="20307" xr:uid="{00000000-0005-0000-0000-0000582D0000}"/>
    <cellStyle name="20% - Accent4 4 4 2 2 2 3 2 2" xfId="42909" xr:uid="{00000000-0005-0000-0000-0000592D0000}"/>
    <cellStyle name="20% - Accent4 4 4 2 2 2 3 3" xfId="31608" xr:uid="{00000000-0005-0000-0000-00005A2D0000}"/>
    <cellStyle name="20% - Accent4 4 4 2 2 2 4" xfId="14657" xr:uid="{00000000-0005-0000-0000-00005B2D0000}"/>
    <cellStyle name="20% - Accent4 4 4 2 2 2 4 2" xfId="37259" xr:uid="{00000000-0005-0000-0000-00005C2D0000}"/>
    <cellStyle name="20% - Accent4 4 4 2 2 2 5" xfId="25958" xr:uid="{00000000-0005-0000-0000-00005D2D0000}"/>
    <cellStyle name="20% - Accent4 4 4 2 2 3" xfId="4954" xr:uid="{00000000-0005-0000-0000-00005E2D0000}"/>
    <cellStyle name="20% - Accent4 4 4 2 2 3 2" xfId="10604" xr:uid="{00000000-0005-0000-0000-00005F2D0000}"/>
    <cellStyle name="20% - Accent4 4 4 2 2 3 2 2" xfId="21905" xr:uid="{00000000-0005-0000-0000-0000602D0000}"/>
    <cellStyle name="20% - Accent4 4 4 2 2 3 2 2 2" xfId="44507" xr:uid="{00000000-0005-0000-0000-0000612D0000}"/>
    <cellStyle name="20% - Accent4 4 4 2 2 3 2 3" xfId="33206" xr:uid="{00000000-0005-0000-0000-0000622D0000}"/>
    <cellStyle name="20% - Accent4 4 4 2 2 3 3" xfId="16255" xr:uid="{00000000-0005-0000-0000-0000632D0000}"/>
    <cellStyle name="20% - Accent4 4 4 2 2 3 3 2" xfId="38857" xr:uid="{00000000-0005-0000-0000-0000642D0000}"/>
    <cellStyle name="20% - Accent4 4 4 2 2 3 4" xfId="27556" xr:uid="{00000000-0005-0000-0000-0000652D0000}"/>
    <cellStyle name="20% - Accent4 4 4 2 2 4" xfId="7557" xr:uid="{00000000-0005-0000-0000-0000662D0000}"/>
    <cellStyle name="20% - Accent4 4 4 2 2 4 2" xfId="18858" xr:uid="{00000000-0005-0000-0000-0000672D0000}"/>
    <cellStyle name="20% - Accent4 4 4 2 2 4 2 2" xfId="41460" xr:uid="{00000000-0005-0000-0000-0000682D0000}"/>
    <cellStyle name="20% - Accent4 4 4 2 2 4 3" xfId="30159" xr:uid="{00000000-0005-0000-0000-0000692D0000}"/>
    <cellStyle name="20% - Accent4 4 4 2 2 5" xfId="13208" xr:uid="{00000000-0005-0000-0000-00006A2D0000}"/>
    <cellStyle name="20% - Accent4 4 4 2 2 5 2" xfId="35810" xr:uid="{00000000-0005-0000-0000-00006B2D0000}"/>
    <cellStyle name="20% - Accent4 4 4 2 2 6" xfId="24509" xr:uid="{00000000-0005-0000-0000-00006C2D0000}"/>
    <cellStyle name="20% - Accent4 4 4 2 3" xfId="2545" xr:uid="{00000000-0005-0000-0000-00006D2D0000}"/>
    <cellStyle name="20% - Accent4 4 4 2 3 2" xfId="5564" xr:uid="{00000000-0005-0000-0000-00006E2D0000}"/>
    <cellStyle name="20% - Accent4 4 4 2 3 2 2" xfId="11214" xr:uid="{00000000-0005-0000-0000-00006F2D0000}"/>
    <cellStyle name="20% - Accent4 4 4 2 3 2 2 2" xfId="22515" xr:uid="{00000000-0005-0000-0000-0000702D0000}"/>
    <cellStyle name="20% - Accent4 4 4 2 3 2 2 2 2" xfId="45117" xr:uid="{00000000-0005-0000-0000-0000712D0000}"/>
    <cellStyle name="20% - Accent4 4 4 2 3 2 2 3" xfId="33816" xr:uid="{00000000-0005-0000-0000-0000722D0000}"/>
    <cellStyle name="20% - Accent4 4 4 2 3 2 3" xfId="16865" xr:uid="{00000000-0005-0000-0000-0000732D0000}"/>
    <cellStyle name="20% - Accent4 4 4 2 3 2 3 2" xfId="39467" xr:uid="{00000000-0005-0000-0000-0000742D0000}"/>
    <cellStyle name="20% - Accent4 4 4 2 3 2 4" xfId="28166" xr:uid="{00000000-0005-0000-0000-0000752D0000}"/>
    <cellStyle name="20% - Accent4 4 4 2 3 3" xfId="8381" xr:uid="{00000000-0005-0000-0000-0000762D0000}"/>
    <cellStyle name="20% - Accent4 4 4 2 3 3 2" xfId="19682" xr:uid="{00000000-0005-0000-0000-0000772D0000}"/>
    <cellStyle name="20% - Accent4 4 4 2 3 3 2 2" xfId="42284" xr:uid="{00000000-0005-0000-0000-0000782D0000}"/>
    <cellStyle name="20% - Accent4 4 4 2 3 3 3" xfId="30983" xr:uid="{00000000-0005-0000-0000-0000792D0000}"/>
    <cellStyle name="20% - Accent4 4 4 2 3 4" xfId="14032" xr:uid="{00000000-0005-0000-0000-00007A2D0000}"/>
    <cellStyle name="20% - Accent4 4 4 2 3 4 2" xfId="36634" xr:uid="{00000000-0005-0000-0000-00007B2D0000}"/>
    <cellStyle name="20% - Accent4 4 4 2 3 5" xfId="25333" xr:uid="{00000000-0005-0000-0000-00007C2D0000}"/>
    <cellStyle name="20% - Accent4 4 4 2 4" xfId="4330" xr:uid="{00000000-0005-0000-0000-00007D2D0000}"/>
    <cellStyle name="20% - Accent4 4 4 2 4 2" xfId="9980" xr:uid="{00000000-0005-0000-0000-00007E2D0000}"/>
    <cellStyle name="20% - Accent4 4 4 2 4 2 2" xfId="21281" xr:uid="{00000000-0005-0000-0000-00007F2D0000}"/>
    <cellStyle name="20% - Accent4 4 4 2 4 2 2 2" xfId="43883" xr:uid="{00000000-0005-0000-0000-0000802D0000}"/>
    <cellStyle name="20% - Accent4 4 4 2 4 2 3" xfId="32582" xr:uid="{00000000-0005-0000-0000-0000812D0000}"/>
    <cellStyle name="20% - Accent4 4 4 2 4 3" xfId="15631" xr:uid="{00000000-0005-0000-0000-0000822D0000}"/>
    <cellStyle name="20% - Accent4 4 4 2 4 3 2" xfId="38233" xr:uid="{00000000-0005-0000-0000-0000832D0000}"/>
    <cellStyle name="20% - Accent4 4 4 2 4 4" xfId="26932" xr:uid="{00000000-0005-0000-0000-0000842D0000}"/>
    <cellStyle name="20% - Accent4 4 4 2 5" xfId="7127" xr:uid="{00000000-0005-0000-0000-0000852D0000}"/>
    <cellStyle name="20% - Accent4 4 4 2 5 2" xfId="18428" xr:uid="{00000000-0005-0000-0000-0000862D0000}"/>
    <cellStyle name="20% - Accent4 4 4 2 5 2 2" xfId="41030" xr:uid="{00000000-0005-0000-0000-0000872D0000}"/>
    <cellStyle name="20% - Accent4 4 4 2 5 3" xfId="29729" xr:uid="{00000000-0005-0000-0000-0000882D0000}"/>
    <cellStyle name="20% - Accent4 4 4 2 6" xfId="12778" xr:uid="{00000000-0005-0000-0000-0000892D0000}"/>
    <cellStyle name="20% - Accent4 4 4 2 6 2" xfId="35380" xr:uid="{00000000-0005-0000-0000-00008A2D0000}"/>
    <cellStyle name="20% - Accent4 4 4 2 7" xfId="24079" xr:uid="{00000000-0005-0000-0000-00008B2D0000}"/>
    <cellStyle name="20% - Accent4 4 4 3" xfId="822" xr:uid="{00000000-0005-0000-0000-00008C2D0000}"/>
    <cellStyle name="20% - Accent4 4 4 3 2" xfId="2909" xr:uid="{00000000-0005-0000-0000-00008D2D0000}"/>
    <cellStyle name="20% - Accent4 4 4 3 2 2" xfId="5881" xr:uid="{00000000-0005-0000-0000-00008E2D0000}"/>
    <cellStyle name="20% - Accent4 4 4 3 2 2 2" xfId="11531" xr:uid="{00000000-0005-0000-0000-00008F2D0000}"/>
    <cellStyle name="20% - Accent4 4 4 3 2 2 2 2" xfId="22832" xr:uid="{00000000-0005-0000-0000-0000902D0000}"/>
    <cellStyle name="20% - Accent4 4 4 3 2 2 2 2 2" xfId="45434" xr:uid="{00000000-0005-0000-0000-0000912D0000}"/>
    <cellStyle name="20% - Accent4 4 4 3 2 2 2 3" xfId="34133" xr:uid="{00000000-0005-0000-0000-0000922D0000}"/>
    <cellStyle name="20% - Accent4 4 4 3 2 2 3" xfId="17182" xr:uid="{00000000-0005-0000-0000-0000932D0000}"/>
    <cellStyle name="20% - Accent4 4 4 3 2 2 3 2" xfId="39784" xr:uid="{00000000-0005-0000-0000-0000942D0000}"/>
    <cellStyle name="20% - Accent4 4 4 3 2 2 4" xfId="28483" xr:uid="{00000000-0005-0000-0000-0000952D0000}"/>
    <cellStyle name="20% - Accent4 4 4 3 2 3" xfId="8699" xr:uid="{00000000-0005-0000-0000-0000962D0000}"/>
    <cellStyle name="20% - Accent4 4 4 3 2 3 2" xfId="20000" xr:uid="{00000000-0005-0000-0000-0000972D0000}"/>
    <cellStyle name="20% - Accent4 4 4 3 2 3 2 2" xfId="42602" xr:uid="{00000000-0005-0000-0000-0000982D0000}"/>
    <cellStyle name="20% - Accent4 4 4 3 2 3 3" xfId="31301" xr:uid="{00000000-0005-0000-0000-0000992D0000}"/>
    <cellStyle name="20% - Accent4 4 4 3 2 4" xfId="14350" xr:uid="{00000000-0005-0000-0000-00009A2D0000}"/>
    <cellStyle name="20% - Accent4 4 4 3 2 4 2" xfId="36952" xr:uid="{00000000-0005-0000-0000-00009B2D0000}"/>
    <cellStyle name="20% - Accent4 4 4 3 2 5" xfId="25651" xr:uid="{00000000-0005-0000-0000-00009C2D0000}"/>
    <cellStyle name="20% - Accent4 4 4 3 3" xfId="4647" xr:uid="{00000000-0005-0000-0000-00009D2D0000}"/>
    <cellStyle name="20% - Accent4 4 4 3 3 2" xfId="10297" xr:uid="{00000000-0005-0000-0000-00009E2D0000}"/>
    <cellStyle name="20% - Accent4 4 4 3 3 2 2" xfId="21598" xr:uid="{00000000-0005-0000-0000-00009F2D0000}"/>
    <cellStyle name="20% - Accent4 4 4 3 3 2 2 2" xfId="44200" xr:uid="{00000000-0005-0000-0000-0000A02D0000}"/>
    <cellStyle name="20% - Accent4 4 4 3 3 2 3" xfId="32899" xr:uid="{00000000-0005-0000-0000-0000A12D0000}"/>
    <cellStyle name="20% - Accent4 4 4 3 3 3" xfId="15948" xr:uid="{00000000-0005-0000-0000-0000A22D0000}"/>
    <cellStyle name="20% - Accent4 4 4 3 3 3 2" xfId="38550" xr:uid="{00000000-0005-0000-0000-0000A32D0000}"/>
    <cellStyle name="20% - Accent4 4 4 3 3 4" xfId="27249" xr:uid="{00000000-0005-0000-0000-0000A42D0000}"/>
    <cellStyle name="20% - Accent4 4 4 3 4" xfId="6830" xr:uid="{00000000-0005-0000-0000-0000A52D0000}"/>
    <cellStyle name="20% - Accent4 4 4 3 4 2" xfId="18131" xr:uid="{00000000-0005-0000-0000-0000A62D0000}"/>
    <cellStyle name="20% - Accent4 4 4 3 4 2 2" xfId="40733" xr:uid="{00000000-0005-0000-0000-0000A72D0000}"/>
    <cellStyle name="20% - Accent4 4 4 3 4 3" xfId="29432" xr:uid="{00000000-0005-0000-0000-0000A82D0000}"/>
    <cellStyle name="20% - Accent4 4 4 3 5" xfId="12481" xr:uid="{00000000-0005-0000-0000-0000A92D0000}"/>
    <cellStyle name="20% - Accent4 4 4 3 5 2" xfId="35083" xr:uid="{00000000-0005-0000-0000-0000AA2D0000}"/>
    <cellStyle name="20% - Accent4 4 4 3 6" xfId="23782" xr:uid="{00000000-0005-0000-0000-0000AB2D0000}"/>
    <cellStyle name="20% - Accent4 4 4 4" xfId="1700" xr:uid="{00000000-0005-0000-0000-0000AC2D0000}"/>
    <cellStyle name="20% - Accent4 4 4 4 2" xfId="3646" xr:uid="{00000000-0005-0000-0000-0000AD2D0000}"/>
    <cellStyle name="20% - Accent4 4 4 4 2 2" xfId="9358" xr:uid="{00000000-0005-0000-0000-0000AE2D0000}"/>
    <cellStyle name="20% - Accent4 4 4 4 2 2 2" xfId="20659" xr:uid="{00000000-0005-0000-0000-0000AF2D0000}"/>
    <cellStyle name="20% - Accent4 4 4 4 2 2 2 2" xfId="43261" xr:uid="{00000000-0005-0000-0000-0000B02D0000}"/>
    <cellStyle name="20% - Accent4 4 4 4 2 2 3" xfId="31960" xr:uid="{00000000-0005-0000-0000-0000B12D0000}"/>
    <cellStyle name="20% - Accent4 4 4 4 2 3" xfId="15009" xr:uid="{00000000-0005-0000-0000-0000B22D0000}"/>
    <cellStyle name="20% - Accent4 4 4 4 2 3 2" xfId="37611" xr:uid="{00000000-0005-0000-0000-0000B32D0000}"/>
    <cellStyle name="20% - Accent4 4 4 4 2 4" xfId="26310" xr:uid="{00000000-0005-0000-0000-0000B42D0000}"/>
    <cellStyle name="20% - Accent4 4 4 4 3" xfId="5257" xr:uid="{00000000-0005-0000-0000-0000B52D0000}"/>
    <cellStyle name="20% - Accent4 4 4 4 3 2" xfId="10907" xr:uid="{00000000-0005-0000-0000-0000B62D0000}"/>
    <cellStyle name="20% - Accent4 4 4 4 3 2 2" xfId="22208" xr:uid="{00000000-0005-0000-0000-0000B72D0000}"/>
    <cellStyle name="20% - Accent4 4 4 4 3 2 2 2" xfId="44810" xr:uid="{00000000-0005-0000-0000-0000B82D0000}"/>
    <cellStyle name="20% - Accent4 4 4 4 3 2 3" xfId="33509" xr:uid="{00000000-0005-0000-0000-0000B92D0000}"/>
    <cellStyle name="20% - Accent4 4 4 4 3 3" xfId="16558" xr:uid="{00000000-0005-0000-0000-0000BA2D0000}"/>
    <cellStyle name="20% - Accent4 4 4 4 3 3 2" xfId="39160" xr:uid="{00000000-0005-0000-0000-0000BB2D0000}"/>
    <cellStyle name="20% - Accent4 4 4 4 3 4" xfId="27859" xr:uid="{00000000-0005-0000-0000-0000BC2D0000}"/>
    <cellStyle name="20% - Accent4 4 4 4 4" xfId="7556" xr:uid="{00000000-0005-0000-0000-0000BD2D0000}"/>
    <cellStyle name="20% - Accent4 4 4 4 4 2" xfId="18857" xr:uid="{00000000-0005-0000-0000-0000BE2D0000}"/>
    <cellStyle name="20% - Accent4 4 4 4 4 2 2" xfId="41459" xr:uid="{00000000-0005-0000-0000-0000BF2D0000}"/>
    <cellStyle name="20% - Accent4 4 4 4 4 3" xfId="30158" xr:uid="{00000000-0005-0000-0000-0000C02D0000}"/>
    <cellStyle name="20% - Accent4 4 4 4 5" xfId="13207" xr:uid="{00000000-0005-0000-0000-0000C12D0000}"/>
    <cellStyle name="20% - Accent4 4 4 4 5 2" xfId="35809" xr:uid="{00000000-0005-0000-0000-0000C22D0000}"/>
    <cellStyle name="20% - Accent4 4 4 4 6" xfId="24508" xr:uid="{00000000-0005-0000-0000-0000C32D0000}"/>
    <cellStyle name="20% - Accent4 4 4 5" xfId="2229" xr:uid="{00000000-0005-0000-0000-0000C42D0000}"/>
    <cellStyle name="20% - Accent4 4 4 5 2" xfId="8071" xr:uid="{00000000-0005-0000-0000-0000C52D0000}"/>
    <cellStyle name="20% - Accent4 4 4 5 2 2" xfId="19372" xr:uid="{00000000-0005-0000-0000-0000C62D0000}"/>
    <cellStyle name="20% - Accent4 4 4 5 2 2 2" xfId="41974" xr:uid="{00000000-0005-0000-0000-0000C72D0000}"/>
    <cellStyle name="20% - Accent4 4 4 5 2 3" xfId="30673" xr:uid="{00000000-0005-0000-0000-0000C82D0000}"/>
    <cellStyle name="20% - Accent4 4 4 5 3" xfId="13722" xr:uid="{00000000-0005-0000-0000-0000C92D0000}"/>
    <cellStyle name="20% - Accent4 4 4 5 3 2" xfId="36324" xr:uid="{00000000-0005-0000-0000-0000CA2D0000}"/>
    <cellStyle name="20% - Accent4 4 4 5 4" xfId="25023" xr:uid="{00000000-0005-0000-0000-0000CB2D0000}"/>
    <cellStyle name="20% - Accent4 4 4 6" xfId="4023" xr:uid="{00000000-0005-0000-0000-0000CC2D0000}"/>
    <cellStyle name="20% - Accent4 4 4 6 2" xfId="9673" xr:uid="{00000000-0005-0000-0000-0000CD2D0000}"/>
    <cellStyle name="20% - Accent4 4 4 6 2 2" xfId="20974" xr:uid="{00000000-0005-0000-0000-0000CE2D0000}"/>
    <cellStyle name="20% - Accent4 4 4 6 2 2 2" xfId="43576" xr:uid="{00000000-0005-0000-0000-0000CF2D0000}"/>
    <cellStyle name="20% - Accent4 4 4 6 2 3" xfId="32275" xr:uid="{00000000-0005-0000-0000-0000D02D0000}"/>
    <cellStyle name="20% - Accent4 4 4 6 3" xfId="15324" xr:uid="{00000000-0005-0000-0000-0000D12D0000}"/>
    <cellStyle name="20% - Accent4 4 4 6 3 2" xfId="37926" xr:uid="{00000000-0005-0000-0000-0000D22D0000}"/>
    <cellStyle name="20% - Accent4 4 4 6 4" xfId="26625" xr:uid="{00000000-0005-0000-0000-0000D32D0000}"/>
    <cellStyle name="20% - Accent4 4 4 7" xfId="6641" xr:uid="{00000000-0005-0000-0000-0000D42D0000}"/>
    <cellStyle name="20% - Accent4 4 4 7 2" xfId="17942" xr:uid="{00000000-0005-0000-0000-0000D52D0000}"/>
    <cellStyle name="20% - Accent4 4 4 7 2 2" xfId="40544" xr:uid="{00000000-0005-0000-0000-0000D62D0000}"/>
    <cellStyle name="20% - Accent4 4 4 7 3" xfId="29243" xr:uid="{00000000-0005-0000-0000-0000D72D0000}"/>
    <cellStyle name="20% - Accent4 4 4 8" xfId="12292" xr:uid="{00000000-0005-0000-0000-0000D82D0000}"/>
    <cellStyle name="20% - Accent4 4 4 8 2" xfId="34894" xr:uid="{00000000-0005-0000-0000-0000D92D0000}"/>
    <cellStyle name="20% - Accent4 4 4 9" xfId="23593" xr:uid="{00000000-0005-0000-0000-0000DA2D0000}"/>
    <cellStyle name="20% - Accent4 4 5" xfId="518" xr:uid="{00000000-0005-0000-0000-0000DB2D0000}"/>
    <cellStyle name="20% - Accent4 4 5 2" xfId="1287" xr:uid="{00000000-0005-0000-0000-0000DC2D0000}"/>
    <cellStyle name="20% - Accent4 4 5 2 2" xfId="1703" xr:uid="{00000000-0005-0000-0000-0000DD2D0000}"/>
    <cellStyle name="20% - Accent4 4 5 2 2 2" xfId="3356" xr:uid="{00000000-0005-0000-0000-0000DE2D0000}"/>
    <cellStyle name="20% - Accent4 4 5 2 2 2 2" xfId="6328" xr:uid="{00000000-0005-0000-0000-0000DF2D0000}"/>
    <cellStyle name="20% - Accent4 4 5 2 2 2 2 2" xfId="11978" xr:uid="{00000000-0005-0000-0000-0000E02D0000}"/>
    <cellStyle name="20% - Accent4 4 5 2 2 2 2 2 2" xfId="23279" xr:uid="{00000000-0005-0000-0000-0000E12D0000}"/>
    <cellStyle name="20% - Accent4 4 5 2 2 2 2 2 2 2" xfId="45881" xr:uid="{00000000-0005-0000-0000-0000E22D0000}"/>
    <cellStyle name="20% - Accent4 4 5 2 2 2 2 2 3" xfId="34580" xr:uid="{00000000-0005-0000-0000-0000E32D0000}"/>
    <cellStyle name="20% - Accent4 4 5 2 2 2 2 3" xfId="17629" xr:uid="{00000000-0005-0000-0000-0000E42D0000}"/>
    <cellStyle name="20% - Accent4 4 5 2 2 2 2 3 2" xfId="40231" xr:uid="{00000000-0005-0000-0000-0000E52D0000}"/>
    <cellStyle name="20% - Accent4 4 5 2 2 2 2 4" xfId="28930" xr:uid="{00000000-0005-0000-0000-0000E62D0000}"/>
    <cellStyle name="20% - Accent4 4 5 2 2 2 3" xfId="9146" xr:uid="{00000000-0005-0000-0000-0000E72D0000}"/>
    <cellStyle name="20% - Accent4 4 5 2 2 2 3 2" xfId="20447" xr:uid="{00000000-0005-0000-0000-0000E82D0000}"/>
    <cellStyle name="20% - Accent4 4 5 2 2 2 3 2 2" xfId="43049" xr:uid="{00000000-0005-0000-0000-0000E92D0000}"/>
    <cellStyle name="20% - Accent4 4 5 2 2 2 3 3" xfId="31748" xr:uid="{00000000-0005-0000-0000-0000EA2D0000}"/>
    <cellStyle name="20% - Accent4 4 5 2 2 2 4" xfId="14797" xr:uid="{00000000-0005-0000-0000-0000EB2D0000}"/>
    <cellStyle name="20% - Accent4 4 5 2 2 2 4 2" xfId="37399" xr:uid="{00000000-0005-0000-0000-0000EC2D0000}"/>
    <cellStyle name="20% - Accent4 4 5 2 2 2 5" xfId="26098" xr:uid="{00000000-0005-0000-0000-0000ED2D0000}"/>
    <cellStyle name="20% - Accent4 4 5 2 2 3" xfId="5094" xr:uid="{00000000-0005-0000-0000-0000EE2D0000}"/>
    <cellStyle name="20% - Accent4 4 5 2 2 3 2" xfId="10744" xr:uid="{00000000-0005-0000-0000-0000EF2D0000}"/>
    <cellStyle name="20% - Accent4 4 5 2 2 3 2 2" xfId="22045" xr:uid="{00000000-0005-0000-0000-0000F02D0000}"/>
    <cellStyle name="20% - Accent4 4 5 2 2 3 2 2 2" xfId="44647" xr:uid="{00000000-0005-0000-0000-0000F12D0000}"/>
    <cellStyle name="20% - Accent4 4 5 2 2 3 2 3" xfId="33346" xr:uid="{00000000-0005-0000-0000-0000F22D0000}"/>
    <cellStyle name="20% - Accent4 4 5 2 2 3 3" xfId="16395" xr:uid="{00000000-0005-0000-0000-0000F32D0000}"/>
    <cellStyle name="20% - Accent4 4 5 2 2 3 3 2" xfId="38997" xr:uid="{00000000-0005-0000-0000-0000F42D0000}"/>
    <cellStyle name="20% - Accent4 4 5 2 2 3 4" xfId="27696" xr:uid="{00000000-0005-0000-0000-0000F52D0000}"/>
    <cellStyle name="20% - Accent4 4 5 2 2 4" xfId="7559" xr:uid="{00000000-0005-0000-0000-0000F62D0000}"/>
    <cellStyle name="20% - Accent4 4 5 2 2 4 2" xfId="18860" xr:uid="{00000000-0005-0000-0000-0000F72D0000}"/>
    <cellStyle name="20% - Accent4 4 5 2 2 4 2 2" xfId="41462" xr:uid="{00000000-0005-0000-0000-0000F82D0000}"/>
    <cellStyle name="20% - Accent4 4 5 2 2 4 3" xfId="30161" xr:uid="{00000000-0005-0000-0000-0000F92D0000}"/>
    <cellStyle name="20% - Accent4 4 5 2 2 5" xfId="13210" xr:uid="{00000000-0005-0000-0000-0000FA2D0000}"/>
    <cellStyle name="20% - Accent4 4 5 2 2 5 2" xfId="35812" xr:uid="{00000000-0005-0000-0000-0000FB2D0000}"/>
    <cellStyle name="20% - Accent4 4 5 2 2 6" xfId="24511" xr:uid="{00000000-0005-0000-0000-0000FC2D0000}"/>
    <cellStyle name="20% - Accent4 4 5 2 3" xfId="2685" xr:uid="{00000000-0005-0000-0000-0000FD2D0000}"/>
    <cellStyle name="20% - Accent4 4 5 2 3 2" xfId="5704" xr:uid="{00000000-0005-0000-0000-0000FE2D0000}"/>
    <cellStyle name="20% - Accent4 4 5 2 3 2 2" xfId="11354" xr:uid="{00000000-0005-0000-0000-0000FF2D0000}"/>
    <cellStyle name="20% - Accent4 4 5 2 3 2 2 2" xfId="22655" xr:uid="{00000000-0005-0000-0000-0000002E0000}"/>
    <cellStyle name="20% - Accent4 4 5 2 3 2 2 2 2" xfId="45257" xr:uid="{00000000-0005-0000-0000-0000012E0000}"/>
    <cellStyle name="20% - Accent4 4 5 2 3 2 2 3" xfId="33956" xr:uid="{00000000-0005-0000-0000-0000022E0000}"/>
    <cellStyle name="20% - Accent4 4 5 2 3 2 3" xfId="17005" xr:uid="{00000000-0005-0000-0000-0000032E0000}"/>
    <cellStyle name="20% - Accent4 4 5 2 3 2 3 2" xfId="39607" xr:uid="{00000000-0005-0000-0000-0000042E0000}"/>
    <cellStyle name="20% - Accent4 4 5 2 3 2 4" xfId="28306" xr:uid="{00000000-0005-0000-0000-0000052E0000}"/>
    <cellStyle name="20% - Accent4 4 5 2 3 3" xfId="8521" xr:uid="{00000000-0005-0000-0000-0000062E0000}"/>
    <cellStyle name="20% - Accent4 4 5 2 3 3 2" xfId="19822" xr:uid="{00000000-0005-0000-0000-0000072E0000}"/>
    <cellStyle name="20% - Accent4 4 5 2 3 3 2 2" xfId="42424" xr:uid="{00000000-0005-0000-0000-0000082E0000}"/>
    <cellStyle name="20% - Accent4 4 5 2 3 3 3" xfId="31123" xr:uid="{00000000-0005-0000-0000-0000092E0000}"/>
    <cellStyle name="20% - Accent4 4 5 2 3 4" xfId="14172" xr:uid="{00000000-0005-0000-0000-00000A2E0000}"/>
    <cellStyle name="20% - Accent4 4 5 2 3 4 2" xfId="36774" xr:uid="{00000000-0005-0000-0000-00000B2E0000}"/>
    <cellStyle name="20% - Accent4 4 5 2 3 5" xfId="25473" xr:uid="{00000000-0005-0000-0000-00000C2E0000}"/>
    <cellStyle name="20% - Accent4 4 5 2 4" xfId="4470" xr:uid="{00000000-0005-0000-0000-00000D2E0000}"/>
    <cellStyle name="20% - Accent4 4 5 2 4 2" xfId="10120" xr:uid="{00000000-0005-0000-0000-00000E2E0000}"/>
    <cellStyle name="20% - Accent4 4 5 2 4 2 2" xfId="21421" xr:uid="{00000000-0005-0000-0000-00000F2E0000}"/>
    <cellStyle name="20% - Accent4 4 5 2 4 2 2 2" xfId="44023" xr:uid="{00000000-0005-0000-0000-0000102E0000}"/>
    <cellStyle name="20% - Accent4 4 5 2 4 2 3" xfId="32722" xr:uid="{00000000-0005-0000-0000-0000112E0000}"/>
    <cellStyle name="20% - Accent4 4 5 2 4 3" xfId="15771" xr:uid="{00000000-0005-0000-0000-0000122E0000}"/>
    <cellStyle name="20% - Accent4 4 5 2 4 3 2" xfId="38373" xr:uid="{00000000-0005-0000-0000-0000132E0000}"/>
    <cellStyle name="20% - Accent4 4 5 2 4 4" xfId="27072" xr:uid="{00000000-0005-0000-0000-0000142E0000}"/>
    <cellStyle name="20% - Accent4 4 5 2 5" xfId="7266" xr:uid="{00000000-0005-0000-0000-0000152E0000}"/>
    <cellStyle name="20% - Accent4 4 5 2 5 2" xfId="18567" xr:uid="{00000000-0005-0000-0000-0000162E0000}"/>
    <cellStyle name="20% - Accent4 4 5 2 5 2 2" xfId="41169" xr:uid="{00000000-0005-0000-0000-0000172E0000}"/>
    <cellStyle name="20% - Accent4 4 5 2 5 3" xfId="29868" xr:uid="{00000000-0005-0000-0000-0000182E0000}"/>
    <cellStyle name="20% - Accent4 4 5 2 6" xfId="12917" xr:uid="{00000000-0005-0000-0000-0000192E0000}"/>
    <cellStyle name="20% - Accent4 4 5 2 6 2" xfId="35519" xr:uid="{00000000-0005-0000-0000-00001A2E0000}"/>
    <cellStyle name="20% - Accent4 4 5 2 7" xfId="24218" xr:uid="{00000000-0005-0000-0000-00001B2E0000}"/>
    <cellStyle name="20% - Accent4 4 5 3" xfId="985" xr:uid="{00000000-0005-0000-0000-00001C2E0000}"/>
    <cellStyle name="20% - Accent4 4 5 3 2" xfId="3048" xr:uid="{00000000-0005-0000-0000-00001D2E0000}"/>
    <cellStyle name="20% - Accent4 4 5 3 2 2" xfId="6020" xr:uid="{00000000-0005-0000-0000-00001E2E0000}"/>
    <cellStyle name="20% - Accent4 4 5 3 2 2 2" xfId="11670" xr:uid="{00000000-0005-0000-0000-00001F2E0000}"/>
    <cellStyle name="20% - Accent4 4 5 3 2 2 2 2" xfId="22971" xr:uid="{00000000-0005-0000-0000-0000202E0000}"/>
    <cellStyle name="20% - Accent4 4 5 3 2 2 2 2 2" xfId="45573" xr:uid="{00000000-0005-0000-0000-0000212E0000}"/>
    <cellStyle name="20% - Accent4 4 5 3 2 2 2 3" xfId="34272" xr:uid="{00000000-0005-0000-0000-0000222E0000}"/>
    <cellStyle name="20% - Accent4 4 5 3 2 2 3" xfId="17321" xr:uid="{00000000-0005-0000-0000-0000232E0000}"/>
    <cellStyle name="20% - Accent4 4 5 3 2 2 3 2" xfId="39923" xr:uid="{00000000-0005-0000-0000-0000242E0000}"/>
    <cellStyle name="20% - Accent4 4 5 3 2 2 4" xfId="28622" xr:uid="{00000000-0005-0000-0000-0000252E0000}"/>
    <cellStyle name="20% - Accent4 4 5 3 2 3" xfId="8838" xr:uid="{00000000-0005-0000-0000-0000262E0000}"/>
    <cellStyle name="20% - Accent4 4 5 3 2 3 2" xfId="20139" xr:uid="{00000000-0005-0000-0000-0000272E0000}"/>
    <cellStyle name="20% - Accent4 4 5 3 2 3 2 2" xfId="42741" xr:uid="{00000000-0005-0000-0000-0000282E0000}"/>
    <cellStyle name="20% - Accent4 4 5 3 2 3 3" xfId="31440" xr:uid="{00000000-0005-0000-0000-0000292E0000}"/>
    <cellStyle name="20% - Accent4 4 5 3 2 4" xfId="14489" xr:uid="{00000000-0005-0000-0000-00002A2E0000}"/>
    <cellStyle name="20% - Accent4 4 5 3 2 4 2" xfId="37091" xr:uid="{00000000-0005-0000-0000-00002B2E0000}"/>
    <cellStyle name="20% - Accent4 4 5 3 2 5" xfId="25790" xr:uid="{00000000-0005-0000-0000-00002C2E0000}"/>
    <cellStyle name="20% - Accent4 4 5 3 3" xfId="4786" xr:uid="{00000000-0005-0000-0000-00002D2E0000}"/>
    <cellStyle name="20% - Accent4 4 5 3 3 2" xfId="10436" xr:uid="{00000000-0005-0000-0000-00002E2E0000}"/>
    <cellStyle name="20% - Accent4 4 5 3 3 2 2" xfId="21737" xr:uid="{00000000-0005-0000-0000-00002F2E0000}"/>
    <cellStyle name="20% - Accent4 4 5 3 3 2 2 2" xfId="44339" xr:uid="{00000000-0005-0000-0000-0000302E0000}"/>
    <cellStyle name="20% - Accent4 4 5 3 3 2 3" xfId="33038" xr:uid="{00000000-0005-0000-0000-0000312E0000}"/>
    <cellStyle name="20% - Accent4 4 5 3 3 3" xfId="16087" xr:uid="{00000000-0005-0000-0000-0000322E0000}"/>
    <cellStyle name="20% - Accent4 4 5 3 3 3 2" xfId="38689" xr:uid="{00000000-0005-0000-0000-0000332E0000}"/>
    <cellStyle name="20% - Accent4 4 5 3 3 4" xfId="27388" xr:uid="{00000000-0005-0000-0000-0000342E0000}"/>
    <cellStyle name="20% - Accent4 4 5 3 4" xfId="6973" xr:uid="{00000000-0005-0000-0000-0000352E0000}"/>
    <cellStyle name="20% - Accent4 4 5 3 4 2" xfId="18274" xr:uid="{00000000-0005-0000-0000-0000362E0000}"/>
    <cellStyle name="20% - Accent4 4 5 3 4 2 2" xfId="40876" xr:uid="{00000000-0005-0000-0000-0000372E0000}"/>
    <cellStyle name="20% - Accent4 4 5 3 4 3" xfId="29575" xr:uid="{00000000-0005-0000-0000-0000382E0000}"/>
    <cellStyle name="20% - Accent4 4 5 3 5" xfId="12624" xr:uid="{00000000-0005-0000-0000-0000392E0000}"/>
    <cellStyle name="20% - Accent4 4 5 3 5 2" xfId="35226" xr:uid="{00000000-0005-0000-0000-00003A2E0000}"/>
    <cellStyle name="20% - Accent4 4 5 3 6" xfId="23925" xr:uid="{00000000-0005-0000-0000-00003B2E0000}"/>
    <cellStyle name="20% - Accent4 4 5 4" xfId="1702" xr:uid="{00000000-0005-0000-0000-00003C2E0000}"/>
    <cellStyle name="20% - Accent4 4 5 4 2" xfId="3647" xr:uid="{00000000-0005-0000-0000-00003D2E0000}"/>
    <cellStyle name="20% - Accent4 4 5 4 2 2" xfId="9359" xr:uid="{00000000-0005-0000-0000-00003E2E0000}"/>
    <cellStyle name="20% - Accent4 4 5 4 2 2 2" xfId="20660" xr:uid="{00000000-0005-0000-0000-00003F2E0000}"/>
    <cellStyle name="20% - Accent4 4 5 4 2 2 2 2" xfId="43262" xr:uid="{00000000-0005-0000-0000-0000402E0000}"/>
    <cellStyle name="20% - Accent4 4 5 4 2 2 3" xfId="31961" xr:uid="{00000000-0005-0000-0000-0000412E0000}"/>
    <cellStyle name="20% - Accent4 4 5 4 2 3" xfId="15010" xr:uid="{00000000-0005-0000-0000-0000422E0000}"/>
    <cellStyle name="20% - Accent4 4 5 4 2 3 2" xfId="37612" xr:uid="{00000000-0005-0000-0000-0000432E0000}"/>
    <cellStyle name="20% - Accent4 4 5 4 2 4" xfId="26311" xr:uid="{00000000-0005-0000-0000-0000442E0000}"/>
    <cellStyle name="20% - Accent4 4 5 4 3" xfId="5396" xr:uid="{00000000-0005-0000-0000-0000452E0000}"/>
    <cellStyle name="20% - Accent4 4 5 4 3 2" xfId="11046" xr:uid="{00000000-0005-0000-0000-0000462E0000}"/>
    <cellStyle name="20% - Accent4 4 5 4 3 2 2" xfId="22347" xr:uid="{00000000-0005-0000-0000-0000472E0000}"/>
    <cellStyle name="20% - Accent4 4 5 4 3 2 2 2" xfId="44949" xr:uid="{00000000-0005-0000-0000-0000482E0000}"/>
    <cellStyle name="20% - Accent4 4 5 4 3 2 3" xfId="33648" xr:uid="{00000000-0005-0000-0000-0000492E0000}"/>
    <cellStyle name="20% - Accent4 4 5 4 3 3" xfId="16697" xr:uid="{00000000-0005-0000-0000-00004A2E0000}"/>
    <cellStyle name="20% - Accent4 4 5 4 3 3 2" xfId="39299" xr:uid="{00000000-0005-0000-0000-00004B2E0000}"/>
    <cellStyle name="20% - Accent4 4 5 4 3 4" xfId="27998" xr:uid="{00000000-0005-0000-0000-00004C2E0000}"/>
    <cellStyle name="20% - Accent4 4 5 4 4" xfId="7558" xr:uid="{00000000-0005-0000-0000-00004D2E0000}"/>
    <cellStyle name="20% - Accent4 4 5 4 4 2" xfId="18859" xr:uid="{00000000-0005-0000-0000-00004E2E0000}"/>
    <cellStyle name="20% - Accent4 4 5 4 4 2 2" xfId="41461" xr:uid="{00000000-0005-0000-0000-00004F2E0000}"/>
    <cellStyle name="20% - Accent4 4 5 4 4 3" xfId="30160" xr:uid="{00000000-0005-0000-0000-0000502E0000}"/>
    <cellStyle name="20% - Accent4 4 5 4 5" xfId="13209" xr:uid="{00000000-0005-0000-0000-0000512E0000}"/>
    <cellStyle name="20% - Accent4 4 5 4 5 2" xfId="35811" xr:uid="{00000000-0005-0000-0000-0000522E0000}"/>
    <cellStyle name="20% - Accent4 4 5 4 6" xfId="24510" xr:uid="{00000000-0005-0000-0000-0000532E0000}"/>
    <cellStyle name="20% - Accent4 4 5 5" xfId="2377" xr:uid="{00000000-0005-0000-0000-0000542E0000}"/>
    <cellStyle name="20% - Accent4 4 5 5 2" xfId="8213" xr:uid="{00000000-0005-0000-0000-0000552E0000}"/>
    <cellStyle name="20% - Accent4 4 5 5 2 2" xfId="19514" xr:uid="{00000000-0005-0000-0000-0000562E0000}"/>
    <cellStyle name="20% - Accent4 4 5 5 2 2 2" xfId="42116" xr:uid="{00000000-0005-0000-0000-0000572E0000}"/>
    <cellStyle name="20% - Accent4 4 5 5 2 3" xfId="30815" xr:uid="{00000000-0005-0000-0000-0000582E0000}"/>
    <cellStyle name="20% - Accent4 4 5 5 3" xfId="13864" xr:uid="{00000000-0005-0000-0000-0000592E0000}"/>
    <cellStyle name="20% - Accent4 4 5 5 3 2" xfId="36466" xr:uid="{00000000-0005-0000-0000-00005A2E0000}"/>
    <cellStyle name="20% - Accent4 4 5 5 4" xfId="25165" xr:uid="{00000000-0005-0000-0000-00005B2E0000}"/>
    <cellStyle name="20% - Accent4 4 5 6" xfId="4162" xr:uid="{00000000-0005-0000-0000-00005C2E0000}"/>
    <cellStyle name="20% - Accent4 4 5 6 2" xfId="9812" xr:uid="{00000000-0005-0000-0000-00005D2E0000}"/>
    <cellStyle name="20% - Accent4 4 5 6 2 2" xfId="21113" xr:uid="{00000000-0005-0000-0000-00005E2E0000}"/>
    <cellStyle name="20% - Accent4 4 5 6 2 2 2" xfId="43715" xr:uid="{00000000-0005-0000-0000-00005F2E0000}"/>
    <cellStyle name="20% - Accent4 4 5 6 2 3" xfId="32414" xr:uid="{00000000-0005-0000-0000-0000602E0000}"/>
    <cellStyle name="20% - Accent4 4 5 6 3" xfId="15463" xr:uid="{00000000-0005-0000-0000-0000612E0000}"/>
    <cellStyle name="20% - Accent4 4 5 6 3 2" xfId="38065" xr:uid="{00000000-0005-0000-0000-0000622E0000}"/>
    <cellStyle name="20% - Accent4 4 5 6 4" xfId="26764" xr:uid="{00000000-0005-0000-0000-0000632E0000}"/>
    <cellStyle name="20% - Accent4 4 5 7" xfId="6613" xr:uid="{00000000-0005-0000-0000-0000642E0000}"/>
    <cellStyle name="20% - Accent4 4 5 7 2" xfId="17914" xr:uid="{00000000-0005-0000-0000-0000652E0000}"/>
    <cellStyle name="20% - Accent4 4 5 7 2 2" xfId="40516" xr:uid="{00000000-0005-0000-0000-0000662E0000}"/>
    <cellStyle name="20% - Accent4 4 5 7 3" xfId="29215" xr:uid="{00000000-0005-0000-0000-0000672E0000}"/>
    <cellStyle name="20% - Accent4 4 5 8" xfId="12264" xr:uid="{00000000-0005-0000-0000-0000682E0000}"/>
    <cellStyle name="20% - Accent4 4 5 8 2" xfId="34866" xr:uid="{00000000-0005-0000-0000-0000692E0000}"/>
    <cellStyle name="20% - Accent4 4 5 9" xfId="23565" xr:uid="{00000000-0005-0000-0000-00006A2E0000}"/>
    <cellStyle name="20% - Accent4 4 6" xfId="1120" xr:uid="{00000000-0005-0000-0000-00006B2E0000}"/>
    <cellStyle name="20% - Accent4 4 6 2" xfId="1704" xr:uid="{00000000-0005-0000-0000-00006C2E0000}"/>
    <cellStyle name="20% - Accent4 4 6 2 2" xfId="3187" xr:uid="{00000000-0005-0000-0000-00006D2E0000}"/>
    <cellStyle name="20% - Accent4 4 6 2 2 2" xfId="6159" xr:uid="{00000000-0005-0000-0000-00006E2E0000}"/>
    <cellStyle name="20% - Accent4 4 6 2 2 2 2" xfId="11809" xr:uid="{00000000-0005-0000-0000-00006F2E0000}"/>
    <cellStyle name="20% - Accent4 4 6 2 2 2 2 2" xfId="23110" xr:uid="{00000000-0005-0000-0000-0000702E0000}"/>
    <cellStyle name="20% - Accent4 4 6 2 2 2 2 2 2" xfId="45712" xr:uid="{00000000-0005-0000-0000-0000712E0000}"/>
    <cellStyle name="20% - Accent4 4 6 2 2 2 2 3" xfId="34411" xr:uid="{00000000-0005-0000-0000-0000722E0000}"/>
    <cellStyle name="20% - Accent4 4 6 2 2 2 3" xfId="17460" xr:uid="{00000000-0005-0000-0000-0000732E0000}"/>
    <cellStyle name="20% - Accent4 4 6 2 2 2 3 2" xfId="40062" xr:uid="{00000000-0005-0000-0000-0000742E0000}"/>
    <cellStyle name="20% - Accent4 4 6 2 2 2 4" xfId="28761" xr:uid="{00000000-0005-0000-0000-0000752E0000}"/>
    <cellStyle name="20% - Accent4 4 6 2 2 3" xfId="8977" xr:uid="{00000000-0005-0000-0000-0000762E0000}"/>
    <cellStyle name="20% - Accent4 4 6 2 2 3 2" xfId="20278" xr:uid="{00000000-0005-0000-0000-0000772E0000}"/>
    <cellStyle name="20% - Accent4 4 6 2 2 3 2 2" xfId="42880" xr:uid="{00000000-0005-0000-0000-0000782E0000}"/>
    <cellStyle name="20% - Accent4 4 6 2 2 3 3" xfId="31579" xr:uid="{00000000-0005-0000-0000-0000792E0000}"/>
    <cellStyle name="20% - Accent4 4 6 2 2 4" xfId="14628" xr:uid="{00000000-0005-0000-0000-00007A2E0000}"/>
    <cellStyle name="20% - Accent4 4 6 2 2 4 2" xfId="37230" xr:uid="{00000000-0005-0000-0000-00007B2E0000}"/>
    <cellStyle name="20% - Accent4 4 6 2 2 5" xfId="25929" xr:uid="{00000000-0005-0000-0000-00007C2E0000}"/>
    <cellStyle name="20% - Accent4 4 6 2 3" xfId="4925" xr:uid="{00000000-0005-0000-0000-00007D2E0000}"/>
    <cellStyle name="20% - Accent4 4 6 2 3 2" xfId="10575" xr:uid="{00000000-0005-0000-0000-00007E2E0000}"/>
    <cellStyle name="20% - Accent4 4 6 2 3 2 2" xfId="21876" xr:uid="{00000000-0005-0000-0000-00007F2E0000}"/>
    <cellStyle name="20% - Accent4 4 6 2 3 2 2 2" xfId="44478" xr:uid="{00000000-0005-0000-0000-0000802E0000}"/>
    <cellStyle name="20% - Accent4 4 6 2 3 2 3" xfId="33177" xr:uid="{00000000-0005-0000-0000-0000812E0000}"/>
    <cellStyle name="20% - Accent4 4 6 2 3 3" xfId="16226" xr:uid="{00000000-0005-0000-0000-0000822E0000}"/>
    <cellStyle name="20% - Accent4 4 6 2 3 3 2" xfId="38828" xr:uid="{00000000-0005-0000-0000-0000832E0000}"/>
    <cellStyle name="20% - Accent4 4 6 2 3 4" xfId="27527" xr:uid="{00000000-0005-0000-0000-0000842E0000}"/>
    <cellStyle name="20% - Accent4 4 6 2 4" xfId="7560" xr:uid="{00000000-0005-0000-0000-0000852E0000}"/>
    <cellStyle name="20% - Accent4 4 6 2 4 2" xfId="18861" xr:uid="{00000000-0005-0000-0000-0000862E0000}"/>
    <cellStyle name="20% - Accent4 4 6 2 4 2 2" xfId="41463" xr:uid="{00000000-0005-0000-0000-0000872E0000}"/>
    <cellStyle name="20% - Accent4 4 6 2 4 3" xfId="30162" xr:uid="{00000000-0005-0000-0000-0000882E0000}"/>
    <cellStyle name="20% - Accent4 4 6 2 5" xfId="13211" xr:uid="{00000000-0005-0000-0000-0000892E0000}"/>
    <cellStyle name="20% - Accent4 4 6 2 5 2" xfId="35813" xr:uid="{00000000-0005-0000-0000-00008A2E0000}"/>
    <cellStyle name="20% - Accent4 4 6 2 6" xfId="24512" xr:uid="{00000000-0005-0000-0000-00008B2E0000}"/>
    <cellStyle name="20% - Accent4 4 6 3" xfId="2516" xr:uid="{00000000-0005-0000-0000-00008C2E0000}"/>
    <cellStyle name="20% - Accent4 4 6 3 2" xfId="5535" xr:uid="{00000000-0005-0000-0000-00008D2E0000}"/>
    <cellStyle name="20% - Accent4 4 6 3 2 2" xfId="11185" xr:uid="{00000000-0005-0000-0000-00008E2E0000}"/>
    <cellStyle name="20% - Accent4 4 6 3 2 2 2" xfId="22486" xr:uid="{00000000-0005-0000-0000-00008F2E0000}"/>
    <cellStyle name="20% - Accent4 4 6 3 2 2 2 2" xfId="45088" xr:uid="{00000000-0005-0000-0000-0000902E0000}"/>
    <cellStyle name="20% - Accent4 4 6 3 2 2 3" xfId="33787" xr:uid="{00000000-0005-0000-0000-0000912E0000}"/>
    <cellStyle name="20% - Accent4 4 6 3 2 3" xfId="16836" xr:uid="{00000000-0005-0000-0000-0000922E0000}"/>
    <cellStyle name="20% - Accent4 4 6 3 2 3 2" xfId="39438" xr:uid="{00000000-0005-0000-0000-0000932E0000}"/>
    <cellStyle name="20% - Accent4 4 6 3 2 4" xfId="28137" xr:uid="{00000000-0005-0000-0000-0000942E0000}"/>
    <cellStyle name="20% - Accent4 4 6 3 3" xfId="8352" xr:uid="{00000000-0005-0000-0000-0000952E0000}"/>
    <cellStyle name="20% - Accent4 4 6 3 3 2" xfId="19653" xr:uid="{00000000-0005-0000-0000-0000962E0000}"/>
    <cellStyle name="20% - Accent4 4 6 3 3 2 2" xfId="42255" xr:uid="{00000000-0005-0000-0000-0000972E0000}"/>
    <cellStyle name="20% - Accent4 4 6 3 3 3" xfId="30954" xr:uid="{00000000-0005-0000-0000-0000982E0000}"/>
    <cellStyle name="20% - Accent4 4 6 3 4" xfId="14003" xr:uid="{00000000-0005-0000-0000-0000992E0000}"/>
    <cellStyle name="20% - Accent4 4 6 3 4 2" xfId="36605" xr:uid="{00000000-0005-0000-0000-00009A2E0000}"/>
    <cellStyle name="20% - Accent4 4 6 3 5" xfId="25304" xr:uid="{00000000-0005-0000-0000-00009B2E0000}"/>
    <cellStyle name="20% - Accent4 4 6 4" xfId="4301" xr:uid="{00000000-0005-0000-0000-00009C2E0000}"/>
    <cellStyle name="20% - Accent4 4 6 4 2" xfId="9951" xr:uid="{00000000-0005-0000-0000-00009D2E0000}"/>
    <cellStyle name="20% - Accent4 4 6 4 2 2" xfId="21252" xr:uid="{00000000-0005-0000-0000-00009E2E0000}"/>
    <cellStyle name="20% - Accent4 4 6 4 2 2 2" xfId="43854" xr:uid="{00000000-0005-0000-0000-00009F2E0000}"/>
    <cellStyle name="20% - Accent4 4 6 4 2 3" xfId="32553" xr:uid="{00000000-0005-0000-0000-0000A02E0000}"/>
    <cellStyle name="20% - Accent4 4 6 4 3" xfId="15602" xr:uid="{00000000-0005-0000-0000-0000A12E0000}"/>
    <cellStyle name="20% - Accent4 4 6 4 3 2" xfId="38204" xr:uid="{00000000-0005-0000-0000-0000A22E0000}"/>
    <cellStyle name="20% - Accent4 4 6 4 4" xfId="26903" xr:uid="{00000000-0005-0000-0000-0000A32E0000}"/>
    <cellStyle name="20% - Accent4 4 6 5" xfId="7099" xr:uid="{00000000-0005-0000-0000-0000A42E0000}"/>
    <cellStyle name="20% - Accent4 4 6 5 2" xfId="18400" xr:uid="{00000000-0005-0000-0000-0000A52E0000}"/>
    <cellStyle name="20% - Accent4 4 6 5 2 2" xfId="41002" xr:uid="{00000000-0005-0000-0000-0000A62E0000}"/>
    <cellStyle name="20% - Accent4 4 6 5 3" xfId="29701" xr:uid="{00000000-0005-0000-0000-0000A72E0000}"/>
    <cellStyle name="20% - Accent4 4 6 6" xfId="12750" xr:uid="{00000000-0005-0000-0000-0000A82E0000}"/>
    <cellStyle name="20% - Accent4 4 6 6 2" xfId="35352" xr:uid="{00000000-0005-0000-0000-0000A92E0000}"/>
    <cellStyle name="20% - Accent4 4 6 7" xfId="24051" xr:uid="{00000000-0005-0000-0000-0000AA2E0000}"/>
    <cellStyle name="20% - Accent4 4 7" xfId="784" xr:uid="{00000000-0005-0000-0000-0000AB2E0000}"/>
    <cellStyle name="20% - Accent4 4 7 2" xfId="2881" xr:uid="{00000000-0005-0000-0000-0000AC2E0000}"/>
    <cellStyle name="20% - Accent4 4 7 2 2" xfId="5853" xr:uid="{00000000-0005-0000-0000-0000AD2E0000}"/>
    <cellStyle name="20% - Accent4 4 7 2 2 2" xfId="11503" xr:uid="{00000000-0005-0000-0000-0000AE2E0000}"/>
    <cellStyle name="20% - Accent4 4 7 2 2 2 2" xfId="22804" xr:uid="{00000000-0005-0000-0000-0000AF2E0000}"/>
    <cellStyle name="20% - Accent4 4 7 2 2 2 2 2" xfId="45406" xr:uid="{00000000-0005-0000-0000-0000B02E0000}"/>
    <cellStyle name="20% - Accent4 4 7 2 2 2 3" xfId="34105" xr:uid="{00000000-0005-0000-0000-0000B12E0000}"/>
    <cellStyle name="20% - Accent4 4 7 2 2 3" xfId="17154" xr:uid="{00000000-0005-0000-0000-0000B22E0000}"/>
    <cellStyle name="20% - Accent4 4 7 2 2 3 2" xfId="39756" xr:uid="{00000000-0005-0000-0000-0000B32E0000}"/>
    <cellStyle name="20% - Accent4 4 7 2 2 4" xfId="28455" xr:uid="{00000000-0005-0000-0000-0000B42E0000}"/>
    <cellStyle name="20% - Accent4 4 7 2 3" xfId="8671" xr:uid="{00000000-0005-0000-0000-0000B52E0000}"/>
    <cellStyle name="20% - Accent4 4 7 2 3 2" xfId="19972" xr:uid="{00000000-0005-0000-0000-0000B62E0000}"/>
    <cellStyle name="20% - Accent4 4 7 2 3 2 2" xfId="42574" xr:uid="{00000000-0005-0000-0000-0000B72E0000}"/>
    <cellStyle name="20% - Accent4 4 7 2 3 3" xfId="31273" xr:uid="{00000000-0005-0000-0000-0000B82E0000}"/>
    <cellStyle name="20% - Accent4 4 7 2 4" xfId="14322" xr:uid="{00000000-0005-0000-0000-0000B92E0000}"/>
    <cellStyle name="20% - Accent4 4 7 2 4 2" xfId="36924" xr:uid="{00000000-0005-0000-0000-0000BA2E0000}"/>
    <cellStyle name="20% - Accent4 4 7 2 5" xfId="25623" xr:uid="{00000000-0005-0000-0000-0000BB2E0000}"/>
    <cellStyle name="20% - Accent4 4 7 3" xfId="4619" xr:uid="{00000000-0005-0000-0000-0000BC2E0000}"/>
    <cellStyle name="20% - Accent4 4 7 3 2" xfId="10269" xr:uid="{00000000-0005-0000-0000-0000BD2E0000}"/>
    <cellStyle name="20% - Accent4 4 7 3 2 2" xfId="21570" xr:uid="{00000000-0005-0000-0000-0000BE2E0000}"/>
    <cellStyle name="20% - Accent4 4 7 3 2 2 2" xfId="44172" xr:uid="{00000000-0005-0000-0000-0000BF2E0000}"/>
    <cellStyle name="20% - Accent4 4 7 3 2 3" xfId="32871" xr:uid="{00000000-0005-0000-0000-0000C02E0000}"/>
    <cellStyle name="20% - Accent4 4 7 3 3" xfId="15920" xr:uid="{00000000-0005-0000-0000-0000C12E0000}"/>
    <cellStyle name="20% - Accent4 4 7 3 3 2" xfId="38522" xr:uid="{00000000-0005-0000-0000-0000C22E0000}"/>
    <cellStyle name="20% - Accent4 4 7 3 4" xfId="27221" xr:uid="{00000000-0005-0000-0000-0000C32E0000}"/>
    <cellStyle name="20% - Accent4 4 7 4" xfId="6801" xr:uid="{00000000-0005-0000-0000-0000C42E0000}"/>
    <cellStyle name="20% - Accent4 4 7 4 2" xfId="18102" xr:uid="{00000000-0005-0000-0000-0000C52E0000}"/>
    <cellStyle name="20% - Accent4 4 7 4 2 2" xfId="40704" xr:uid="{00000000-0005-0000-0000-0000C62E0000}"/>
    <cellStyle name="20% - Accent4 4 7 4 3" xfId="29403" xr:uid="{00000000-0005-0000-0000-0000C72E0000}"/>
    <cellStyle name="20% - Accent4 4 7 5" xfId="12452" xr:uid="{00000000-0005-0000-0000-0000C82E0000}"/>
    <cellStyle name="20% - Accent4 4 7 5 2" xfId="35054" xr:uid="{00000000-0005-0000-0000-0000C92E0000}"/>
    <cellStyle name="20% - Accent4 4 7 6" xfId="23753" xr:uid="{00000000-0005-0000-0000-0000CA2E0000}"/>
    <cellStyle name="20% - Accent4 4 8" xfId="1691" xr:uid="{00000000-0005-0000-0000-0000CB2E0000}"/>
    <cellStyle name="20% - Accent4 4 8 2" xfId="3641" xr:uid="{00000000-0005-0000-0000-0000CC2E0000}"/>
    <cellStyle name="20% - Accent4 4 8 2 2" xfId="9353" xr:uid="{00000000-0005-0000-0000-0000CD2E0000}"/>
    <cellStyle name="20% - Accent4 4 8 2 2 2" xfId="20654" xr:uid="{00000000-0005-0000-0000-0000CE2E0000}"/>
    <cellStyle name="20% - Accent4 4 8 2 2 2 2" xfId="43256" xr:uid="{00000000-0005-0000-0000-0000CF2E0000}"/>
    <cellStyle name="20% - Accent4 4 8 2 2 3" xfId="31955" xr:uid="{00000000-0005-0000-0000-0000D02E0000}"/>
    <cellStyle name="20% - Accent4 4 8 2 3" xfId="15004" xr:uid="{00000000-0005-0000-0000-0000D12E0000}"/>
    <cellStyle name="20% - Accent4 4 8 2 3 2" xfId="37606" xr:uid="{00000000-0005-0000-0000-0000D22E0000}"/>
    <cellStyle name="20% - Accent4 4 8 2 4" xfId="26305" xr:uid="{00000000-0005-0000-0000-0000D32E0000}"/>
    <cellStyle name="20% - Accent4 4 8 3" xfId="5229" xr:uid="{00000000-0005-0000-0000-0000D42E0000}"/>
    <cellStyle name="20% - Accent4 4 8 3 2" xfId="10879" xr:uid="{00000000-0005-0000-0000-0000D52E0000}"/>
    <cellStyle name="20% - Accent4 4 8 3 2 2" xfId="22180" xr:uid="{00000000-0005-0000-0000-0000D62E0000}"/>
    <cellStyle name="20% - Accent4 4 8 3 2 2 2" xfId="44782" xr:uid="{00000000-0005-0000-0000-0000D72E0000}"/>
    <cellStyle name="20% - Accent4 4 8 3 2 3" xfId="33481" xr:uid="{00000000-0005-0000-0000-0000D82E0000}"/>
    <cellStyle name="20% - Accent4 4 8 3 3" xfId="16530" xr:uid="{00000000-0005-0000-0000-0000D92E0000}"/>
    <cellStyle name="20% - Accent4 4 8 3 3 2" xfId="39132" xr:uid="{00000000-0005-0000-0000-0000DA2E0000}"/>
    <cellStyle name="20% - Accent4 4 8 3 4" xfId="27831" xr:uid="{00000000-0005-0000-0000-0000DB2E0000}"/>
    <cellStyle name="20% - Accent4 4 8 4" xfId="7547" xr:uid="{00000000-0005-0000-0000-0000DC2E0000}"/>
    <cellStyle name="20% - Accent4 4 8 4 2" xfId="18848" xr:uid="{00000000-0005-0000-0000-0000DD2E0000}"/>
    <cellStyle name="20% - Accent4 4 8 4 2 2" xfId="41450" xr:uid="{00000000-0005-0000-0000-0000DE2E0000}"/>
    <cellStyle name="20% - Accent4 4 8 4 3" xfId="30149" xr:uid="{00000000-0005-0000-0000-0000DF2E0000}"/>
    <cellStyle name="20% - Accent4 4 8 5" xfId="13198" xr:uid="{00000000-0005-0000-0000-0000E02E0000}"/>
    <cellStyle name="20% - Accent4 4 8 5 2" xfId="35800" xr:uid="{00000000-0005-0000-0000-0000E12E0000}"/>
    <cellStyle name="20% - Accent4 4 8 6" xfId="24499" xr:uid="{00000000-0005-0000-0000-0000E22E0000}"/>
    <cellStyle name="20% - Accent4 4 9" xfId="2200" xr:uid="{00000000-0005-0000-0000-0000E32E0000}"/>
    <cellStyle name="20% - Accent4 4 9 2" xfId="8043" xr:uid="{00000000-0005-0000-0000-0000E42E0000}"/>
    <cellStyle name="20% - Accent4 4 9 2 2" xfId="19344" xr:uid="{00000000-0005-0000-0000-0000E52E0000}"/>
    <cellStyle name="20% - Accent4 4 9 2 2 2" xfId="41946" xr:uid="{00000000-0005-0000-0000-0000E62E0000}"/>
    <cellStyle name="20% - Accent4 4 9 2 3" xfId="30645" xr:uid="{00000000-0005-0000-0000-0000E72E0000}"/>
    <cellStyle name="20% - Accent4 4 9 3" xfId="13694" xr:uid="{00000000-0005-0000-0000-0000E82E0000}"/>
    <cellStyle name="20% - Accent4 4 9 3 2" xfId="36296" xr:uid="{00000000-0005-0000-0000-0000E92E0000}"/>
    <cellStyle name="20% - Accent4 4 9 4" xfId="24995" xr:uid="{00000000-0005-0000-0000-0000EA2E0000}"/>
    <cellStyle name="20% - Accent4 5" xfId="272" xr:uid="{00000000-0005-0000-0000-0000EB2E0000}"/>
    <cellStyle name="20% - Accent4 5 10" xfId="12137" xr:uid="{00000000-0005-0000-0000-0000EC2E0000}"/>
    <cellStyle name="20% - Accent4 5 10 2" xfId="34739" xr:uid="{00000000-0005-0000-0000-0000ED2E0000}"/>
    <cellStyle name="20% - Accent4 5 11" xfId="23438" xr:uid="{00000000-0005-0000-0000-0000EE2E0000}"/>
    <cellStyle name="20% - Accent4 5 2" xfId="439" xr:uid="{00000000-0005-0000-0000-0000EF2E0000}"/>
    <cellStyle name="20% - Accent4 5 2 10" xfId="23534" xr:uid="{00000000-0005-0000-0000-0000F02E0000}"/>
    <cellStyle name="20% - Accent4 5 2 2" xfId="684" xr:uid="{00000000-0005-0000-0000-0000F12E0000}"/>
    <cellStyle name="20% - Accent4 5 2 2 2" xfId="1394" xr:uid="{00000000-0005-0000-0000-0000F22E0000}"/>
    <cellStyle name="20% - Accent4 5 2 2 2 2" xfId="1708" xr:uid="{00000000-0005-0000-0000-0000F32E0000}"/>
    <cellStyle name="20% - Accent4 5 2 2 2 2 2" xfId="3463" xr:uid="{00000000-0005-0000-0000-0000F42E0000}"/>
    <cellStyle name="20% - Accent4 5 2 2 2 2 2 2" xfId="6435" xr:uid="{00000000-0005-0000-0000-0000F52E0000}"/>
    <cellStyle name="20% - Accent4 5 2 2 2 2 2 2 2" xfId="12085" xr:uid="{00000000-0005-0000-0000-0000F62E0000}"/>
    <cellStyle name="20% - Accent4 5 2 2 2 2 2 2 2 2" xfId="23386" xr:uid="{00000000-0005-0000-0000-0000F72E0000}"/>
    <cellStyle name="20% - Accent4 5 2 2 2 2 2 2 2 2 2" xfId="45988" xr:uid="{00000000-0005-0000-0000-0000F82E0000}"/>
    <cellStyle name="20% - Accent4 5 2 2 2 2 2 2 2 3" xfId="34687" xr:uid="{00000000-0005-0000-0000-0000F92E0000}"/>
    <cellStyle name="20% - Accent4 5 2 2 2 2 2 2 3" xfId="17736" xr:uid="{00000000-0005-0000-0000-0000FA2E0000}"/>
    <cellStyle name="20% - Accent4 5 2 2 2 2 2 2 3 2" xfId="40338" xr:uid="{00000000-0005-0000-0000-0000FB2E0000}"/>
    <cellStyle name="20% - Accent4 5 2 2 2 2 2 2 4" xfId="29037" xr:uid="{00000000-0005-0000-0000-0000FC2E0000}"/>
    <cellStyle name="20% - Accent4 5 2 2 2 2 2 3" xfId="9253" xr:uid="{00000000-0005-0000-0000-0000FD2E0000}"/>
    <cellStyle name="20% - Accent4 5 2 2 2 2 2 3 2" xfId="20554" xr:uid="{00000000-0005-0000-0000-0000FE2E0000}"/>
    <cellStyle name="20% - Accent4 5 2 2 2 2 2 3 2 2" xfId="43156" xr:uid="{00000000-0005-0000-0000-0000FF2E0000}"/>
    <cellStyle name="20% - Accent4 5 2 2 2 2 2 3 3" xfId="31855" xr:uid="{00000000-0005-0000-0000-0000002F0000}"/>
    <cellStyle name="20% - Accent4 5 2 2 2 2 2 4" xfId="14904" xr:uid="{00000000-0005-0000-0000-0000012F0000}"/>
    <cellStyle name="20% - Accent4 5 2 2 2 2 2 4 2" xfId="37506" xr:uid="{00000000-0005-0000-0000-0000022F0000}"/>
    <cellStyle name="20% - Accent4 5 2 2 2 2 2 5" xfId="26205" xr:uid="{00000000-0005-0000-0000-0000032F0000}"/>
    <cellStyle name="20% - Accent4 5 2 2 2 2 3" xfId="5201" xr:uid="{00000000-0005-0000-0000-0000042F0000}"/>
    <cellStyle name="20% - Accent4 5 2 2 2 2 3 2" xfId="10851" xr:uid="{00000000-0005-0000-0000-0000052F0000}"/>
    <cellStyle name="20% - Accent4 5 2 2 2 2 3 2 2" xfId="22152" xr:uid="{00000000-0005-0000-0000-0000062F0000}"/>
    <cellStyle name="20% - Accent4 5 2 2 2 2 3 2 2 2" xfId="44754" xr:uid="{00000000-0005-0000-0000-0000072F0000}"/>
    <cellStyle name="20% - Accent4 5 2 2 2 2 3 2 3" xfId="33453" xr:uid="{00000000-0005-0000-0000-0000082F0000}"/>
    <cellStyle name="20% - Accent4 5 2 2 2 2 3 3" xfId="16502" xr:uid="{00000000-0005-0000-0000-0000092F0000}"/>
    <cellStyle name="20% - Accent4 5 2 2 2 2 3 3 2" xfId="39104" xr:uid="{00000000-0005-0000-0000-00000A2F0000}"/>
    <cellStyle name="20% - Accent4 5 2 2 2 2 3 4" xfId="27803" xr:uid="{00000000-0005-0000-0000-00000B2F0000}"/>
    <cellStyle name="20% - Accent4 5 2 2 2 2 4" xfId="7564" xr:uid="{00000000-0005-0000-0000-00000C2F0000}"/>
    <cellStyle name="20% - Accent4 5 2 2 2 2 4 2" xfId="18865" xr:uid="{00000000-0005-0000-0000-00000D2F0000}"/>
    <cellStyle name="20% - Accent4 5 2 2 2 2 4 2 2" xfId="41467" xr:uid="{00000000-0005-0000-0000-00000E2F0000}"/>
    <cellStyle name="20% - Accent4 5 2 2 2 2 4 3" xfId="30166" xr:uid="{00000000-0005-0000-0000-00000F2F0000}"/>
    <cellStyle name="20% - Accent4 5 2 2 2 2 5" xfId="13215" xr:uid="{00000000-0005-0000-0000-0000102F0000}"/>
    <cellStyle name="20% - Accent4 5 2 2 2 2 5 2" xfId="35817" xr:uid="{00000000-0005-0000-0000-0000112F0000}"/>
    <cellStyle name="20% - Accent4 5 2 2 2 2 6" xfId="24516" xr:uid="{00000000-0005-0000-0000-0000122F0000}"/>
    <cellStyle name="20% - Accent4 5 2 2 2 3" xfId="2792" xr:uid="{00000000-0005-0000-0000-0000132F0000}"/>
    <cellStyle name="20% - Accent4 5 2 2 2 3 2" xfId="5811" xr:uid="{00000000-0005-0000-0000-0000142F0000}"/>
    <cellStyle name="20% - Accent4 5 2 2 2 3 2 2" xfId="11461" xr:uid="{00000000-0005-0000-0000-0000152F0000}"/>
    <cellStyle name="20% - Accent4 5 2 2 2 3 2 2 2" xfId="22762" xr:uid="{00000000-0005-0000-0000-0000162F0000}"/>
    <cellStyle name="20% - Accent4 5 2 2 2 3 2 2 2 2" xfId="45364" xr:uid="{00000000-0005-0000-0000-0000172F0000}"/>
    <cellStyle name="20% - Accent4 5 2 2 2 3 2 2 3" xfId="34063" xr:uid="{00000000-0005-0000-0000-0000182F0000}"/>
    <cellStyle name="20% - Accent4 5 2 2 2 3 2 3" xfId="17112" xr:uid="{00000000-0005-0000-0000-0000192F0000}"/>
    <cellStyle name="20% - Accent4 5 2 2 2 3 2 3 2" xfId="39714" xr:uid="{00000000-0005-0000-0000-00001A2F0000}"/>
    <cellStyle name="20% - Accent4 5 2 2 2 3 2 4" xfId="28413" xr:uid="{00000000-0005-0000-0000-00001B2F0000}"/>
    <cellStyle name="20% - Accent4 5 2 2 2 3 3" xfId="8628" xr:uid="{00000000-0005-0000-0000-00001C2F0000}"/>
    <cellStyle name="20% - Accent4 5 2 2 2 3 3 2" xfId="19929" xr:uid="{00000000-0005-0000-0000-00001D2F0000}"/>
    <cellStyle name="20% - Accent4 5 2 2 2 3 3 2 2" xfId="42531" xr:uid="{00000000-0005-0000-0000-00001E2F0000}"/>
    <cellStyle name="20% - Accent4 5 2 2 2 3 3 3" xfId="31230" xr:uid="{00000000-0005-0000-0000-00001F2F0000}"/>
    <cellStyle name="20% - Accent4 5 2 2 2 3 4" xfId="14279" xr:uid="{00000000-0005-0000-0000-0000202F0000}"/>
    <cellStyle name="20% - Accent4 5 2 2 2 3 4 2" xfId="36881" xr:uid="{00000000-0005-0000-0000-0000212F0000}"/>
    <cellStyle name="20% - Accent4 5 2 2 2 3 5" xfId="25580" xr:uid="{00000000-0005-0000-0000-0000222F0000}"/>
    <cellStyle name="20% - Accent4 5 2 2 2 4" xfId="4577" xr:uid="{00000000-0005-0000-0000-0000232F0000}"/>
    <cellStyle name="20% - Accent4 5 2 2 2 4 2" xfId="10227" xr:uid="{00000000-0005-0000-0000-0000242F0000}"/>
    <cellStyle name="20% - Accent4 5 2 2 2 4 2 2" xfId="21528" xr:uid="{00000000-0005-0000-0000-0000252F0000}"/>
    <cellStyle name="20% - Accent4 5 2 2 2 4 2 2 2" xfId="44130" xr:uid="{00000000-0005-0000-0000-0000262F0000}"/>
    <cellStyle name="20% - Accent4 5 2 2 2 4 2 3" xfId="32829" xr:uid="{00000000-0005-0000-0000-0000272F0000}"/>
    <cellStyle name="20% - Accent4 5 2 2 2 4 3" xfId="15878" xr:uid="{00000000-0005-0000-0000-0000282F0000}"/>
    <cellStyle name="20% - Accent4 5 2 2 2 4 3 2" xfId="38480" xr:uid="{00000000-0005-0000-0000-0000292F0000}"/>
    <cellStyle name="20% - Accent4 5 2 2 2 4 4" xfId="27179" xr:uid="{00000000-0005-0000-0000-00002A2F0000}"/>
    <cellStyle name="20% - Accent4 5 2 2 2 5" xfId="7373" xr:uid="{00000000-0005-0000-0000-00002B2F0000}"/>
    <cellStyle name="20% - Accent4 5 2 2 2 5 2" xfId="18674" xr:uid="{00000000-0005-0000-0000-00002C2F0000}"/>
    <cellStyle name="20% - Accent4 5 2 2 2 5 2 2" xfId="41276" xr:uid="{00000000-0005-0000-0000-00002D2F0000}"/>
    <cellStyle name="20% - Accent4 5 2 2 2 5 3" xfId="29975" xr:uid="{00000000-0005-0000-0000-00002E2F0000}"/>
    <cellStyle name="20% - Accent4 5 2 2 2 6" xfId="13024" xr:uid="{00000000-0005-0000-0000-00002F2F0000}"/>
    <cellStyle name="20% - Accent4 5 2 2 2 6 2" xfId="35626" xr:uid="{00000000-0005-0000-0000-0000302F0000}"/>
    <cellStyle name="20% - Accent4 5 2 2 2 7" xfId="24325" xr:uid="{00000000-0005-0000-0000-0000312F0000}"/>
    <cellStyle name="20% - Accent4 5 2 2 3" xfId="1092" xr:uid="{00000000-0005-0000-0000-0000322F0000}"/>
    <cellStyle name="20% - Accent4 5 2 2 3 2" xfId="3155" xr:uid="{00000000-0005-0000-0000-0000332F0000}"/>
    <cellStyle name="20% - Accent4 5 2 2 3 2 2" xfId="6127" xr:uid="{00000000-0005-0000-0000-0000342F0000}"/>
    <cellStyle name="20% - Accent4 5 2 2 3 2 2 2" xfId="11777" xr:uid="{00000000-0005-0000-0000-0000352F0000}"/>
    <cellStyle name="20% - Accent4 5 2 2 3 2 2 2 2" xfId="23078" xr:uid="{00000000-0005-0000-0000-0000362F0000}"/>
    <cellStyle name="20% - Accent4 5 2 2 3 2 2 2 2 2" xfId="45680" xr:uid="{00000000-0005-0000-0000-0000372F0000}"/>
    <cellStyle name="20% - Accent4 5 2 2 3 2 2 2 3" xfId="34379" xr:uid="{00000000-0005-0000-0000-0000382F0000}"/>
    <cellStyle name="20% - Accent4 5 2 2 3 2 2 3" xfId="17428" xr:uid="{00000000-0005-0000-0000-0000392F0000}"/>
    <cellStyle name="20% - Accent4 5 2 2 3 2 2 3 2" xfId="40030" xr:uid="{00000000-0005-0000-0000-00003A2F0000}"/>
    <cellStyle name="20% - Accent4 5 2 2 3 2 2 4" xfId="28729" xr:uid="{00000000-0005-0000-0000-00003B2F0000}"/>
    <cellStyle name="20% - Accent4 5 2 2 3 2 3" xfId="8945" xr:uid="{00000000-0005-0000-0000-00003C2F0000}"/>
    <cellStyle name="20% - Accent4 5 2 2 3 2 3 2" xfId="20246" xr:uid="{00000000-0005-0000-0000-00003D2F0000}"/>
    <cellStyle name="20% - Accent4 5 2 2 3 2 3 2 2" xfId="42848" xr:uid="{00000000-0005-0000-0000-00003E2F0000}"/>
    <cellStyle name="20% - Accent4 5 2 2 3 2 3 3" xfId="31547" xr:uid="{00000000-0005-0000-0000-00003F2F0000}"/>
    <cellStyle name="20% - Accent4 5 2 2 3 2 4" xfId="14596" xr:uid="{00000000-0005-0000-0000-0000402F0000}"/>
    <cellStyle name="20% - Accent4 5 2 2 3 2 4 2" xfId="37198" xr:uid="{00000000-0005-0000-0000-0000412F0000}"/>
    <cellStyle name="20% - Accent4 5 2 2 3 2 5" xfId="25897" xr:uid="{00000000-0005-0000-0000-0000422F0000}"/>
    <cellStyle name="20% - Accent4 5 2 2 3 3" xfId="4893" xr:uid="{00000000-0005-0000-0000-0000432F0000}"/>
    <cellStyle name="20% - Accent4 5 2 2 3 3 2" xfId="10543" xr:uid="{00000000-0005-0000-0000-0000442F0000}"/>
    <cellStyle name="20% - Accent4 5 2 2 3 3 2 2" xfId="21844" xr:uid="{00000000-0005-0000-0000-0000452F0000}"/>
    <cellStyle name="20% - Accent4 5 2 2 3 3 2 2 2" xfId="44446" xr:uid="{00000000-0005-0000-0000-0000462F0000}"/>
    <cellStyle name="20% - Accent4 5 2 2 3 3 2 3" xfId="33145" xr:uid="{00000000-0005-0000-0000-0000472F0000}"/>
    <cellStyle name="20% - Accent4 5 2 2 3 3 3" xfId="16194" xr:uid="{00000000-0005-0000-0000-0000482F0000}"/>
    <cellStyle name="20% - Accent4 5 2 2 3 3 3 2" xfId="38796" xr:uid="{00000000-0005-0000-0000-0000492F0000}"/>
    <cellStyle name="20% - Accent4 5 2 2 3 3 4" xfId="27495" xr:uid="{00000000-0005-0000-0000-00004A2F0000}"/>
    <cellStyle name="20% - Accent4 5 2 2 3 4" xfId="7080" xr:uid="{00000000-0005-0000-0000-00004B2F0000}"/>
    <cellStyle name="20% - Accent4 5 2 2 3 4 2" xfId="18381" xr:uid="{00000000-0005-0000-0000-00004C2F0000}"/>
    <cellStyle name="20% - Accent4 5 2 2 3 4 2 2" xfId="40983" xr:uid="{00000000-0005-0000-0000-00004D2F0000}"/>
    <cellStyle name="20% - Accent4 5 2 2 3 4 3" xfId="29682" xr:uid="{00000000-0005-0000-0000-00004E2F0000}"/>
    <cellStyle name="20% - Accent4 5 2 2 3 5" xfId="12731" xr:uid="{00000000-0005-0000-0000-00004F2F0000}"/>
    <cellStyle name="20% - Accent4 5 2 2 3 5 2" xfId="35333" xr:uid="{00000000-0005-0000-0000-0000502F0000}"/>
    <cellStyle name="20% - Accent4 5 2 2 3 6" xfId="24032" xr:uid="{00000000-0005-0000-0000-0000512F0000}"/>
    <cellStyle name="20% - Accent4 5 2 2 4" xfId="1707" xr:uid="{00000000-0005-0000-0000-0000522F0000}"/>
    <cellStyle name="20% - Accent4 5 2 2 4 2" xfId="3650" xr:uid="{00000000-0005-0000-0000-0000532F0000}"/>
    <cellStyle name="20% - Accent4 5 2 2 4 2 2" xfId="9362" xr:uid="{00000000-0005-0000-0000-0000542F0000}"/>
    <cellStyle name="20% - Accent4 5 2 2 4 2 2 2" xfId="20663" xr:uid="{00000000-0005-0000-0000-0000552F0000}"/>
    <cellStyle name="20% - Accent4 5 2 2 4 2 2 2 2" xfId="43265" xr:uid="{00000000-0005-0000-0000-0000562F0000}"/>
    <cellStyle name="20% - Accent4 5 2 2 4 2 2 3" xfId="31964" xr:uid="{00000000-0005-0000-0000-0000572F0000}"/>
    <cellStyle name="20% - Accent4 5 2 2 4 2 3" xfId="15013" xr:uid="{00000000-0005-0000-0000-0000582F0000}"/>
    <cellStyle name="20% - Accent4 5 2 2 4 2 3 2" xfId="37615" xr:uid="{00000000-0005-0000-0000-0000592F0000}"/>
    <cellStyle name="20% - Accent4 5 2 2 4 2 4" xfId="26314" xr:uid="{00000000-0005-0000-0000-00005A2F0000}"/>
    <cellStyle name="20% - Accent4 5 2 2 4 3" xfId="5503" xr:uid="{00000000-0005-0000-0000-00005B2F0000}"/>
    <cellStyle name="20% - Accent4 5 2 2 4 3 2" xfId="11153" xr:uid="{00000000-0005-0000-0000-00005C2F0000}"/>
    <cellStyle name="20% - Accent4 5 2 2 4 3 2 2" xfId="22454" xr:uid="{00000000-0005-0000-0000-00005D2F0000}"/>
    <cellStyle name="20% - Accent4 5 2 2 4 3 2 2 2" xfId="45056" xr:uid="{00000000-0005-0000-0000-00005E2F0000}"/>
    <cellStyle name="20% - Accent4 5 2 2 4 3 2 3" xfId="33755" xr:uid="{00000000-0005-0000-0000-00005F2F0000}"/>
    <cellStyle name="20% - Accent4 5 2 2 4 3 3" xfId="16804" xr:uid="{00000000-0005-0000-0000-0000602F0000}"/>
    <cellStyle name="20% - Accent4 5 2 2 4 3 3 2" xfId="39406" xr:uid="{00000000-0005-0000-0000-0000612F0000}"/>
    <cellStyle name="20% - Accent4 5 2 2 4 3 4" xfId="28105" xr:uid="{00000000-0005-0000-0000-0000622F0000}"/>
    <cellStyle name="20% - Accent4 5 2 2 4 4" xfId="7563" xr:uid="{00000000-0005-0000-0000-0000632F0000}"/>
    <cellStyle name="20% - Accent4 5 2 2 4 4 2" xfId="18864" xr:uid="{00000000-0005-0000-0000-0000642F0000}"/>
    <cellStyle name="20% - Accent4 5 2 2 4 4 2 2" xfId="41466" xr:uid="{00000000-0005-0000-0000-0000652F0000}"/>
    <cellStyle name="20% - Accent4 5 2 2 4 4 3" xfId="30165" xr:uid="{00000000-0005-0000-0000-0000662F0000}"/>
    <cellStyle name="20% - Accent4 5 2 2 4 5" xfId="13214" xr:uid="{00000000-0005-0000-0000-0000672F0000}"/>
    <cellStyle name="20% - Accent4 5 2 2 4 5 2" xfId="35816" xr:uid="{00000000-0005-0000-0000-0000682F0000}"/>
    <cellStyle name="20% - Accent4 5 2 2 4 6" xfId="24515" xr:uid="{00000000-0005-0000-0000-0000692F0000}"/>
    <cellStyle name="20% - Accent4 5 2 2 5" xfId="2484" xr:uid="{00000000-0005-0000-0000-00006A2F0000}"/>
    <cellStyle name="20% - Accent4 5 2 2 5 2" xfId="8320" xr:uid="{00000000-0005-0000-0000-00006B2F0000}"/>
    <cellStyle name="20% - Accent4 5 2 2 5 2 2" xfId="19621" xr:uid="{00000000-0005-0000-0000-00006C2F0000}"/>
    <cellStyle name="20% - Accent4 5 2 2 5 2 2 2" xfId="42223" xr:uid="{00000000-0005-0000-0000-00006D2F0000}"/>
    <cellStyle name="20% - Accent4 5 2 2 5 2 3" xfId="30922" xr:uid="{00000000-0005-0000-0000-00006E2F0000}"/>
    <cellStyle name="20% - Accent4 5 2 2 5 3" xfId="13971" xr:uid="{00000000-0005-0000-0000-00006F2F0000}"/>
    <cellStyle name="20% - Accent4 5 2 2 5 3 2" xfId="36573" xr:uid="{00000000-0005-0000-0000-0000702F0000}"/>
    <cellStyle name="20% - Accent4 5 2 2 5 4" xfId="25272" xr:uid="{00000000-0005-0000-0000-0000712F0000}"/>
    <cellStyle name="20% - Accent4 5 2 2 6" xfId="4269" xr:uid="{00000000-0005-0000-0000-0000722F0000}"/>
    <cellStyle name="20% - Accent4 5 2 2 6 2" xfId="9919" xr:uid="{00000000-0005-0000-0000-0000732F0000}"/>
    <cellStyle name="20% - Accent4 5 2 2 6 2 2" xfId="21220" xr:uid="{00000000-0005-0000-0000-0000742F0000}"/>
    <cellStyle name="20% - Accent4 5 2 2 6 2 2 2" xfId="43822" xr:uid="{00000000-0005-0000-0000-0000752F0000}"/>
    <cellStyle name="20% - Accent4 5 2 2 6 2 3" xfId="32521" xr:uid="{00000000-0005-0000-0000-0000762F0000}"/>
    <cellStyle name="20% - Accent4 5 2 2 6 3" xfId="15570" xr:uid="{00000000-0005-0000-0000-0000772F0000}"/>
    <cellStyle name="20% - Accent4 5 2 2 6 3 2" xfId="38172" xr:uid="{00000000-0005-0000-0000-0000782F0000}"/>
    <cellStyle name="20% - Accent4 5 2 2 6 4" xfId="26871" xr:uid="{00000000-0005-0000-0000-0000792F0000}"/>
    <cellStyle name="20% - Accent4 5 2 2 7" xfId="6749" xr:uid="{00000000-0005-0000-0000-00007A2F0000}"/>
    <cellStyle name="20% - Accent4 5 2 2 7 2" xfId="18050" xr:uid="{00000000-0005-0000-0000-00007B2F0000}"/>
    <cellStyle name="20% - Accent4 5 2 2 7 2 2" xfId="40652" xr:uid="{00000000-0005-0000-0000-00007C2F0000}"/>
    <cellStyle name="20% - Accent4 5 2 2 7 3" xfId="29351" xr:uid="{00000000-0005-0000-0000-00007D2F0000}"/>
    <cellStyle name="20% - Accent4 5 2 2 8" xfId="12400" xr:uid="{00000000-0005-0000-0000-00007E2F0000}"/>
    <cellStyle name="20% - Accent4 5 2 2 8 2" xfId="35002" xr:uid="{00000000-0005-0000-0000-00007F2F0000}"/>
    <cellStyle name="20% - Accent4 5 2 2 9" xfId="23701" xr:uid="{00000000-0005-0000-0000-0000802F0000}"/>
    <cellStyle name="20% - Accent4 5 2 3" xfId="1256" xr:uid="{00000000-0005-0000-0000-0000812F0000}"/>
    <cellStyle name="20% - Accent4 5 2 3 2" xfId="1709" xr:uid="{00000000-0005-0000-0000-0000822F0000}"/>
    <cellStyle name="20% - Accent4 5 2 3 2 2" xfId="3324" xr:uid="{00000000-0005-0000-0000-0000832F0000}"/>
    <cellStyle name="20% - Accent4 5 2 3 2 2 2" xfId="6296" xr:uid="{00000000-0005-0000-0000-0000842F0000}"/>
    <cellStyle name="20% - Accent4 5 2 3 2 2 2 2" xfId="11946" xr:uid="{00000000-0005-0000-0000-0000852F0000}"/>
    <cellStyle name="20% - Accent4 5 2 3 2 2 2 2 2" xfId="23247" xr:uid="{00000000-0005-0000-0000-0000862F0000}"/>
    <cellStyle name="20% - Accent4 5 2 3 2 2 2 2 2 2" xfId="45849" xr:uid="{00000000-0005-0000-0000-0000872F0000}"/>
    <cellStyle name="20% - Accent4 5 2 3 2 2 2 2 3" xfId="34548" xr:uid="{00000000-0005-0000-0000-0000882F0000}"/>
    <cellStyle name="20% - Accent4 5 2 3 2 2 2 3" xfId="17597" xr:uid="{00000000-0005-0000-0000-0000892F0000}"/>
    <cellStyle name="20% - Accent4 5 2 3 2 2 2 3 2" xfId="40199" xr:uid="{00000000-0005-0000-0000-00008A2F0000}"/>
    <cellStyle name="20% - Accent4 5 2 3 2 2 2 4" xfId="28898" xr:uid="{00000000-0005-0000-0000-00008B2F0000}"/>
    <cellStyle name="20% - Accent4 5 2 3 2 2 3" xfId="9114" xr:uid="{00000000-0005-0000-0000-00008C2F0000}"/>
    <cellStyle name="20% - Accent4 5 2 3 2 2 3 2" xfId="20415" xr:uid="{00000000-0005-0000-0000-00008D2F0000}"/>
    <cellStyle name="20% - Accent4 5 2 3 2 2 3 2 2" xfId="43017" xr:uid="{00000000-0005-0000-0000-00008E2F0000}"/>
    <cellStyle name="20% - Accent4 5 2 3 2 2 3 3" xfId="31716" xr:uid="{00000000-0005-0000-0000-00008F2F0000}"/>
    <cellStyle name="20% - Accent4 5 2 3 2 2 4" xfId="14765" xr:uid="{00000000-0005-0000-0000-0000902F0000}"/>
    <cellStyle name="20% - Accent4 5 2 3 2 2 4 2" xfId="37367" xr:uid="{00000000-0005-0000-0000-0000912F0000}"/>
    <cellStyle name="20% - Accent4 5 2 3 2 2 5" xfId="26066" xr:uid="{00000000-0005-0000-0000-0000922F0000}"/>
    <cellStyle name="20% - Accent4 5 2 3 2 3" xfId="5062" xr:uid="{00000000-0005-0000-0000-0000932F0000}"/>
    <cellStyle name="20% - Accent4 5 2 3 2 3 2" xfId="10712" xr:uid="{00000000-0005-0000-0000-0000942F0000}"/>
    <cellStyle name="20% - Accent4 5 2 3 2 3 2 2" xfId="22013" xr:uid="{00000000-0005-0000-0000-0000952F0000}"/>
    <cellStyle name="20% - Accent4 5 2 3 2 3 2 2 2" xfId="44615" xr:uid="{00000000-0005-0000-0000-0000962F0000}"/>
    <cellStyle name="20% - Accent4 5 2 3 2 3 2 3" xfId="33314" xr:uid="{00000000-0005-0000-0000-0000972F0000}"/>
    <cellStyle name="20% - Accent4 5 2 3 2 3 3" xfId="16363" xr:uid="{00000000-0005-0000-0000-0000982F0000}"/>
    <cellStyle name="20% - Accent4 5 2 3 2 3 3 2" xfId="38965" xr:uid="{00000000-0005-0000-0000-0000992F0000}"/>
    <cellStyle name="20% - Accent4 5 2 3 2 3 4" xfId="27664" xr:uid="{00000000-0005-0000-0000-00009A2F0000}"/>
    <cellStyle name="20% - Accent4 5 2 3 2 4" xfId="7565" xr:uid="{00000000-0005-0000-0000-00009B2F0000}"/>
    <cellStyle name="20% - Accent4 5 2 3 2 4 2" xfId="18866" xr:uid="{00000000-0005-0000-0000-00009C2F0000}"/>
    <cellStyle name="20% - Accent4 5 2 3 2 4 2 2" xfId="41468" xr:uid="{00000000-0005-0000-0000-00009D2F0000}"/>
    <cellStyle name="20% - Accent4 5 2 3 2 4 3" xfId="30167" xr:uid="{00000000-0005-0000-0000-00009E2F0000}"/>
    <cellStyle name="20% - Accent4 5 2 3 2 5" xfId="13216" xr:uid="{00000000-0005-0000-0000-00009F2F0000}"/>
    <cellStyle name="20% - Accent4 5 2 3 2 5 2" xfId="35818" xr:uid="{00000000-0005-0000-0000-0000A02F0000}"/>
    <cellStyle name="20% - Accent4 5 2 3 2 6" xfId="24517" xr:uid="{00000000-0005-0000-0000-0000A12F0000}"/>
    <cellStyle name="20% - Accent4 5 2 3 3" xfId="2653" xr:uid="{00000000-0005-0000-0000-0000A22F0000}"/>
    <cellStyle name="20% - Accent4 5 2 3 3 2" xfId="5672" xr:uid="{00000000-0005-0000-0000-0000A32F0000}"/>
    <cellStyle name="20% - Accent4 5 2 3 3 2 2" xfId="11322" xr:uid="{00000000-0005-0000-0000-0000A42F0000}"/>
    <cellStyle name="20% - Accent4 5 2 3 3 2 2 2" xfId="22623" xr:uid="{00000000-0005-0000-0000-0000A52F0000}"/>
    <cellStyle name="20% - Accent4 5 2 3 3 2 2 2 2" xfId="45225" xr:uid="{00000000-0005-0000-0000-0000A62F0000}"/>
    <cellStyle name="20% - Accent4 5 2 3 3 2 2 3" xfId="33924" xr:uid="{00000000-0005-0000-0000-0000A72F0000}"/>
    <cellStyle name="20% - Accent4 5 2 3 3 2 3" xfId="16973" xr:uid="{00000000-0005-0000-0000-0000A82F0000}"/>
    <cellStyle name="20% - Accent4 5 2 3 3 2 3 2" xfId="39575" xr:uid="{00000000-0005-0000-0000-0000A92F0000}"/>
    <cellStyle name="20% - Accent4 5 2 3 3 2 4" xfId="28274" xr:uid="{00000000-0005-0000-0000-0000AA2F0000}"/>
    <cellStyle name="20% - Accent4 5 2 3 3 3" xfId="8489" xr:uid="{00000000-0005-0000-0000-0000AB2F0000}"/>
    <cellStyle name="20% - Accent4 5 2 3 3 3 2" xfId="19790" xr:uid="{00000000-0005-0000-0000-0000AC2F0000}"/>
    <cellStyle name="20% - Accent4 5 2 3 3 3 2 2" xfId="42392" xr:uid="{00000000-0005-0000-0000-0000AD2F0000}"/>
    <cellStyle name="20% - Accent4 5 2 3 3 3 3" xfId="31091" xr:uid="{00000000-0005-0000-0000-0000AE2F0000}"/>
    <cellStyle name="20% - Accent4 5 2 3 3 4" xfId="14140" xr:uid="{00000000-0005-0000-0000-0000AF2F0000}"/>
    <cellStyle name="20% - Accent4 5 2 3 3 4 2" xfId="36742" xr:uid="{00000000-0005-0000-0000-0000B02F0000}"/>
    <cellStyle name="20% - Accent4 5 2 3 3 5" xfId="25441" xr:uid="{00000000-0005-0000-0000-0000B12F0000}"/>
    <cellStyle name="20% - Accent4 5 2 3 4" xfId="4438" xr:uid="{00000000-0005-0000-0000-0000B22F0000}"/>
    <cellStyle name="20% - Accent4 5 2 3 4 2" xfId="10088" xr:uid="{00000000-0005-0000-0000-0000B32F0000}"/>
    <cellStyle name="20% - Accent4 5 2 3 4 2 2" xfId="21389" xr:uid="{00000000-0005-0000-0000-0000B42F0000}"/>
    <cellStyle name="20% - Accent4 5 2 3 4 2 2 2" xfId="43991" xr:uid="{00000000-0005-0000-0000-0000B52F0000}"/>
    <cellStyle name="20% - Accent4 5 2 3 4 2 3" xfId="32690" xr:uid="{00000000-0005-0000-0000-0000B62F0000}"/>
    <cellStyle name="20% - Accent4 5 2 3 4 3" xfId="15739" xr:uid="{00000000-0005-0000-0000-0000B72F0000}"/>
    <cellStyle name="20% - Accent4 5 2 3 4 3 2" xfId="38341" xr:uid="{00000000-0005-0000-0000-0000B82F0000}"/>
    <cellStyle name="20% - Accent4 5 2 3 4 4" xfId="27040" xr:uid="{00000000-0005-0000-0000-0000B92F0000}"/>
    <cellStyle name="20% - Accent4 5 2 3 5" xfId="7235" xr:uid="{00000000-0005-0000-0000-0000BA2F0000}"/>
    <cellStyle name="20% - Accent4 5 2 3 5 2" xfId="18536" xr:uid="{00000000-0005-0000-0000-0000BB2F0000}"/>
    <cellStyle name="20% - Accent4 5 2 3 5 2 2" xfId="41138" xr:uid="{00000000-0005-0000-0000-0000BC2F0000}"/>
    <cellStyle name="20% - Accent4 5 2 3 5 3" xfId="29837" xr:uid="{00000000-0005-0000-0000-0000BD2F0000}"/>
    <cellStyle name="20% - Accent4 5 2 3 6" xfId="12886" xr:uid="{00000000-0005-0000-0000-0000BE2F0000}"/>
    <cellStyle name="20% - Accent4 5 2 3 6 2" xfId="35488" xr:uid="{00000000-0005-0000-0000-0000BF2F0000}"/>
    <cellStyle name="20% - Accent4 5 2 3 7" xfId="24187" xr:uid="{00000000-0005-0000-0000-0000C02F0000}"/>
    <cellStyle name="20% - Accent4 5 2 4" xfId="947" xr:uid="{00000000-0005-0000-0000-0000C12F0000}"/>
    <cellStyle name="20% - Accent4 5 2 4 2" xfId="3017" xr:uid="{00000000-0005-0000-0000-0000C22F0000}"/>
    <cellStyle name="20% - Accent4 5 2 4 2 2" xfId="5989" xr:uid="{00000000-0005-0000-0000-0000C32F0000}"/>
    <cellStyle name="20% - Accent4 5 2 4 2 2 2" xfId="11639" xr:uid="{00000000-0005-0000-0000-0000C42F0000}"/>
    <cellStyle name="20% - Accent4 5 2 4 2 2 2 2" xfId="22940" xr:uid="{00000000-0005-0000-0000-0000C52F0000}"/>
    <cellStyle name="20% - Accent4 5 2 4 2 2 2 2 2" xfId="45542" xr:uid="{00000000-0005-0000-0000-0000C62F0000}"/>
    <cellStyle name="20% - Accent4 5 2 4 2 2 2 3" xfId="34241" xr:uid="{00000000-0005-0000-0000-0000C72F0000}"/>
    <cellStyle name="20% - Accent4 5 2 4 2 2 3" xfId="17290" xr:uid="{00000000-0005-0000-0000-0000C82F0000}"/>
    <cellStyle name="20% - Accent4 5 2 4 2 2 3 2" xfId="39892" xr:uid="{00000000-0005-0000-0000-0000C92F0000}"/>
    <cellStyle name="20% - Accent4 5 2 4 2 2 4" xfId="28591" xr:uid="{00000000-0005-0000-0000-0000CA2F0000}"/>
    <cellStyle name="20% - Accent4 5 2 4 2 3" xfId="8807" xr:uid="{00000000-0005-0000-0000-0000CB2F0000}"/>
    <cellStyle name="20% - Accent4 5 2 4 2 3 2" xfId="20108" xr:uid="{00000000-0005-0000-0000-0000CC2F0000}"/>
    <cellStyle name="20% - Accent4 5 2 4 2 3 2 2" xfId="42710" xr:uid="{00000000-0005-0000-0000-0000CD2F0000}"/>
    <cellStyle name="20% - Accent4 5 2 4 2 3 3" xfId="31409" xr:uid="{00000000-0005-0000-0000-0000CE2F0000}"/>
    <cellStyle name="20% - Accent4 5 2 4 2 4" xfId="14458" xr:uid="{00000000-0005-0000-0000-0000CF2F0000}"/>
    <cellStyle name="20% - Accent4 5 2 4 2 4 2" xfId="37060" xr:uid="{00000000-0005-0000-0000-0000D02F0000}"/>
    <cellStyle name="20% - Accent4 5 2 4 2 5" xfId="25759" xr:uid="{00000000-0005-0000-0000-0000D12F0000}"/>
    <cellStyle name="20% - Accent4 5 2 4 3" xfId="4755" xr:uid="{00000000-0005-0000-0000-0000D22F0000}"/>
    <cellStyle name="20% - Accent4 5 2 4 3 2" xfId="10405" xr:uid="{00000000-0005-0000-0000-0000D32F0000}"/>
    <cellStyle name="20% - Accent4 5 2 4 3 2 2" xfId="21706" xr:uid="{00000000-0005-0000-0000-0000D42F0000}"/>
    <cellStyle name="20% - Accent4 5 2 4 3 2 2 2" xfId="44308" xr:uid="{00000000-0005-0000-0000-0000D52F0000}"/>
    <cellStyle name="20% - Accent4 5 2 4 3 2 3" xfId="33007" xr:uid="{00000000-0005-0000-0000-0000D62F0000}"/>
    <cellStyle name="20% - Accent4 5 2 4 3 3" xfId="16056" xr:uid="{00000000-0005-0000-0000-0000D72F0000}"/>
    <cellStyle name="20% - Accent4 5 2 4 3 3 2" xfId="38658" xr:uid="{00000000-0005-0000-0000-0000D82F0000}"/>
    <cellStyle name="20% - Accent4 5 2 4 3 4" xfId="27357" xr:uid="{00000000-0005-0000-0000-0000D92F0000}"/>
    <cellStyle name="20% - Accent4 5 2 4 4" xfId="6942" xr:uid="{00000000-0005-0000-0000-0000DA2F0000}"/>
    <cellStyle name="20% - Accent4 5 2 4 4 2" xfId="18243" xr:uid="{00000000-0005-0000-0000-0000DB2F0000}"/>
    <cellStyle name="20% - Accent4 5 2 4 4 2 2" xfId="40845" xr:uid="{00000000-0005-0000-0000-0000DC2F0000}"/>
    <cellStyle name="20% - Accent4 5 2 4 4 3" xfId="29544" xr:uid="{00000000-0005-0000-0000-0000DD2F0000}"/>
    <cellStyle name="20% - Accent4 5 2 4 5" xfId="12593" xr:uid="{00000000-0005-0000-0000-0000DE2F0000}"/>
    <cellStyle name="20% - Accent4 5 2 4 5 2" xfId="35195" xr:uid="{00000000-0005-0000-0000-0000DF2F0000}"/>
    <cellStyle name="20% - Accent4 5 2 4 6" xfId="23894" xr:uid="{00000000-0005-0000-0000-0000E02F0000}"/>
    <cellStyle name="20% - Accent4 5 2 5" xfId="1706" xr:uid="{00000000-0005-0000-0000-0000E12F0000}"/>
    <cellStyle name="20% - Accent4 5 2 5 2" xfId="3649" xr:uid="{00000000-0005-0000-0000-0000E22F0000}"/>
    <cellStyle name="20% - Accent4 5 2 5 2 2" xfId="9361" xr:uid="{00000000-0005-0000-0000-0000E32F0000}"/>
    <cellStyle name="20% - Accent4 5 2 5 2 2 2" xfId="20662" xr:uid="{00000000-0005-0000-0000-0000E42F0000}"/>
    <cellStyle name="20% - Accent4 5 2 5 2 2 2 2" xfId="43264" xr:uid="{00000000-0005-0000-0000-0000E52F0000}"/>
    <cellStyle name="20% - Accent4 5 2 5 2 2 3" xfId="31963" xr:uid="{00000000-0005-0000-0000-0000E62F0000}"/>
    <cellStyle name="20% - Accent4 5 2 5 2 3" xfId="15012" xr:uid="{00000000-0005-0000-0000-0000E72F0000}"/>
    <cellStyle name="20% - Accent4 5 2 5 2 3 2" xfId="37614" xr:uid="{00000000-0005-0000-0000-0000E82F0000}"/>
    <cellStyle name="20% - Accent4 5 2 5 2 4" xfId="26313" xr:uid="{00000000-0005-0000-0000-0000E92F0000}"/>
    <cellStyle name="20% - Accent4 5 2 5 3" xfId="5365" xr:uid="{00000000-0005-0000-0000-0000EA2F0000}"/>
    <cellStyle name="20% - Accent4 5 2 5 3 2" xfId="11015" xr:uid="{00000000-0005-0000-0000-0000EB2F0000}"/>
    <cellStyle name="20% - Accent4 5 2 5 3 2 2" xfId="22316" xr:uid="{00000000-0005-0000-0000-0000EC2F0000}"/>
    <cellStyle name="20% - Accent4 5 2 5 3 2 2 2" xfId="44918" xr:uid="{00000000-0005-0000-0000-0000ED2F0000}"/>
    <cellStyle name="20% - Accent4 5 2 5 3 2 3" xfId="33617" xr:uid="{00000000-0005-0000-0000-0000EE2F0000}"/>
    <cellStyle name="20% - Accent4 5 2 5 3 3" xfId="16666" xr:uid="{00000000-0005-0000-0000-0000EF2F0000}"/>
    <cellStyle name="20% - Accent4 5 2 5 3 3 2" xfId="39268" xr:uid="{00000000-0005-0000-0000-0000F02F0000}"/>
    <cellStyle name="20% - Accent4 5 2 5 3 4" xfId="27967" xr:uid="{00000000-0005-0000-0000-0000F12F0000}"/>
    <cellStyle name="20% - Accent4 5 2 5 4" xfId="7562" xr:uid="{00000000-0005-0000-0000-0000F22F0000}"/>
    <cellStyle name="20% - Accent4 5 2 5 4 2" xfId="18863" xr:uid="{00000000-0005-0000-0000-0000F32F0000}"/>
    <cellStyle name="20% - Accent4 5 2 5 4 2 2" xfId="41465" xr:uid="{00000000-0005-0000-0000-0000F42F0000}"/>
    <cellStyle name="20% - Accent4 5 2 5 4 3" xfId="30164" xr:uid="{00000000-0005-0000-0000-0000F52F0000}"/>
    <cellStyle name="20% - Accent4 5 2 5 5" xfId="13213" xr:uid="{00000000-0005-0000-0000-0000F62F0000}"/>
    <cellStyle name="20% - Accent4 5 2 5 5 2" xfId="35815" xr:uid="{00000000-0005-0000-0000-0000F72F0000}"/>
    <cellStyle name="20% - Accent4 5 2 5 6" xfId="24514" xr:uid="{00000000-0005-0000-0000-0000F82F0000}"/>
    <cellStyle name="20% - Accent4 5 2 6" xfId="2344" xr:uid="{00000000-0005-0000-0000-0000F92F0000}"/>
    <cellStyle name="20% - Accent4 5 2 6 2" xfId="8180" xr:uid="{00000000-0005-0000-0000-0000FA2F0000}"/>
    <cellStyle name="20% - Accent4 5 2 6 2 2" xfId="19481" xr:uid="{00000000-0005-0000-0000-0000FB2F0000}"/>
    <cellStyle name="20% - Accent4 5 2 6 2 2 2" xfId="42083" xr:uid="{00000000-0005-0000-0000-0000FC2F0000}"/>
    <cellStyle name="20% - Accent4 5 2 6 2 3" xfId="30782" xr:uid="{00000000-0005-0000-0000-0000FD2F0000}"/>
    <cellStyle name="20% - Accent4 5 2 6 3" xfId="13831" xr:uid="{00000000-0005-0000-0000-0000FE2F0000}"/>
    <cellStyle name="20% - Accent4 5 2 6 3 2" xfId="36433" xr:uid="{00000000-0005-0000-0000-0000FF2F0000}"/>
    <cellStyle name="20% - Accent4 5 2 6 4" xfId="25132" xr:uid="{00000000-0005-0000-0000-000000300000}"/>
    <cellStyle name="20% - Accent4 5 2 7" xfId="4131" xr:uid="{00000000-0005-0000-0000-000001300000}"/>
    <cellStyle name="20% - Accent4 5 2 7 2" xfId="9781" xr:uid="{00000000-0005-0000-0000-000002300000}"/>
    <cellStyle name="20% - Accent4 5 2 7 2 2" xfId="21082" xr:uid="{00000000-0005-0000-0000-000003300000}"/>
    <cellStyle name="20% - Accent4 5 2 7 2 2 2" xfId="43684" xr:uid="{00000000-0005-0000-0000-000004300000}"/>
    <cellStyle name="20% - Accent4 5 2 7 2 3" xfId="32383" xr:uid="{00000000-0005-0000-0000-000005300000}"/>
    <cellStyle name="20% - Accent4 5 2 7 3" xfId="15432" xr:uid="{00000000-0005-0000-0000-000006300000}"/>
    <cellStyle name="20% - Accent4 5 2 7 3 2" xfId="38034" xr:uid="{00000000-0005-0000-0000-000007300000}"/>
    <cellStyle name="20% - Accent4 5 2 7 4" xfId="26733" xr:uid="{00000000-0005-0000-0000-000008300000}"/>
    <cellStyle name="20% - Accent4 5 2 8" xfId="6582" xr:uid="{00000000-0005-0000-0000-000009300000}"/>
    <cellStyle name="20% - Accent4 5 2 8 2" xfId="17883" xr:uid="{00000000-0005-0000-0000-00000A300000}"/>
    <cellStyle name="20% - Accent4 5 2 8 2 2" xfId="40485" xr:uid="{00000000-0005-0000-0000-00000B300000}"/>
    <cellStyle name="20% - Accent4 5 2 8 3" xfId="29184" xr:uid="{00000000-0005-0000-0000-00000C300000}"/>
    <cellStyle name="20% - Accent4 5 2 9" xfId="12233" xr:uid="{00000000-0005-0000-0000-00000D300000}"/>
    <cellStyle name="20% - Accent4 5 2 9 2" xfId="34835" xr:uid="{00000000-0005-0000-0000-00000E300000}"/>
    <cellStyle name="20% - Accent4 5 3" xfId="587" xr:uid="{00000000-0005-0000-0000-00000F300000}"/>
    <cellStyle name="20% - Accent4 5 3 2" xfId="1300" xr:uid="{00000000-0005-0000-0000-000010300000}"/>
    <cellStyle name="20% - Accent4 5 3 2 2" xfId="1711" xr:uid="{00000000-0005-0000-0000-000011300000}"/>
    <cellStyle name="20% - Accent4 5 3 2 2 2" xfId="3369" xr:uid="{00000000-0005-0000-0000-000012300000}"/>
    <cellStyle name="20% - Accent4 5 3 2 2 2 2" xfId="6341" xr:uid="{00000000-0005-0000-0000-000013300000}"/>
    <cellStyle name="20% - Accent4 5 3 2 2 2 2 2" xfId="11991" xr:uid="{00000000-0005-0000-0000-000014300000}"/>
    <cellStyle name="20% - Accent4 5 3 2 2 2 2 2 2" xfId="23292" xr:uid="{00000000-0005-0000-0000-000015300000}"/>
    <cellStyle name="20% - Accent4 5 3 2 2 2 2 2 2 2" xfId="45894" xr:uid="{00000000-0005-0000-0000-000016300000}"/>
    <cellStyle name="20% - Accent4 5 3 2 2 2 2 2 3" xfId="34593" xr:uid="{00000000-0005-0000-0000-000017300000}"/>
    <cellStyle name="20% - Accent4 5 3 2 2 2 2 3" xfId="17642" xr:uid="{00000000-0005-0000-0000-000018300000}"/>
    <cellStyle name="20% - Accent4 5 3 2 2 2 2 3 2" xfId="40244" xr:uid="{00000000-0005-0000-0000-000019300000}"/>
    <cellStyle name="20% - Accent4 5 3 2 2 2 2 4" xfId="28943" xr:uid="{00000000-0005-0000-0000-00001A300000}"/>
    <cellStyle name="20% - Accent4 5 3 2 2 2 3" xfId="9159" xr:uid="{00000000-0005-0000-0000-00001B300000}"/>
    <cellStyle name="20% - Accent4 5 3 2 2 2 3 2" xfId="20460" xr:uid="{00000000-0005-0000-0000-00001C300000}"/>
    <cellStyle name="20% - Accent4 5 3 2 2 2 3 2 2" xfId="43062" xr:uid="{00000000-0005-0000-0000-00001D300000}"/>
    <cellStyle name="20% - Accent4 5 3 2 2 2 3 3" xfId="31761" xr:uid="{00000000-0005-0000-0000-00001E300000}"/>
    <cellStyle name="20% - Accent4 5 3 2 2 2 4" xfId="14810" xr:uid="{00000000-0005-0000-0000-00001F300000}"/>
    <cellStyle name="20% - Accent4 5 3 2 2 2 4 2" xfId="37412" xr:uid="{00000000-0005-0000-0000-000020300000}"/>
    <cellStyle name="20% - Accent4 5 3 2 2 2 5" xfId="26111" xr:uid="{00000000-0005-0000-0000-000021300000}"/>
    <cellStyle name="20% - Accent4 5 3 2 2 3" xfId="5107" xr:uid="{00000000-0005-0000-0000-000022300000}"/>
    <cellStyle name="20% - Accent4 5 3 2 2 3 2" xfId="10757" xr:uid="{00000000-0005-0000-0000-000023300000}"/>
    <cellStyle name="20% - Accent4 5 3 2 2 3 2 2" xfId="22058" xr:uid="{00000000-0005-0000-0000-000024300000}"/>
    <cellStyle name="20% - Accent4 5 3 2 2 3 2 2 2" xfId="44660" xr:uid="{00000000-0005-0000-0000-000025300000}"/>
    <cellStyle name="20% - Accent4 5 3 2 2 3 2 3" xfId="33359" xr:uid="{00000000-0005-0000-0000-000026300000}"/>
    <cellStyle name="20% - Accent4 5 3 2 2 3 3" xfId="16408" xr:uid="{00000000-0005-0000-0000-000027300000}"/>
    <cellStyle name="20% - Accent4 5 3 2 2 3 3 2" xfId="39010" xr:uid="{00000000-0005-0000-0000-000028300000}"/>
    <cellStyle name="20% - Accent4 5 3 2 2 3 4" xfId="27709" xr:uid="{00000000-0005-0000-0000-000029300000}"/>
    <cellStyle name="20% - Accent4 5 3 2 2 4" xfId="7567" xr:uid="{00000000-0005-0000-0000-00002A300000}"/>
    <cellStyle name="20% - Accent4 5 3 2 2 4 2" xfId="18868" xr:uid="{00000000-0005-0000-0000-00002B300000}"/>
    <cellStyle name="20% - Accent4 5 3 2 2 4 2 2" xfId="41470" xr:uid="{00000000-0005-0000-0000-00002C300000}"/>
    <cellStyle name="20% - Accent4 5 3 2 2 4 3" xfId="30169" xr:uid="{00000000-0005-0000-0000-00002D300000}"/>
    <cellStyle name="20% - Accent4 5 3 2 2 5" xfId="13218" xr:uid="{00000000-0005-0000-0000-00002E300000}"/>
    <cellStyle name="20% - Accent4 5 3 2 2 5 2" xfId="35820" xr:uid="{00000000-0005-0000-0000-00002F300000}"/>
    <cellStyle name="20% - Accent4 5 3 2 2 6" xfId="24519" xr:uid="{00000000-0005-0000-0000-000030300000}"/>
    <cellStyle name="20% - Accent4 5 3 2 3" xfId="2698" xr:uid="{00000000-0005-0000-0000-000031300000}"/>
    <cellStyle name="20% - Accent4 5 3 2 3 2" xfId="5717" xr:uid="{00000000-0005-0000-0000-000032300000}"/>
    <cellStyle name="20% - Accent4 5 3 2 3 2 2" xfId="11367" xr:uid="{00000000-0005-0000-0000-000033300000}"/>
    <cellStyle name="20% - Accent4 5 3 2 3 2 2 2" xfId="22668" xr:uid="{00000000-0005-0000-0000-000034300000}"/>
    <cellStyle name="20% - Accent4 5 3 2 3 2 2 2 2" xfId="45270" xr:uid="{00000000-0005-0000-0000-000035300000}"/>
    <cellStyle name="20% - Accent4 5 3 2 3 2 2 3" xfId="33969" xr:uid="{00000000-0005-0000-0000-000036300000}"/>
    <cellStyle name="20% - Accent4 5 3 2 3 2 3" xfId="17018" xr:uid="{00000000-0005-0000-0000-000037300000}"/>
    <cellStyle name="20% - Accent4 5 3 2 3 2 3 2" xfId="39620" xr:uid="{00000000-0005-0000-0000-000038300000}"/>
    <cellStyle name="20% - Accent4 5 3 2 3 2 4" xfId="28319" xr:uid="{00000000-0005-0000-0000-000039300000}"/>
    <cellStyle name="20% - Accent4 5 3 2 3 3" xfId="8534" xr:uid="{00000000-0005-0000-0000-00003A300000}"/>
    <cellStyle name="20% - Accent4 5 3 2 3 3 2" xfId="19835" xr:uid="{00000000-0005-0000-0000-00003B300000}"/>
    <cellStyle name="20% - Accent4 5 3 2 3 3 2 2" xfId="42437" xr:uid="{00000000-0005-0000-0000-00003C300000}"/>
    <cellStyle name="20% - Accent4 5 3 2 3 3 3" xfId="31136" xr:uid="{00000000-0005-0000-0000-00003D300000}"/>
    <cellStyle name="20% - Accent4 5 3 2 3 4" xfId="14185" xr:uid="{00000000-0005-0000-0000-00003E300000}"/>
    <cellStyle name="20% - Accent4 5 3 2 3 4 2" xfId="36787" xr:uid="{00000000-0005-0000-0000-00003F300000}"/>
    <cellStyle name="20% - Accent4 5 3 2 3 5" xfId="25486" xr:uid="{00000000-0005-0000-0000-000040300000}"/>
    <cellStyle name="20% - Accent4 5 3 2 4" xfId="4483" xr:uid="{00000000-0005-0000-0000-000041300000}"/>
    <cellStyle name="20% - Accent4 5 3 2 4 2" xfId="10133" xr:uid="{00000000-0005-0000-0000-000042300000}"/>
    <cellStyle name="20% - Accent4 5 3 2 4 2 2" xfId="21434" xr:uid="{00000000-0005-0000-0000-000043300000}"/>
    <cellStyle name="20% - Accent4 5 3 2 4 2 2 2" xfId="44036" xr:uid="{00000000-0005-0000-0000-000044300000}"/>
    <cellStyle name="20% - Accent4 5 3 2 4 2 3" xfId="32735" xr:uid="{00000000-0005-0000-0000-000045300000}"/>
    <cellStyle name="20% - Accent4 5 3 2 4 3" xfId="15784" xr:uid="{00000000-0005-0000-0000-000046300000}"/>
    <cellStyle name="20% - Accent4 5 3 2 4 3 2" xfId="38386" xr:uid="{00000000-0005-0000-0000-000047300000}"/>
    <cellStyle name="20% - Accent4 5 3 2 4 4" xfId="27085" xr:uid="{00000000-0005-0000-0000-000048300000}"/>
    <cellStyle name="20% - Accent4 5 3 2 5" xfId="7279" xr:uid="{00000000-0005-0000-0000-000049300000}"/>
    <cellStyle name="20% - Accent4 5 3 2 5 2" xfId="18580" xr:uid="{00000000-0005-0000-0000-00004A300000}"/>
    <cellStyle name="20% - Accent4 5 3 2 5 2 2" xfId="41182" xr:uid="{00000000-0005-0000-0000-00004B300000}"/>
    <cellStyle name="20% - Accent4 5 3 2 5 3" xfId="29881" xr:uid="{00000000-0005-0000-0000-00004C300000}"/>
    <cellStyle name="20% - Accent4 5 3 2 6" xfId="12930" xr:uid="{00000000-0005-0000-0000-00004D300000}"/>
    <cellStyle name="20% - Accent4 5 3 2 6 2" xfId="35532" xr:uid="{00000000-0005-0000-0000-00004E300000}"/>
    <cellStyle name="20% - Accent4 5 3 2 7" xfId="24231" xr:uid="{00000000-0005-0000-0000-00004F300000}"/>
    <cellStyle name="20% - Accent4 5 3 3" xfId="998" xr:uid="{00000000-0005-0000-0000-000050300000}"/>
    <cellStyle name="20% - Accent4 5 3 3 2" xfId="3061" xr:uid="{00000000-0005-0000-0000-000051300000}"/>
    <cellStyle name="20% - Accent4 5 3 3 2 2" xfId="6033" xr:uid="{00000000-0005-0000-0000-000052300000}"/>
    <cellStyle name="20% - Accent4 5 3 3 2 2 2" xfId="11683" xr:uid="{00000000-0005-0000-0000-000053300000}"/>
    <cellStyle name="20% - Accent4 5 3 3 2 2 2 2" xfId="22984" xr:uid="{00000000-0005-0000-0000-000054300000}"/>
    <cellStyle name="20% - Accent4 5 3 3 2 2 2 2 2" xfId="45586" xr:uid="{00000000-0005-0000-0000-000055300000}"/>
    <cellStyle name="20% - Accent4 5 3 3 2 2 2 3" xfId="34285" xr:uid="{00000000-0005-0000-0000-000056300000}"/>
    <cellStyle name="20% - Accent4 5 3 3 2 2 3" xfId="17334" xr:uid="{00000000-0005-0000-0000-000057300000}"/>
    <cellStyle name="20% - Accent4 5 3 3 2 2 3 2" xfId="39936" xr:uid="{00000000-0005-0000-0000-000058300000}"/>
    <cellStyle name="20% - Accent4 5 3 3 2 2 4" xfId="28635" xr:uid="{00000000-0005-0000-0000-000059300000}"/>
    <cellStyle name="20% - Accent4 5 3 3 2 3" xfId="8851" xr:uid="{00000000-0005-0000-0000-00005A300000}"/>
    <cellStyle name="20% - Accent4 5 3 3 2 3 2" xfId="20152" xr:uid="{00000000-0005-0000-0000-00005B300000}"/>
    <cellStyle name="20% - Accent4 5 3 3 2 3 2 2" xfId="42754" xr:uid="{00000000-0005-0000-0000-00005C300000}"/>
    <cellStyle name="20% - Accent4 5 3 3 2 3 3" xfId="31453" xr:uid="{00000000-0005-0000-0000-00005D300000}"/>
    <cellStyle name="20% - Accent4 5 3 3 2 4" xfId="14502" xr:uid="{00000000-0005-0000-0000-00005E300000}"/>
    <cellStyle name="20% - Accent4 5 3 3 2 4 2" xfId="37104" xr:uid="{00000000-0005-0000-0000-00005F300000}"/>
    <cellStyle name="20% - Accent4 5 3 3 2 5" xfId="25803" xr:uid="{00000000-0005-0000-0000-000060300000}"/>
    <cellStyle name="20% - Accent4 5 3 3 3" xfId="4799" xr:uid="{00000000-0005-0000-0000-000061300000}"/>
    <cellStyle name="20% - Accent4 5 3 3 3 2" xfId="10449" xr:uid="{00000000-0005-0000-0000-000062300000}"/>
    <cellStyle name="20% - Accent4 5 3 3 3 2 2" xfId="21750" xr:uid="{00000000-0005-0000-0000-000063300000}"/>
    <cellStyle name="20% - Accent4 5 3 3 3 2 2 2" xfId="44352" xr:uid="{00000000-0005-0000-0000-000064300000}"/>
    <cellStyle name="20% - Accent4 5 3 3 3 2 3" xfId="33051" xr:uid="{00000000-0005-0000-0000-000065300000}"/>
    <cellStyle name="20% - Accent4 5 3 3 3 3" xfId="16100" xr:uid="{00000000-0005-0000-0000-000066300000}"/>
    <cellStyle name="20% - Accent4 5 3 3 3 3 2" xfId="38702" xr:uid="{00000000-0005-0000-0000-000067300000}"/>
    <cellStyle name="20% - Accent4 5 3 3 3 4" xfId="27401" xr:uid="{00000000-0005-0000-0000-000068300000}"/>
    <cellStyle name="20% - Accent4 5 3 3 4" xfId="6986" xr:uid="{00000000-0005-0000-0000-000069300000}"/>
    <cellStyle name="20% - Accent4 5 3 3 4 2" xfId="18287" xr:uid="{00000000-0005-0000-0000-00006A300000}"/>
    <cellStyle name="20% - Accent4 5 3 3 4 2 2" xfId="40889" xr:uid="{00000000-0005-0000-0000-00006B300000}"/>
    <cellStyle name="20% - Accent4 5 3 3 4 3" xfId="29588" xr:uid="{00000000-0005-0000-0000-00006C300000}"/>
    <cellStyle name="20% - Accent4 5 3 3 5" xfId="12637" xr:uid="{00000000-0005-0000-0000-00006D300000}"/>
    <cellStyle name="20% - Accent4 5 3 3 5 2" xfId="35239" xr:uid="{00000000-0005-0000-0000-00006E300000}"/>
    <cellStyle name="20% - Accent4 5 3 3 6" xfId="23938" xr:uid="{00000000-0005-0000-0000-00006F300000}"/>
    <cellStyle name="20% - Accent4 5 3 4" xfId="1710" xr:uid="{00000000-0005-0000-0000-000070300000}"/>
    <cellStyle name="20% - Accent4 5 3 4 2" xfId="3651" xr:uid="{00000000-0005-0000-0000-000071300000}"/>
    <cellStyle name="20% - Accent4 5 3 4 2 2" xfId="9363" xr:uid="{00000000-0005-0000-0000-000072300000}"/>
    <cellStyle name="20% - Accent4 5 3 4 2 2 2" xfId="20664" xr:uid="{00000000-0005-0000-0000-000073300000}"/>
    <cellStyle name="20% - Accent4 5 3 4 2 2 2 2" xfId="43266" xr:uid="{00000000-0005-0000-0000-000074300000}"/>
    <cellStyle name="20% - Accent4 5 3 4 2 2 3" xfId="31965" xr:uid="{00000000-0005-0000-0000-000075300000}"/>
    <cellStyle name="20% - Accent4 5 3 4 2 3" xfId="15014" xr:uid="{00000000-0005-0000-0000-000076300000}"/>
    <cellStyle name="20% - Accent4 5 3 4 2 3 2" xfId="37616" xr:uid="{00000000-0005-0000-0000-000077300000}"/>
    <cellStyle name="20% - Accent4 5 3 4 2 4" xfId="26315" xr:uid="{00000000-0005-0000-0000-000078300000}"/>
    <cellStyle name="20% - Accent4 5 3 4 3" xfId="5409" xr:uid="{00000000-0005-0000-0000-000079300000}"/>
    <cellStyle name="20% - Accent4 5 3 4 3 2" xfId="11059" xr:uid="{00000000-0005-0000-0000-00007A300000}"/>
    <cellStyle name="20% - Accent4 5 3 4 3 2 2" xfId="22360" xr:uid="{00000000-0005-0000-0000-00007B300000}"/>
    <cellStyle name="20% - Accent4 5 3 4 3 2 2 2" xfId="44962" xr:uid="{00000000-0005-0000-0000-00007C300000}"/>
    <cellStyle name="20% - Accent4 5 3 4 3 2 3" xfId="33661" xr:uid="{00000000-0005-0000-0000-00007D300000}"/>
    <cellStyle name="20% - Accent4 5 3 4 3 3" xfId="16710" xr:uid="{00000000-0005-0000-0000-00007E300000}"/>
    <cellStyle name="20% - Accent4 5 3 4 3 3 2" xfId="39312" xr:uid="{00000000-0005-0000-0000-00007F300000}"/>
    <cellStyle name="20% - Accent4 5 3 4 3 4" xfId="28011" xr:uid="{00000000-0005-0000-0000-000080300000}"/>
    <cellStyle name="20% - Accent4 5 3 4 4" xfId="7566" xr:uid="{00000000-0005-0000-0000-000081300000}"/>
    <cellStyle name="20% - Accent4 5 3 4 4 2" xfId="18867" xr:uid="{00000000-0005-0000-0000-000082300000}"/>
    <cellStyle name="20% - Accent4 5 3 4 4 2 2" xfId="41469" xr:uid="{00000000-0005-0000-0000-000083300000}"/>
    <cellStyle name="20% - Accent4 5 3 4 4 3" xfId="30168" xr:uid="{00000000-0005-0000-0000-000084300000}"/>
    <cellStyle name="20% - Accent4 5 3 4 5" xfId="13217" xr:uid="{00000000-0005-0000-0000-000085300000}"/>
    <cellStyle name="20% - Accent4 5 3 4 5 2" xfId="35819" xr:uid="{00000000-0005-0000-0000-000086300000}"/>
    <cellStyle name="20% - Accent4 5 3 4 6" xfId="24518" xr:uid="{00000000-0005-0000-0000-000087300000}"/>
    <cellStyle name="20% - Accent4 5 3 5" xfId="2390" xr:uid="{00000000-0005-0000-0000-000088300000}"/>
    <cellStyle name="20% - Accent4 5 3 5 2" xfId="8226" xr:uid="{00000000-0005-0000-0000-000089300000}"/>
    <cellStyle name="20% - Accent4 5 3 5 2 2" xfId="19527" xr:uid="{00000000-0005-0000-0000-00008A300000}"/>
    <cellStyle name="20% - Accent4 5 3 5 2 2 2" xfId="42129" xr:uid="{00000000-0005-0000-0000-00008B300000}"/>
    <cellStyle name="20% - Accent4 5 3 5 2 3" xfId="30828" xr:uid="{00000000-0005-0000-0000-00008C300000}"/>
    <cellStyle name="20% - Accent4 5 3 5 3" xfId="13877" xr:uid="{00000000-0005-0000-0000-00008D300000}"/>
    <cellStyle name="20% - Accent4 5 3 5 3 2" xfId="36479" xr:uid="{00000000-0005-0000-0000-00008E300000}"/>
    <cellStyle name="20% - Accent4 5 3 5 4" xfId="25178" xr:uid="{00000000-0005-0000-0000-00008F300000}"/>
    <cellStyle name="20% - Accent4 5 3 6" xfId="4175" xr:uid="{00000000-0005-0000-0000-000090300000}"/>
    <cellStyle name="20% - Accent4 5 3 6 2" xfId="9825" xr:uid="{00000000-0005-0000-0000-000091300000}"/>
    <cellStyle name="20% - Accent4 5 3 6 2 2" xfId="21126" xr:uid="{00000000-0005-0000-0000-000092300000}"/>
    <cellStyle name="20% - Accent4 5 3 6 2 2 2" xfId="43728" xr:uid="{00000000-0005-0000-0000-000093300000}"/>
    <cellStyle name="20% - Accent4 5 3 6 2 3" xfId="32427" xr:uid="{00000000-0005-0000-0000-000094300000}"/>
    <cellStyle name="20% - Accent4 5 3 6 3" xfId="15476" xr:uid="{00000000-0005-0000-0000-000095300000}"/>
    <cellStyle name="20% - Accent4 5 3 6 3 2" xfId="38078" xr:uid="{00000000-0005-0000-0000-000096300000}"/>
    <cellStyle name="20% - Accent4 5 3 6 4" xfId="26777" xr:uid="{00000000-0005-0000-0000-000097300000}"/>
    <cellStyle name="20% - Accent4 5 3 7" xfId="6653" xr:uid="{00000000-0005-0000-0000-000098300000}"/>
    <cellStyle name="20% - Accent4 5 3 7 2" xfId="17954" xr:uid="{00000000-0005-0000-0000-000099300000}"/>
    <cellStyle name="20% - Accent4 5 3 7 2 2" xfId="40556" xr:uid="{00000000-0005-0000-0000-00009A300000}"/>
    <cellStyle name="20% - Accent4 5 3 7 3" xfId="29255" xr:uid="{00000000-0005-0000-0000-00009B300000}"/>
    <cellStyle name="20% - Accent4 5 3 8" xfId="12304" xr:uid="{00000000-0005-0000-0000-00009C300000}"/>
    <cellStyle name="20% - Accent4 5 3 8 2" xfId="34906" xr:uid="{00000000-0005-0000-0000-00009D300000}"/>
    <cellStyle name="20% - Accent4 5 3 9" xfId="23605" xr:uid="{00000000-0005-0000-0000-00009E300000}"/>
    <cellStyle name="20% - Accent4 5 4" xfId="1160" xr:uid="{00000000-0005-0000-0000-00009F300000}"/>
    <cellStyle name="20% - Accent4 5 4 2" xfId="1712" xr:uid="{00000000-0005-0000-0000-0000A0300000}"/>
    <cellStyle name="20% - Accent4 5 4 2 2" xfId="3228" xr:uid="{00000000-0005-0000-0000-0000A1300000}"/>
    <cellStyle name="20% - Accent4 5 4 2 2 2" xfId="6200" xr:uid="{00000000-0005-0000-0000-0000A2300000}"/>
    <cellStyle name="20% - Accent4 5 4 2 2 2 2" xfId="11850" xr:uid="{00000000-0005-0000-0000-0000A3300000}"/>
    <cellStyle name="20% - Accent4 5 4 2 2 2 2 2" xfId="23151" xr:uid="{00000000-0005-0000-0000-0000A4300000}"/>
    <cellStyle name="20% - Accent4 5 4 2 2 2 2 2 2" xfId="45753" xr:uid="{00000000-0005-0000-0000-0000A5300000}"/>
    <cellStyle name="20% - Accent4 5 4 2 2 2 2 3" xfId="34452" xr:uid="{00000000-0005-0000-0000-0000A6300000}"/>
    <cellStyle name="20% - Accent4 5 4 2 2 2 3" xfId="17501" xr:uid="{00000000-0005-0000-0000-0000A7300000}"/>
    <cellStyle name="20% - Accent4 5 4 2 2 2 3 2" xfId="40103" xr:uid="{00000000-0005-0000-0000-0000A8300000}"/>
    <cellStyle name="20% - Accent4 5 4 2 2 2 4" xfId="28802" xr:uid="{00000000-0005-0000-0000-0000A9300000}"/>
    <cellStyle name="20% - Accent4 5 4 2 2 3" xfId="9018" xr:uid="{00000000-0005-0000-0000-0000AA300000}"/>
    <cellStyle name="20% - Accent4 5 4 2 2 3 2" xfId="20319" xr:uid="{00000000-0005-0000-0000-0000AB300000}"/>
    <cellStyle name="20% - Accent4 5 4 2 2 3 2 2" xfId="42921" xr:uid="{00000000-0005-0000-0000-0000AC300000}"/>
    <cellStyle name="20% - Accent4 5 4 2 2 3 3" xfId="31620" xr:uid="{00000000-0005-0000-0000-0000AD300000}"/>
    <cellStyle name="20% - Accent4 5 4 2 2 4" xfId="14669" xr:uid="{00000000-0005-0000-0000-0000AE300000}"/>
    <cellStyle name="20% - Accent4 5 4 2 2 4 2" xfId="37271" xr:uid="{00000000-0005-0000-0000-0000AF300000}"/>
    <cellStyle name="20% - Accent4 5 4 2 2 5" xfId="25970" xr:uid="{00000000-0005-0000-0000-0000B0300000}"/>
    <cellStyle name="20% - Accent4 5 4 2 3" xfId="4966" xr:uid="{00000000-0005-0000-0000-0000B1300000}"/>
    <cellStyle name="20% - Accent4 5 4 2 3 2" xfId="10616" xr:uid="{00000000-0005-0000-0000-0000B2300000}"/>
    <cellStyle name="20% - Accent4 5 4 2 3 2 2" xfId="21917" xr:uid="{00000000-0005-0000-0000-0000B3300000}"/>
    <cellStyle name="20% - Accent4 5 4 2 3 2 2 2" xfId="44519" xr:uid="{00000000-0005-0000-0000-0000B4300000}"/>
    <cellStyle name="20% - Accent4 5 4 2 3 2 3" xfId="33218" xr:uid="{00000000-0005-0000-0000-0000B5300000}"/>
    <cellStyle name="20% - Accent4 5 4 2 3 3" xfId="16267" xr:uid="{00000000-0005-0000-0000-0000B6300000}"/>
    <cellStyle name="20% - Accent4 5 4 2 3 3 2" xfId="38869" xr:uid="{00000000-0005-0000-0000-0000B7300000}"/>
    <cellStyle name="20% - Accent4 5 4 2 3 4" xfId="27568" xr:uid="{00000000-0005-0000-0000-0000B8300000}"/>
    <cellStyle name="20% - Accent4 5 4 2 4" xfId="7568" xr:uid="{00000000-0005-0000-0000-0000B9300000}"/>
    <cellStyle name="20% - Accent4 5 4 2 4 2" xfId="18869" xr:uid="{00000000-0005-0000-0000-0000BA300000}"/>
    <cellStyle name="20% - Accent4 5 4 2 4 2 2" xfId="41471" xr:uid="{00000000-0005-0000-0000-0000BB300000}"/>
    <cellStyle name="20% - Accent4 5 4 2 4 3" xfId="30170" xr:uid="{00000000-0005-0000-0000-0000BC300000}"/>
    <cellStyle name="20% - Accent4 5 4 2 5" xfId="13219" xr:uid="{00000000-0005-0000-0000-0000BD300000}"/>
    <cellStyle name="20% - Accent4 5 4 2 5 2" xfId="35821" xr:uid="{00000000-0005-0000-0000-0000BE300000}"/>
    <cellStyle name="20% - Accent4 5 4 2 6" xfId="24520" xr:uid="{00000000-0005-0000-0000-0000BF300000}"/>
    <cellStyle name="20% - Accent4 5 4 3" xfId="2557" xr:uid="{00000000-0005-0000-0000-0000C0300000}"/>
    <cellStyle name="20% - Accent4 5 4 3 2" xfId="5576" xr:uid="{00000000-0005-0000-0000-0000C1300000}"/>
    <cellStyle name="20% - Accent4 5 4 3 2 2" xfId="11226" xr:uid="{00000000-0005-0000-0000-0000C2300000}"/>
    <cellStyle name="20% - Accent4 5 4 3 2 2 2" xfId="22527" xr:uid="{00000000-0005-0000-0000-0000C3300000}"/>
    <cellStyle name="20% - Accent4 5 4 3 2 2 2 2" xfId="45129" xr:uid="{00000000-0005-0000-0000-0000C4300000}"/>
    <cellStyle name="20% - Accent4 5 4 3 2 2 3" xfId="33828" xr:uid="{00000000-0005-0000-0000-0000C5300000}"/>
    <cellStyle name="20% - Accent4 5 4 3 2 3" xfId="16877" xr:uid="{00000000-0005-0000-0000-0000C6300000}"/>
    <cellStyle name="20% - Accent4 5 4 3 2 3 2" xfId="39479" xr:uid="{00000000-0005-0000-0000-0000C7300000}"/>
    <cellStyle name="20% - Accent4 5 4 3 2 4" xfId="28178" xr:uid="{00000000-0005-0000-0000-0000C8300000}"/>
    <cellStyle name="20% - Accent4 5 4 3 3" xfId="8393" xr:uid="{00000000-0005-0000-0000-0000C9300000}"/>
    <cellStyle name="20% - Accent4 5 4 3 3 2" xfId="19694" xr:uid="{00000000-0005-0000-0000-0000CA300000}"/>
    <cellStyle name="20% - Accent4 5 4 3 3 2 2" xfId="42296" xr:uid="{00000000-0005-0000-0000-0000CB300000}"/>
    <cellStyle name="20% - Accent4 5 4 3 3 3" xfId="30995" xr:uid="{00000000-0005-0000-0000-0000CC300000}"/>
    <cellStyle name="20% - Accent4 5 4 3 4" xfId="14044" xr:uid="{00000000-0005-0000-0000-0000CD300000}"/>
    <cellStyle name="20% - Accent4 5 4 3 4 2" xfId="36646" xr:uid="{00000000-0005-0000-0000-0000CE300000}"/>
    <cellStyle name="20% - Accent4 5 4 3 5" xfId="25345" xr:uid="{00000000-0005-0000-0000-0000CF300000}"/>
    <cellStyle name="20% - Accent4 5 4 4" xfId="4342" xr:uid="{00000000-0005-0000-0000-0000D0300000}"/>
    <cellStyle name="20% - Accent4 5 4 4 2" xfId="9992" xr:uid="{00000000-0005-0000-0000-0000D1300000}"/>
    <cellStyle name="20% - Accent4 5 4 4 2 2" xfId="21293" xr:uid="{00000000-0005-0000-0000-0000D2300000}"/>
    <cellStyle name="20% - Accent4 5 4 4 2 2 2" xfId="43895" xr:uid="{00000000-0005-0000-0000-0000D3300000}"/>
    <cellStyle name="20% - Accent4 5 4 4 2 3" xfId="32594" xr:uid="{00000000-0005-0000-0000-0000D4300000}"/>
    <cellStyle name="20% - Accent4 5 4 4 3" xfId="15643" xr:uid="{00000000-0005-0000-0000-0000D5300000}"/>
    <cellStyle name="20% - Accent4 5 4 4 3 2" xfId="38245" xr:uid="{00000000-0005-0000-0000-0000D6300000}"/>
    <cellStyle name="20% - Accent4 5 4 4 4" xfId="26944" xr:uid="{00000000-0005-0000-0000-0000D7300000}"/>
    <cellStyle name="20% - Accent4 5 4 5" xfId="7139" xr:uid="{00000000-0005-0000-0000-0000D8300000}"/>
    <cellStyle name="20% - Accent4 5 4 5 2" xfId="18440" xr:uid="{00000000-0005-0000-0000-0000D9300000}"/>
    <cellStyle name="20% - Accent4 5 4 5 2 2" xfId="41042" xr:uid="{00000000-0005-0000-0000-0000DA300000}"/>
    <cellStyle name="20% - Accent4 5 4 5 3" xfId="29741" xr:uid="{00000000-0005-0000-0000-0000DB300000}"/>
    <cellStyle name="20% - Accent4 5 4 6" xfId="12790" xr:uid="{00000000-0005-0000-0000-0000DC300000}"/>
    <cellStyle name="20% - Accent4 5 4 6 2" xfId="35392" xr:uid="{00000000-0005-0000-0000-0000DD300000}"/>
    <cellStyle name="20% - Accent4 5 4 7" xfId="24091" xr:uid="{00000000-0005-0000-0000-0000DE300000}"/>
    <cellStyle name="20% - Accent4 5 5" xfId="840" xr:uid="{00000000-0005-0000-0000-0000DF300000}"/>
    <cellStyle name="20% - Accent4 5 5 2" xfId="2921" xr:uid="{00000000-0005-0000-0000-0000E0300000}"/>
    <cellStyle name="20% - Accent4 5 5 2 2" xfId="5893" xr:uid="{00000000-0005-0000-0000-0000E1300000}"/>
    <cellStyle name="20% - Accent4 5 5 2 2 2" xfId="11543" xr:uid="{00000000-0005-0000-0000-0000E2300000}"/>
    <cellStyle name="20% - Accent4 5 5 2 2 2 2" xfId="22844" xr:uid="{00000000-0005-0000-0000-0000E3300000}"/>
    <cellStyle name="20% - Accent4 5 5 2 2 2 2 2" xfId="45446" xr:uid="{00000000-0005-0000-0000-0000E4300000}"/>
    <cellStyle name="20% - Accent4 5 5 2 2 2 3" xfId="34145" xr:uid="{00000000-0005-0000-0000-0000E5300000}"/>
    <cellStyle name="20% - Accent4 5 5 2 2 3" xfId="17194" xr:uid="{00000000-0005-0000-0000-0000E6300000}"/>
    <cellStyle name="20% - Accent4 5 5 2 2 3 2" xfId="39796" xr:uid="{00000000-0005-0000-0000-0000E7300000}"/>
    <cellStyle name="20% - Accent4 5 5 2 2 4" xfId="28495" xr:uid="{00000000-0005-0000-0000-0000E8300000}"/>
    <cellStyle name="20% - Accent4 5 5 2 3" xfId="8711" xr:uid="{00000000-0005-0000-0000-0000E9300000}"/>
    <cellStyle name="20% - Accent4 5 5 2 3 2" xfId="20012" xr:uid="{00000000-0005-0000-0000-0000EA300000}"/>
    <cellStyle name="20% - Accent4 5 5 2 3 2 2" xfId="42614" xr:uid="{00000000-0005-0000-0000-0000EB300000}"/>
    <cellStyle name="20% - Accent4 5 5 2 3 3" xfId="31313" xr:uid="{00000000-0005-0000-0000-0000EC300000}"/>
    <cellStyle name="20% - Accent4 5 5 2 4" xfId="14362" xr:uid="{00000000-0005-0000-0000-0000ED300000}"/>
    <cellStyle name="20% - Accent4 5 5 2 4 2" xfId="36964" xr:uid="{00000000-0005-0000-0000-0000EE300000}"/>
    <cellStyle name="20% - Accent4 5 5 2 5" xfId="25663" xr:uid="{00000000-0005-0000-0000-0000EF300000}"/>
    <cellStyle name="20% - Accent4 5 5 3" xfId="4659" xr:uid="{00000000-0005-0000-0000-0000F0300000}"/>
    <cellStyle name="20% - Accent4 5 5 3 2" xfId="10309" xr:uid="{00000000-0005-0000-0000-0000F1300000}"/>
    <cellStyle name="20% - Accent4 5 5 3 2 2" xfId="21610" xr:uid="{00000000-0005-0000-0000-0000F2300000}"/>
    <cellStyle name="20% - Accent4 5 5 3 2 2 2" xfId="44212" xr:uid="{00000000-0005-0000-0000-0000F3300000}"/>
    <cellStyle name="20% - Accent4 5 5 3 2 3" xfId="32911" xr:uid="{00000000-0005-0000-0000-0000F4300000}"/>
    <cellStyle name="20% - Accent4 5 5 3 3" xfId="15960" xr:uid="{00000000-0005-0000-0000-0000F5300000}"/>
    <cellStyle name="20% - Accent4 5 5 3 3 2" xfId="38562" xr:uid="{00000000-0005-0000-0000-0000F6300000}"/>
    <cellStyle name="20% - Accent4 5 5 3 4" xfId="27261" xr:uid="{00000000-0005-0000-0000-0000F7300000}"/>
    <cellStyle name="20% - Accent4 5 5 4" xfId="6845" xr:uid="{00000000-0005-0000-0000-0000F8300000}"/>
    <cellStyle name="20% - Accent4 5 5 4 2" xfId="18146" xr:uid="{00000000-0005-0000-0000-0000F9300000}"/>
    <cellStyle name="20% - Accent4 5 5 4 2 2" xfId="40748" xr:uid="{00000000-0005-0000-0000-0000FA300000}"/>
    <cellStyle name="20% - Accent4 5 5 4 3" xfId="29447" xr:uid="{00000000-0005-0000-0000-0000FB300000}"/>
    <cellStyle name="20% - Accent4 5 5 5" xfId="12496" xr:uid="{00000000-0005-0000-0000-0000FC300000}"/>
    <cellStyle name="20% - Accent4 5 5 5 2" xfId="35098" xr:uid="{00000000-0005-0000-0000-0000FD300000}"/>
    <cellStyle name="20% - Accent4 5 5 6" xfId="23797" xr:uid="{00000000-0005-0000-0000-0000FE300000}"/>
    <cellStyle name="20% - Accent4 5 6" xfId="1705" xr:uid="{00000000-0005-0000-0000-0000FF300000}"/>
    <cellStyle name="20% - Accent4 5 6 2" xfId="3648" xr:uid="{00000000-0005-0000-0000-000000310000}"/>
    <cellStyle name="20% - Accent4 5 6 2 2" xfId="9360" xr:uid="{00000000-0005-0000-0000-000001310000}"/>
    <cellStyle name="20% - Accent4 5 6 2 2 2" xfId="20661" xr:uid="{00000000-0005-0000-0000-000002310000}"/>
    <cellStyle name="20% - Accent4 5 6 2 2 2 2" xfId="43263" xr:uid="{00000000-0005-0000-0000-000003310000}"/>
    <cellStyle name="20% - Accent4 5 6 2 2 3" xfId="31962" xr:uid="{00000000-0005-0000-0000-000004310000}"/>
    <cellStyle name="20% - Accent4 5 6 2 3" xfId="15011" xr:uid="{00000000-0005-0000-0000-000005310000}"/>
    <cellStyle name="20% - Accent4 5 6 2 3 2" xfId="37613" xr:uid="{00000000-0005-0000-0000-000006310000}"/>
    <cellStyle name="20% - Accent4 5 6 2 4" xfId="26312" xr:uid="{00000000-0005-0000-0000-000007310000}"/>
    <cellStyle name="20% - Accent4 5 6 3" xfId="5269" xr:uid="{00000000-0005-0000-0000-000008310000}"/>
    <cellStyle name="20% - Accent4 5 6 3 2" xfId="10919" xr:uid="{00000000-0005-0000-0000-000009310000}"/>
    <cellStyle name="20% - Accent4 5 6 3 2 2" xfId="22220" xr:uid="{00000000-0005-0000-0000-00000A310000}"/>
    <cellStyle name="20% - Accent4 5 6 3 2 2 2" xfId="44822" xr:uid="{00000000-0005-0000-0000-00000B310000}"/>
    <cellStyle name="20% - Accent4 5 6 3 2 3" xfId="33521" xr:uid="{00000000-0005-0000-0000-00000C310000}"/>
    <cellStyle name="20% - Accent4 5 6 3 3" xfId="16570" xr:uid="{00000000-0005-0000-0000-00000D310000}"/>
    <cellStyle name="20% - Accent4 5 6 3 3 2" xfId="39172" xr:uid="{00000000-0005-0000-0000-00000E310000}"/>
    <cellStyle name="20% - Accent4 5 6 3 4" xfId="27871" xr:uid="{00000000-0005-0000-0000-00000F310000}"/>
    <cellStyle name="20% - Accent4 5 6 4" xfId="7561" xr:uid="{00000000-0005-0000-0000-000010310000}"/>
    <cellStyle name="20% - Accent4 5 6 4 2" xfId="18862" xr:uid="{00000000-0005-0000-0000-000011310000}"/>
    <cellStyle name="20% - Accent4 5 6 4 2 2" xfId="41464" xr:uid="{00000000-0005-0000-0000-000012310000}"/>
    <cellStyle name="20% - Accent4 5 6 4 3" xfId="30163" xr:uid="{00000000-0005-0000-0000-000013310000}"/>
    <cellStyle name="20% - Accent4 5 6 5" xfId="13212" xr:uid="{00000000-0005-0000-0000-000014310000}"/>
    <cellStyle name="20% - Accent4 5 6 5 2" xfId="35814" xr:uid="{00000000-0005-0000-0000-000015310000}"/>
    <cellStyle name="20% - Accent4 5 6 6" xfId="24513" xr:uid="{00000000-0005-0000-0000-000016310000}"/>
    <cellStyle name="20% - Accent4 5 7" xfId="2242" xr:uid="{00000000-0005-0000-0000-000017310000}"/>
    <cellStyle name="20% - Accent4 5 7 2" xfId="8083" xr:uid="{00000000-0005-0000-0000-000018310000}"/>
    <cellStyle name="20% - Accent4 5 7 2 2" xfId="19384" xr:uid="{00000000-0005-0000-0000-000019310000}"/>
    <cellStyle name="20% - Accent4 5 7 2 2 2" xfId="41986" xr:uid="{00000000-0005-0000-0000-00001A310000}"/>
    <cellStyle name="20% - Accent4 5 7 2 3" xfId="30685" xr:uid="{00000000-0005-0000-0000-00001B310000}"/>
    <cellStyle name="20% - Accent4 5 7 3" xfId="13734" xr:uid="{00000000-0005-0000-0000-00001C310000}"/>
    <cellStyle name="20% - Accent4 5 7 3 2" xfId="36336" xr:uid="{00000000-0005-0000-0000-00001D310000}"/>
    <cellStyle name="20% - Accent4 5 7 4" xfId="25035" xr:uid="{00000000-0005-0000-0000-00001E310000}"/>
    <cellStyle name="20% - Accent4 5 8" xfId="4035" xr:uid="{00000000-0005-0000-0000-00001F310000}"/>
    <cellStyle name="20% - Accent4 5 8 2" xfId="9685" xr:uid="{00000000-0005-0000-0000-000020310000}"/>
    <cellStyle name="20% - Accent4 5 8 2 2" xfId="20986" xr:uid="{00000000-0005-0000-0000-000021310000}"/>
    <cellStyle name="20% - Accent4 5 8 2 2 2" xfId="43588" xr:uid="{00000000-0005-0000-0000-000022310000}"/>
    <cellStyle name="20% - Accent4 5 8 2 3" xfId="32287" xr:uid="{00000000-0005-0000-0000-000023310000}"/>
    <cellStyle name="20% - Accent4 5 8 3" xfId="15336" xr:uid="{00000000-0005-0000-0000-000024310000}"/>
    <cellStyle name="20% - Accent4 5 8 3 2" xfId="37938" xr:uid="{00000000-0005-0000-0000-000025310000}"/>
    <cellStyle name="20% - Accent4 5 8 4" xfId="26637" xr:uid="{00000000-0005-0000-0000-000026310000}"/>
    <cellStyle name="20% - Accent4 5 9" xfId="6486" xr:uid="{00000000-0005-0000-0000-000027310000}"/>
    <cellStyle name="20% - Accent4 5 9 2" xfId="17787" xr:uid="{00000000-0005-0000-0000-000028310000}"/>
    <cellStyle name="20% - Accent4 5 9 2 2" xfId="40389" xr:uid="{00000000-0005-0000-0000-000029310000}"/>
    <cellStyle name="20% - Accent4 5 9 3" xfId="29088" xr:uid="{00000000-0005-0000-0000-00002A310000}"/>
    <cellStyle name="20% - Accent4 6" xfId="291" xr:uid="{00000000-0005-0000-0000-00002B310000}"/>
    <cellStyle name="20% - Accent4 7" xfId="397" xr:uid="{00000000-0005-0000-0000-00002C310000}"/>
    <cellStyle name="20% - Accent4 7 10" xfId="23492" xr:uid="{00000000-0005-0000-0000-00002D310000}"/>
    <cellStyle name="20% - Accent4 7 2" xfId="642" xr:uid="{00000000-0005-0000-0000-00002E310000}"/>
    <cellStyle name="20% - Accent4 7 2 2" xfId="1352" xr:uid="{00000000-0005-0000-0000-00002F310000}"/>
    <cellStyle name="20% - Accent4 7 2 2 2" xfId="1715" xr:uid="{00000000-0005-0000-0000-000030310000}"/>
    <cellStyle name="20% - Accent4 7 2 2 2 2" xfId="3421" xr:uid="{00000000-0005-0000-0000-000031310000}"/>
    <cellStyle name="20% - Accent4 7 2 2 2 2 2" xfId="6393" xr:uid="{00000000-0005-0000-0000-000032310000}"/>
    <cellStyle name="20% - Accent4 7 2 2 2 2 2 2" xfId="12043" xr:uid="{00000000-0005-0000-0000-000033310000}"/>
    <cellStyle name="20% - Accent4 7 2 2 2 2 2 2 2" xfId="23344" xr:uid="{00000000-0005-0000-0000-000034310000}"/>
    <cellStyle name="20% - Accent4 7 2 2 2 2 2 2 2 2" xfId="45946" xr:uid="{00000000-0005-0000-0000-000035310000}"/>
    <cellStyle name="20% - Accent4 7 2 2 2 2 2 2 3" xfId="34645" xr:uid="{00000000-0005-0000-0000-000036310000}"/>
    <cellStyle name="20% - Accent4 7 2 2 2 2 2 3" xfId="17694" xr:uid="{00000000-0005-0000-0000-000037310000}"/>
    <cellStyle name="20% - Accent4 7 2 2 2 2 2 3 2" xfId="40296" xr:uid="{00000000-0005-0000-0000-000038310000}"/>
    <cellStyle name="20% - Accent4 7 2 2 2 2 2 4" xfId="28995" xr:uid="{00000000-0005-0000-0000-000039310000}"/>
    <cellStyle name="20% - Accent4 7 2 2 2 2 3" xfId="9211" xr:uid="{00000000-0005-0000-0000-00003A310000}"/>
    <cellStyle name="20% - Accent4 7 2 2 2 2 3 2" xfId="20512" xr:uid="{00000000-0005-0000-0000-00003B310000}"/>
    <cellStyle name="20% - Accent4 7 2 2 2 2 3 2 2" xfId="43114" xr:uid="{00000000-0005-0000-0000-00003C310000}"/>
    <cellStyle name="20% - Accent4 7 2 2 2 2 3 3" xfId="31813" xr:uid="{00000000-0005-0000-0000-00003D310000}"/>
    <cellStyle name="20% - Accent4 7 2 2 2 2 4" xfId="14862" xr:uid="{00000000-0005-0000-0000-00003E310000}"/>
    <cellStyle name="20% - Accent4 7 2 2 2 2 4 2" xfId="37464" xr:uid="{00000000-0005-0000-0000-00003F310000}"/>
    <cellStyle name="20% - Accent4 7 2 2 2 2 5" xfId="26163" xr:uid="{00000000-0005-0000-0000-000040310000}"/>
    <cellStyle name="20% - Accent4 7 2 2 2 3" xfId="5159" xr:uid="{00000000-0005-0000-0000-000041310000}"/>
    <cellStyle name="20% - Accent4 7 2 2 2 3 2" xfId="10809" xr:uid="{00000000-0005-0000-0000-000042310000}"/>
    <cellStyle name="20% - Accent4 7 2 2 2 3 2 2" xfId="22110" xr:uid="{00000000-0005-0000-0000-000043310000}"/>
    <cellStyle name="20% - Accent4 7 2 2 2 3 2 2 2" xfId="44712" xr:uid="{00000000-0005-0000-0000-000044310000}"/>
    <cellStyle name="20% - Accent4 7 2 2 2 3 2 3" xfId="33411" xr:uid="{00000000-0005-0000-0000-000045310000}"/>
    <cellStyle name="20% - Accent4 7 2 2 2 3 3" xfId="16460" xr:uid="{00000000-0005-0000-0000-000046310000}"/>
    <cellStyle name="20% - Accent4 7 2 2 2 3 3 2" xfId="39062" xr:uid="{00000000-0005-0000-0000-000047310000}"/>
    <cellStyle name="20% - Accent4 7 2 2 2 3 4" xfId="27761" xr:uid="{00000000-0005-0000-0000-000048310000}"/>
    <cellStyle name="20% - Accent4 7 2 2 2 4" xfId="7571" xr:uid="{00000000-0005-0000-0000-000049310000}"/>
    <cellStyle name="20% - Accent4 7 2 2 2 4 2" xfId="18872" xr:uid="{00000000-0005-0000-0000-00004A310000}"/>
    <cellStyle name="20% - Accent4 7 2 2 2 4 2 2" xfId="41474" xr:uid="{00000000-0005-0000-0000-00004B310000}"/>
    <cellStyle name="20% - Accent4 7 2 2 2 4 3" xfId="30173" xr:uid="{00000000-0005-0000-0000-00004C310000}"/>
    <cellStyle name="20% - Accent4 7 2 2 2 5" xfId="13222" xr:uid="{00000000-0005-0000-0000-00004D310000}"/>
    <cellStyle name="20% - Accent4 7 2 2 2 5 2" xfId="35824" xr:uid="{00000000-0005-0000-0000-00004E310000}"/>
    <cellStyle name="20% - Accent4 7 2 2 2 6" xfId="24523" xr:uid="{00000000-0005-0000-0000-00004F310000}"/>
    <cellStyle name="20% - Accent4 7 2 2 3" xfId="2750" xr:uid="{00000000-0005-0000-0000-000050310000}"/>
    <cellStyle name="20% - Accent4 7 2 2 3 2" xfId="5769" xr:uid="{00000000-0005-0000-0000-000051310000}"/>
    <cellStyle name="20% - Accent4 7 2 2 3 2 2" xfId="11419" xr:uid="{00000000-0005-0000-0000-000052310000}"/>
    <cellStyle name="20% - Accent4 7 2 2 3 2 2 2" xfId="22720" xr:uid="{00000000-0005-0000-0000-000053310000}"/>
    <cellStyle name="20% - Accent4 7 2 2 3 2 2 2 2" xfId="45322" xr:uid="{00000000-0005-0000-0000-000054310000}"/>
    <cellStyle name="20% - Accent4 7 2 2 3 2 2 3" xfId="34021" xr:uid="{00000000-0005-0000-0000-000055310000}"/>
    <cellStyle name="20% - Accent4 7 2 2 3 2 3" xfId="17070" xr:uid="{00000000-0005-0000-0000-000056310000}"/>
    <cellStyle name="20% - Accent4 7 2 2 3 2 3 2" xfId="39672" xr:uid="{00000000-0005-0000-0000-000057310000}"/>
    <cellStyle name="20% - Accent4 7 2 2 3 2 4" xfId="28371" xr:uid="{00000000-0005-0000-0000-000058310000}"/>
    <cellStyle name="20% - Accent4 7 2 2 3 3" xfId="8586" xr:uid="{00000000-0005-0000-0000-000059310000}"/>
    <cellStyle name="20% - Accent4 7 2 2 3 3 2" xfId="19887" xr:uid="{00000000-0005-0000-0000-00005A310000}"/>
    <cellStyle name="20% - Accent4 7 2 2 3 3 2 2" xfId="42489" xr:uid="{00000000-0005-0000-0000-00005B310000}"/>
    <cellStyle name="20% - Accent4 7 2 2 3 3 3" xfId="31188" xr:uid="{00000000-0005-0000-0000-00005C310000}"/>
    <cellStyle name="20% - Accent4 7 2 2 3 4" xfId="14237" xr:uid="{00000000-0005-0000-0000-00005D310000}"/>
    <cellStyle name="20% - Accent4 7 2 2 3 4 2" xfId="36839" xr:uid="{00000000-0005-0000-0000-00005E310000}"/>
    <cellStyle name="20% - Accent4 7 2 2 3 5" xfId="25538" xr:uid="{00000000-0005-0000-0000-00005F310000}"/>
    <cellStyle name="20% - Accent4 7 2 2 4" xfId="4535" xr:uid="{00000000-0005-0000-0000-000060310000}"/>
    <cellStyle name="20% - Accent4 7 2 2 4 2" xfId="10185" xr:uid="{00000000-0005-0000-0000-000061310000}"/>
    <cellStyle name="20% - Accent4 7 2 2 4 2 2" xfId="21486" xr:uid="{00000000-0005-0000-0000-000062310000}"/>
    <cellStyle name="20% - Accent4 7 2 2 4 2 2 2" xfId="44088" xr:uid="{00000000-0005-0000-0000-000063310000}"/>
    <cellStyle name="20% - Accent4 7 2 2 4 2 3" xfId="32787" xr:uid="{00000000-0005-0000-0000-000064310000}"/>
    <cellStyle name="20% - Accent4 7 2 2 4 3" xfId="15836" xr:uid="{00000000-0005-0000-0000-000065310000}"/>
    <cellStyle name="20% - Accent4 7 2 2 4 3 2" xfId="38438" xr:uid="{00000000-0005-0000-0000-000066310000}"/>
    <cellStyle name="20% - Accent4 7 2 2 4 4" xfId="27137" xr:uid="{00000000-0005-0000-0000-000067310000}"/>
    <cellStyle name="20% - Accent4 7 2 2 5" xfId="7331" xr:uid="{00000000-0005-0000-0000-000068310000}"/>
    <cellStyle name="20% - Accent4 7 2 2 5 2" xfId="18632" xr:uid="{00000000-0005-0000-0000-000069310000}"/>
    <cellStyle name="20% - Accent4 7 2 2 5 2 2" xfId="41234" xr:uid="{00000000-0005-0000-0000-00006A310000}"/>
    <cellStyle name="20% - Accent4 7 2 2 5 3" xfId="29933" xr:uid="{00000000-0005-0000-0000-00006B310000}"/>
    <cellStyle name="20% - Accent4 7 2 2 6" xfId="12982" xr:uid="{00000000-0005-0000-0000-00006C310000}"/>
    <cellStyle name="20% - Accent4 7 2 2 6 2" xfId="35584" xr:uid="{00000000-0005-0000-0000-00006D310000}"/>
    <cellStyle name="20% - Accent4 7 2 2 7" xfId="24283" xr:uid="{00000000-0005-0000-0000-00006E310000}"/>
    <cellStyle name="20% - Accent4 7 2 3" xfId="1050" xr:uid="{00000000-0005-0000-0000-00006F310000}"/>
    <cellStyle name="20% - Accent4 7 2 3 2" xfId="3113" xr:uid="{00000000-0005-0000-0000-000070310000}"/>
    <cellStyle name="20% - Accent4 7 2 3 2 2" xfId="6085" xr:uid="{00000000-0005-0000-0000-000071310000}"/>
    <cellStyle name="20% - Accent4 7 2 3 2 2 2" xfId="11735" xr:uid="{00000000-0005-0000-0000-000072310000}"/>
    <cellStyle name="20% - Accent4 7 2 3 2 2 2 2" xfId="23036" xr:uid="{00000000-0005-0000-0000-000073310000}"/>
    <cellStyle name="20% - Accent4 7 2 3 2 2 2 2 2" xfId="45638" xr:uid="{00000000-0005-0000-0000-000074310000}"/>
    <cellStyle name="20% - Accent4 7 2 3 2 2 2 3" xfId="34337" xr:uid="{00000000-0005-0000-0000-000075310000}"/>
    <cellStyle name="20% - Accent4 7 2 3 2 2 3" xfId="17386" xr:uid="{00000000-0005-0000-0000-000076310000}"/>
    <cellStyle name="20% - Accent4 7 2 3 2 2 3 2" xfId="39988" xr:uid="{00000000-0005-0000-0000-000077310000}"/>
    <cellStyle name="20% - Accent4 7 2 3 2 2 4" xfId="28687" xr:uid="{00000000-0005-0000-0000-000078310000}"/>
    <cellStyle name="20% - Accent4 7 2 3 2 3" xfId="8903" xr:uid="{00000000-0005-0000-0000-000079310000}"/>
    <cellStyle name="20% - Accent4 7 2 3 2 3 2" xfId="20204" xr:uid="{00000000-0005-0000-0000-00007A310000}"/>
    <cellStyle name="20% - Accent4 7 2 3 2 3 2 2" xfId="42806" xr:uid="{00000000-0005-0000-0000-00007B310000}"/>
    <cellStyle name="20% - Accent4 7 2 3 2 3 3" xfId="31505" xr:uid="{00000000-0005-0000-0000-00007C310000}"/>
    <cellStyle name="20% - Accent4 7 2 3 2 4" xfId="14554" xr:uid="{00000000-0005-0000-0000-00007D310000}"/>
    <cellStyle name="20% - Accent4 7 2 3 2 4 2" xfId="37156" xr:uid="{00000000-0005-0000-0000-00007E310000}"/>
    <cellStyle name="20% - Accent4 7 2 3 2 5" xfId="25855" xr:uid="{00000000-0005-0000-0000-00007F310000}"/>
    <cellStyle name="20% - Accent4 7 2 3 3" xfId="4851" xr:uid="{00000000-0005-0000-0000-000080310000}"/>
    <cellStyle name="20% - Accent4 7 2 3 3 2" xfId="10501" xr:uid="{00000000-0005-0000-0000-000081310000}"/>
    <cellStyle name="20% - Accent4 7 2 3 3 2 2" xfId="21802" xr:uid="{00000000-0005-0000-0000-000082310000}"/>
    <cellStyle name="20% - Accent4 7 2 3 3 2 2 2" xfId="44404" xr:uid="{00000000-0005-0000-0000-000083310000}"/>
    <cellStyle name="20% - Accent4 7 2 3 3 2 3" xfId="33103" xr:uid="{00000000-0005-0000-0000-000084310000}"/>
    <cellStyle name="20% - Accent4 7 2 3 3 3" xfId="16152" xr:uid="{00000000-0005-0000-0000-000085310000}"/>
    <cellStyle name="20% - Accent4 7 2 3 3 3 2" xfId="38754" xr:uid="{00000000-0005-0000-0000-000086310000}"/>
    <cellStyle name="20% - Accent4 7 2 3 3 4" xfId="27453" xr:uid="{00000000-0005-0000-0000-000087310000}"/>
    <cellStyle name="20% - Accent4 7 2 3 4" xfId="7038" xr:uid="{00000000-0005-0000-0000-000088310000}"/>
    <cellStyle name="20% - Accent4 7 2 3 4 2" xfId="18339" xr:uid="{00000000-0005-0000-0000-000089310000}"/>
    <cellStyle name="20% - Accent4 7 2 3 4 2 2" xfId="40941" xr:uid="{00000000-0005-0000-0000-00008A310000}"/>
    <cellStyle name="20% - Accent4 7 2 3 4 3" xfId="29640" xr:uid="{00000000-0005-0000-0000-00008B310000}"/>
    <cellStyle name="20% - Accent4 7 2 3 5" xfId="12689" xr:uid="{00000000-0005-0000-0000-00008C310000}"/>
    <cellStyle name="20% - Accent4 7 2 3 5 2" xfId="35291" xr:uid="{00000000-0005-0000-0000-00008D310000}"/>
    <cellStyle name="20% - Accent4 7 2 3 6" xfId="23990" xr:uid="{00000000-0005-0000-0000-00008E310000}"/>
    <cellStyle name="20% - Accent4 7 2 4" xfId="1714" xr:uid="{00000000-0005-0000-0000-00008F310000}"/>
    <cellStyle name="20% - Accent4 7 2 4 2" xfId="3653" xr:uid="{00000000-0005-0000-0000-000090310000}"/>
    <cellStyle name="20% - Accent4 7 2 4 2 2" xfId="9365" xr:uid="{00000000-0005-0000-0000-000091310000}"/>
    <cellStyle name="20% - Accent4 7 2 4 2 2 2" xfId="20666" xr:uid="{00000000-0005-0000-0000-000092310000}"/>
    <cellStyle name="20% - Accent4 7 2 4 2 2 2 2" xfId="43268" xr:uid="{00000000-0005-0000-0000-000093310000}"/>
    <cellStyle name="20% - Accent4 7 2 4 2 2 3" xfId="31967" xr:uid="{00000000-0005-0000-0000-000094310000}"/>
    <cellStyle name="20% - Accent4 7 2 4 2 3" xfId="15016" xr:uid="{00000000-0005-0000-0000-000095310000}"/>
    <cellStyle name="20% - Accent4 7 2 4 2 3 2" xfId="37618" xr:uid="{00000000-0005-0000-0000-000096310000}"/>
    <cellStyle name="20% - Accent4 7 2 4 2 4" xfId="26317" xr:uid="{00000000-0005-0000-0000-000097310000}"/>
    <cellStyle name="20% - Accent4 7 2 4 3" xfId="5461" xr:uid="{00000000-0005-0000-0000-000098310000}"/>
    <cellStyle name="20% - Accent4 7 2 4 3 2" xfId="11111" xr:uid="{00000000-0005-0000-0000-000099310000}"/>
    <cellStyle name="20% - Accent4 7 2 4 3 2 2" xfId="22412" xr:uid="{00000000-0005-0000-0000-00009A310000}"/>
    <cellStyle name="20% - Accent4 7 2 4 3 2 2 2" xfId="45014" xr:uid="{00000000-0005-0000-0000-00009B310000}"/>
    <cellStyle name="20% - Accent4 7 2 4 3 2 3" xfId="33713" xr:uid="{00000000-0005-0000-0000-00009C310000}"/>
    <cellStyle name="20% - Accent4 7 2 4 3 3" xfId="16762" xr:uid="{00000000-0005-0000-0000-00009D310000}"/>
    <cellStyle name="20% - Accent4 7 2 4 3 3 2" xfId="39364" xr:uid="{00000000-0005-0000-0000-00009E310000}"/>
    <cellStyle name="20% - Accent4 7 2 4 3 4" xfId="28063" xr:uid="{00000000-0005-0000-0000-00009F310000}"/>
    <cellStyle name="20% - Accent4 7 2 4 4" xfId="7570" xr:uid="{00000000-0005-0000-0000-0000A0310000}"/>
    <cellStyle name="20% - Accent4 7 2 4 4 2" xfId="18871" xr:uid="{00000000-0005-0000-0000-0000A1310000}"/>
    <cellStyle name="20% - Accent4 7 2 4 4 2 2" xfId="41473" xr:uid="{00000000-0005-0000-0000-0000A2310000}"/>
    <cellStyle name="20% - Accent4 7 2 4 4 3" xfId="30172" xr:uid="{00000000-0005-0000-0000-0000A3310000}"/>
    <cellStyle name="20% - Accent4 7 2 4 5" xfId="13221" xr:uid="{00000000-0005-0000-0000-0000A4310000}"/>
    <cellStyle name="20% - Accent4 7 2 4 5 2" xfId="35823" xr:uid="{00000000-0005-0000-0000-0000A5310000}"/>
    <cellStyle name="20% - Accent4 7 2 4 6" xfId="24522" xr:uid="{00000000-0005-0000-0000-0000A6310000}"/>
    <cellStyle name="20% - Accent4 7 2 5" xfId="2442" xr:uid="{00000000-0005-0000-0000-0000A7310000}"/>
    <cellStyle name="20% - Accent4 7 2 5 2" xfId="8278" xr:uid="{00000000-0005-0000-0000-0000A8310000}"/>
    <cellStyle name="20% - Accent4 7 2 5 2 2" xfId="19579" xr:uid="{00000000-0005-0000-0000-0000A9310000}"/>
    <cellStyle name="20% - Accent4 7 2 5 2 2 2" xfId="42181" xr:uid="{00000000-0005-0000-0000-0000AA310000}"/>
    <cellStyle name="20% - Accent4 7 2 5 2 3" xfId="30880" xr:uid="{00000000-0005-0000-0000-0000AB310000}"/>
    <cellStyle name="20% - Accent4 7 2 5 3" xfId="13929" xr:uid="{00000000-0005-0000-0000-0000AC310000}"/>
    <cellStyle name="20% - Accent4 7 2 5 3 2" xfId="36531" xr:uid="{00000000-0005-0000-0000-0000AD310000}"/>
    <cellStyle name="20% - Accent4 7 2 5 4" xfId="25230" xr:uid="{00000000-0005-0000-0000-0000AE310000}"/>
    <cellStyle name="20% - Accent4 7 2 6" xfId="4227" xr:uid="{00000000-0005-0000-0000-0000AF310000}"/>
    <cellStyle name="20% - Accent4 7 2 6 2" xfId="9877" xr:uid="{00000000-0005-0000-0000-0000B0310000}"/>
    <cellStyle name="20% - Accent4 7 2 6 2 2" xfId="21178" xr:uid="{00000000-0005-0000-0000-0000B1310000}"/>
    <cellStyle name="20% - Accent4 7 2 6 2 2 2" xfId="43780" xr:uid="{00000000-0005-0000-0000-0000B2310000}"/>
    <cellStyle name="20% - Accent4 7 2 6 2 3" xfId="32479" xr:uid="{00000000-0005-0000-0000-0000B3310000}"/>
    <cellStyle name="20% - Accent4 7 2 6 3" xfId="15528" xr:uid="{00000000-0005-0000-0000-0000B4310000}"/>
    <cellStyle name="20% - Accent4 7 2 6 3 2" xfId="38130" xr:uid="{00000000-0005-0000-0000-0000B5310000}"/>
    <cellStyle name="20% - Accent4 7 2 6 4" xfId="26829" xr:uid="{00000000-0005-0000-0000-0000B6310000}"/>
    <cellStyle name="20% - Accent4 7 2 7" xfId="6707" xr:uid="{00000000-0005-0000-0000-0000B7310000}"/>
    <cellStyle name="20% - Accent4 7 2 7 2" xfId="18008" xr:uid="{00000000-0005-0000-0000-0000B8310000}"/>
    <cellStyle name="20% - Accent4 7 2 7 2 2" xfId="40610" xr:uid="{00000000-0005-0000-0000-0000B9310000}"/>
    <cellStyle name="20% - Accent4 7 2 7 3" xfId="29309" xr:uid="{00000000-0005-0000-0000-0000BA310000}"/>
    <cellStyle name="20% - Accent4 7 2 8" xfId="12358" xr:uid="{00000000-0005-0000-0000-0000BB310000}"/>
    <cellStyle name="20% - Accent4 7 2 8 2" xfId="34960" xr:uid="{00000000-0005-0000-0000-0000BC310000}"/>
    <cellStyle name="20% - Accent4 7 2 9" xfId="23659" xr:uid="{00000000-0005-0000-0000-0000BD310000}"/>
    <cellStyle name="20% - Accent4 7 3" xfId="1214" xr:uid="{00000000-0005-0000-0000-0000BE310000}"/>
    <cellStyle name="20% - Accent4 7 3 2" xfId="1716" xr:uid="{00000000-0005-0000-0000-0000BF310000}"/>
    <cellStyle name="20% - Accent4 7 3 2 2" xfId="3282" xr:uid="{00000000-0005-0000-0000-0000C0310000}"/>
    <cellStyle name="20% - Accent4 7 3 2 2 2" xfId="6254" xr:uid="{00000000-0005-0000-0000-0000C1310000}"/>
    <cellStyle name="20% - Accent4 7 3 2 2 2 2" xfId="11904" xr:uid="{00000000-0005-0000-0000-0000C2310000}"/>
    <cellStyle name="20% - Accent4 7 3 2 2 2 2 2" xfId="23205" xr:uid="{00000000-0005-0000-0000-0000C3310000}"/>
    <cellStyle name="20% - Accent4 7 3 2 2 2 2 2 2" xfId="45807" xr:uid="{00000000-0005-0000-0000-0000C4310000}"/>
    <cellStyle name="20% - Accent4 7 3 2 2 2 2 3" xfId="34506" xr:uid="{00000000-0005-0000-0000-0000C5310000}"/>
    <cellStyle name="20% - Accent4 7 3 2 2 2 3" xfId="17555" xr:uid="{00000000-0005-0000-0000-0000C6310000}"/>
    <cellStyle name="20% - Accent4 7 3 2 2 2 3 2" xfId="40157" xr:uid="{00000000-0005-0000-0000-0000C7310000}"/>
    <cellStyle name="20% - Accent4 7 3 2 2 2 4" xfId="28856" xr:uid="{00000000-0005-0000-0000-0000C8310000}"/>
    <cellStyle name="20% - Accent4 7 3 2 2 3" xfId="9072" xr:uid="{00000000-0005-0000-0000-0000C9310000}"/>
    <cellStyle name="20% - Accent4 7 3 2 2 3 2" xfId="20373" xr:uid="{00000000-0005-0000-0000-0000CA310000}"/>
    <cellStyle name="20% - Accent4 7 3 2 2 3 2 2" xfId="42975" xr:uid="{00000000-0005-0000-0000-0000CB310000}"/>
    <cellStyle name="20% - Accent4 7 3 2 2 3 3" xfId="31674" xr:uid="{00000000-0005-0000-0000-0000CC310000}"/>
    <cellStyle name="20% - Accent4 7 3 2 2 4" xfId="14723" xr:uid="{00000000-0005-0000-0000-0000CD310000}"/>
    <cellStyle name="20% - Accent4 7 3 2 2 4 2" xfId="37325" xr:uid="{00000000-0005-0000-0000-0000CE310000}"/>
    <cellStyle name="20% - Accent4 7 3 2 2 5" xfId="26024" xr:uid="{00000000-0005-0000-0000-0000CF310000}"/>
    <cellStyle name="20% - Accent4 7 3 2 3" xfId="5020" xr:uid="{00000000-0005-0000-0000-0000D0310000}"/>
    <cellStyle name="20% - Accent4 7 3 2 3 2" xfId="10670" xr:uid="{00000000-0005-0000-0000-0000D1310000}"/>
    <cellStyle name="20% - Accent4 7 3 2 3 2 2" xfId="21971" xr:uid="{00000000-0005-0000-0000-0000D2310000}"/>
    <cellStyle name="20% - Accent4 7 3 2 3 2 2 2" xfId="44573" xr:uid="{00000000-0005-0000-0000-0000D3310000}"/>
    <cellStyle name="20% - Accent4 7 3 2 3 2 3" xfId="33272" xr:uid="{00000000-0005-0000-0000-0000D4310000}"/>
    <cellStyle name="20% - Accent4 7 3 2 3 3" xfId="16321" xr:uid="{00000000-0005-0000-0000-0000D5310000}"/>
    <cellStyle name="20% - Accent4 7 3 2 3 3 2" xfId="38923" xr:uid="{00000000-0005-0000-0000-0000D6310000}"/>
    <cellStyle name="20% - Accent4 7 3 2 3 4" xfId="27622" xr:uid="{00000000-0005-0000-0000-0000D7310000}"/>
    <cellStyle name="20% - Accent4 7 3 2 4" xfId="7572" xr:uid="{00000000-0005-0000-0000-0000D8310000}"/>
    <cellStyle name="20% - Accent4 7 3 2 4 2" xfId="18873" xr:uid="{00000000-0005-0000-0000-0000D9310000}"/>
    <cellStyle name="20% - Accent4 7 3 2 4 2 2" xfId="41475" xr:uid="{00000000-0005-0000-0000-0000DA310000}"/>
    <cellStyle name="20% - Accent4 7 3 2 4 3" xfId="30174" xr:uid="{00000000-0005-0000-0000-0000DB310000}"/>
    <cellStyle name="20% - Accent4 7 3 2 5" xfId="13223" xr:uid="{00000000-0005-0000-0000-0000DC310000}"/>
    <cellStyle name="20% - Accent4 7 3 2 5 2" xfId="35825" xr:uid="{00000000-0005-0000-0000-0000DD310000}"/>
    <cellStyle name="20% - Accent4 7 3 2 6" xfId="24524" xr:uid="{00000000-0005-0000-0000-0000DE310000}"/>
    <cellStyle name="20% - Accent4 7 3 3" xfId="2611" xr:uid="{00000000-0005-0000-0000-0000DF310000}"/>
    <cellStyle name="20% - Accent4 7 3 3 2" xfId="5630" xr:uid="{00000000-0005-0000-0000-0000E0310000}"/>
    <cellStyle name="20% - Accent4 7 3 3 2 2" xfId="11280" xr:uid="{00000000-0005-0000-0000-0000E1310000}"/>
    <cellStyle name="20% - Accent4 7 3 3 2 2 2" xfId="22581" xr:uid="{00000000-0005-0000-0000-0000E2310000}"/>
    <cellStyle name="20% - Accent4 7 3 3 2 2 2 2" xfId="45183" xr:uid="{00000000-0005-0000-0000-0000E3310000}"/>
    <cellStyle name="20% - Accent4 7 3 3 2 2 3" xfId="33882" xr:uid="{00000000-0005-0000-0000-0000E4310000}"/>
    <cellStyle name="20% - Accent4 7 3 3 2 3" xfId="16931" xr:uid="{00000000-0005-0000-0000-0000E5310000}"/>
    <cellStyle name="20% - Accent4 7 3 3 2 3 2" xfId="39533" xr:uid="{00000000-0005-0000-0000-0000E6310000}"/>
    <cellStyle name="20% - Accent4 7 3 3 2 4" xfId="28232" xr:uid="{00000000-0005-0000-0000-0000E7310000}"/>
    <cellStyle name="20% - Accent4 7 3 3 3" xfId="8447" xr:uid="{00000000-0005-0000-0000-0000E8310000}"/>
    <cellStyle name="20% - Accent4 7 3 3 3 2" xfId="19748" xr:uid="{00000000-0005-0000-0000-0000E9310000}"/>
    <cellStyle name="20% - Accent4 7 3 3 3 2 2" xfId="42350" xr:uid="{00000000-0005-0000-0000-0000EA310000}"/>
    <cellStyle name="20% - Accent4 7 3 3 3 3" xfId="31049" xr:uid="{00000000-0005-0000-0000-0000EB310000}"/>
    <cellStyle name="20% - Accent4 7 3 3 4" xfId="14098" xr:uid="{00000000-0005-0000-0000-0000EC310000}"/>
    <cellStyle name="20% - Accent4 7 3 3 4 2" xfId="36700" xr:uid="{00000000-0005-0000-0000-0000ED310000}"/>
    <cellStyle name="20% - Accent4 7 3 3 5" xfId="25399" xr:uid="{00000000-0005-0000-0000-0000EE310000}"/>
    <cellStyle name="20% - Accent4 7 3 4" xfId="4396" xr:uid="{00000000-0005-0000-0000-0000EF310000}"/>
    <cellStyle name="20% - Accent4 7 3 4 2" xfId="10046" xr:uid="{00000000-0005-0000-0000-0000F0310000}"/>
    <cellStyle name="20% - Accent4 7 3 4 2 2" xfId="21347" xr:uid="{00000000-0005-0000-0000-0000F1310000}"/>
    <cellStyle name="20% - Accent4 7 3 4 2 2 2" xfId="43949" xr:uid="{00000000-0005-0000-0000-0000F2310000}"/>
    <cellStyle name="20% - Accent4 7 3 4 2 3" xfId="32648" xr:uid="{00000000-0005-0000-0000-0000F3310000}"/>
    <cellStyle name="20% - Accent4 7 3 4 3" xfId="15697" xr:uid="{00000000-0005-0000-0000-0000F4310000}"/>
    <cellStyle name="20% - Accent4 7 3 4 3 2" xfId="38299" xr:uid="{00000000-0005-0000-0000-0000F5310000}"/>
    <cellStyle name="20% - Accent4 7 3 4 4" xfId="26998" xr:uid="{00000000-0005-0000-0000-0000F6310000}"/>
    <cellStyle name="20% - Accent4 7 3 5" xfId="7193" xr:uid="{00000000-0005-0000-0000-0000F7310000}"/>
    <cellStyle name="20% - Accent4 7 3 5 2" xfId="18494" xr:uid="{00000000-0005-0000-0000-0000F8310000}"/>
    <cellStyle name="20% - Accent4 7 3 5 2 2" xfId="41096" xr:uid="{00000000-0005-0000-0000-0000F9310000}"/>
    <cellStyle name="20% - Accent4 7 3 5 3" xfId="29795" xr:uid="{00000000-0005-0000-0000-0000FA310000}"/>
    <cellStyle name="20% - Accent4 7 3 6" xfId="12844" xr:uid="{00000000-0005-0000-0000-0000FB310000}"/>
    <cellStyle name="20% - Accent4 7 3 6 2" xfId="35446" xr:uid="{00000000-0005-0000-0000-0000FC310000}"/>
    <cellStyle name="20% - Accent4 7 3 7" xfId="24145" xr:uid="{00000000-0005-0000-0000-0000FD310000}"/>
    <cellStyle name="20% - Accent4 7 4" xfId="905" xr:uid="{00000000-0005-0000-0000-0000FE310000}"/>
    <cellStyle name="20% - Accent4 7 4 2" xfId="2975" xr:uid="{00000000-0005-0000-0000-0000FF310000}"/>
    <cellStyle name="20% - Accent4 7 4 2 2" xfId="5947" xr:uid="{00000000-0005-0000-0000-000000320000}"/>
    <cellStyle name="20% - Accent4 7 4 2 2 2" xfId="11597" xr:uid="{00000000-0005-0000-0000-000001320000}"/>
    <cellStyle name="20% - Accent4 7 4 2 2 2 2" xfId="22898" xr:uid="{00000000-0005-0000-0000-000002320000}"/>
    <cellStyle name="20% - Accent4 7 4 2 2 2 2 2" xfId="45500" xr:uid="{00000000-0005-0000-0000-000003320000}"/>
    <cellStyle name="20% - Accent4 7 4 2 2 2 3" xfId="34199" xr:uid="{00000000-0005-0000-0000-000004320000}"/>
    <cellStyle name="20% - Accent4 7 4 2 2 3" xfId="17248" xr:uid="{00000000-0005-0000-0000-000005320000}"/>
    <cellStyle name="20% - Accent4 7 4 2 2 3 2" xfId="39850" xr:uid="{00000000-0005-0000-0000-000006320000}"/>
    <cellStyle name="20% - Accent4 7 4 2 2 4" xfId="28549" xr:uid="{00000000-0005-0000-0000-000007320000}"/>
    <cellStyle name="20% - Accent4 7 4 2 3" xfId="8765" xr:uid="{00000000-0005-0000-0000-000008320000}"/>
    <cellStyle name="20% - Accent4 7 4 2 3 2" xfId="20066" xr:uid="{00000000-0005-0000-0000-000009320000}"/>
    <cellStyle name="20% - Accent4 7 4 2 3 2 2" xfId="42668" xr:uid="{00000000-0005-0000-0000-00000A320000}"/>
    <cellStyle name="20% - Accent4 7 4 2 3 3" xfId="31367" xr:uid="{00000000-0005-0000-0000-00000B320000}"/>
    <cellStyle name="20% - Accent4 7 4 2 4" xfId="14416" xr:uid="{00000000-0005-0000-0000-00000C320000}"/>
    <cellStyle name="20% - Accent4 7 4 2 4 2" xfId="37018" xr:uid="{00000000-0005-0000-0000-00000D320000}"/>
    <cellStyle name="20% - Accent4 7 4 2 5" xfId="25717" xr:uid="{00000000-0005-0000-0000-00000E320000}"/>
    <cellStyle name="20% - Accent4 7 4 3" xfId="4713" xr:uid="{00000000-0005-0000-0000-00000F320000}"/>
    <cellStyle name="20% - Accent4 7 4 3 2" xfId="10363" xr:uid="{00000000-0005-0000-0000-000010320000}"/>
    <cellStyle name="20% - Accent4 7 4 3 2 2" xfId="21664" xr:uid="{00000000-0005-0000-0000-000011320000}"/>
    <cellStyle name="20% - Accent4 7 4 3 2 2 2" xfId="44266" xr:uid="{00000000-0005-0000-0000-000012320000}"/>
    <cellStyle name="20% - Accent4 7 4 3 2 3" xfId="32965" xr:uid="{00000000-0005-0000-0000-000013320000}"/>
    <cellStyle name="20% - Accent4 7 4 3 3" xfId="16014" xr:uid="{00000000-0005-0000-0000-000014320000}"/>
    <cellStyle name="20% - Accent4 7 4 3 3 2" xfId="38616" xr:uid="{00000000-0005-0000-0000-000015320000}"/>
    <cellStyle name="20% - Accent4 7 4 3 4" xfId="27315" xr:uid="{00000000-0005-0000-0000-000016320000}"/>
    <cellStyle name="20% - Accent4 7 4 4" xfId="6900" xr:uid="{00000000-0005-0000-0000-000017320000}"/>
    <cellStyle name="20% - Accent4 7 4 4 2" xfId="18201" xr:uid="{00000000-0005-0000-0000-000018320000}"/>
    <cellStyle name="20% - Accent4 7 4 4 2 2" xfId="40803" xr:uid="{00000000-0005-0000-0000-000019320000}"/>
    <cellStyle name="20% - Accent4 7 4 4 3" xfId="29502" xr:uid="{00000000-0005-0000-0000-00001A320000}"/>
    <cellStyle name="20% - Accent4 7 4 5" xfId="12551" xr:uid="{00000000-0005-0000-0000-00001B320000}"/>
    <cellStyle name="20% - Accent4 7 4 5 2" xfId="35153" xr:uid="{00000000-0005-0000-0000-00001C320000}"/>
    <cellStyle name="20% - Accent4 7 4 6" xfId="23852" xr:uid="{00000000-0005-0000-0000-00001D320000}"/>
    <cellStyle name="20% - Accent4 7 5" xfId="1713" xr:uid="{00000000-0005-0000-0000-00001E320000}"/>
    <cellStyle name="20% - Accent4 7 5 2" xfId="3652" xr:uid="{00000000-0005-0000-0000-00001F320000}"/>
    <cellStyle name="20% - Accent4 7 5 2 2" xfId="9364" xr:uid="{00000000-0005-0000-0000-000020320000}"/>
    <cellStyle name="20% - Accent4 7 5 2 2 2" xfId="20665" xr:uid="{00000000-0005-0000-0000-000021320000}"/>
    <cellStyle name="20% - Accent4 7 5 2 2 2 2" xfId="43267" xr:uid="{00000000-0005-0000-0000-000022320000}"/>
    <cellStyle name="20% - Accent4 7 5 2 2 3" xfId="31966" xr:uid="{00000000-0005-0000-0000-000023320000}"/>
    <cellStyle name="20% - Accent4 7 5 2 3" xfId="15015" xr:uid="{00000000-0005-0000-0000-000024320000}"/>
    <cellStyle name="20% - Accent4 7 5 2 3 2" xfId="37617" xr:uid="{00000000-0005-0000-0000-000025320000}"/>
    <cellStyle name="20% - Accent4 7 5 2 4" xfId="26316" xr:uid="{00000000-0005-0000-0000-000026320000}"/>
    <cellStyle name="20% - Accent4 7 5 3" xfId="5323" xr:uid="{00000000-0005-0000-0000-000027320000}"/>
    <cellStyle name="20% - Accent4 7 5 3 2" xfId="10973" xr:uid="{00000000-0005-0000-0000-000028320000}"/>
    <cellStyle name="20% - Accent4 7 5 3 2 2" xfId="22274" xr:uid="{00000000-0005-0000-0000-000029320000}"/>
    <cellStyle name="20% - Accent4 7 5 3 2 2 2" xfId="44876" xr:uid="{00000000-0005-0000-0000-00002A320000}"/>
    <cellStyle name="20% - Accent4 7 5 3 2 3" xfId="33575" xr:uid="{00000000-0005-0000-0000-00002B320000}"/>
    <cellStyle name="20% - Accent4 7 5 3 3" xfId="16624" xr:uid="{00000000-0005-0000-0000-00002C320000}"/>
    <cellStyle name="20% - Accent4 7 5 3 3 2" xfId="39226" xr:uid="{00000000-0005-0000-0000-00002D320000}"/>
    <cellStyle name="20% - Accent4 7 5 3 4" xfId="27925" xr:uid="{00000000-0005-0000-0000-00002E320000}"/>
    <cellStyle name="20% - Accent4 7 5 4" xfId="7569" xr:uid="{00000000-0005-0000-0000-00002F320000}"/>
    <cellStyle name="20% - Accent4 7 5 4 2" xfId="18870" xr:uid="{00000000-0005-0000-0000-000030320000}"/>
    <cellStyle name="20% - Accent4 7 5 4 2 2" xfId="41472" xr:uid="{00000000-0005-0000-0000-000031320000}"/>
    <cellStyle name="20% - Accent4 7 5 4 3" xfId="30171" xr:uid="{00000000-0005-0000-0000-000032320000}"/>
    <cellStyle name="20% - Accent4 7 5 5" xfId="13220" xr:uid="{00000000-0005-0000-0000-000033320000}"/>
    <cellStyle name="20% - Accent4 7 5 5 2" xfId="35822" xr:uid="{00000000-0005-0000-0000-000034320000}"/>
    <cellStyle name="20% - Accent4 7 5 6" xfId="24521" xr:uid="{00000000-0005-0000-0000-000035320000}"/>
    <cellStyle name="20% - Accent4 7 6" xfId="2302" xr:uid="{00000000-0005-0000-0000-000036320000}"/>
    <cellStyle name="20% - Accent4 7 6 2" xfId="8138" xr:uid="{00000000-0005-0000-0000-000037320000}"/>
    <cellStyle name="20% - Accent4 7 6 2 2" xfId="19439" xr:uid="{00000000-0005-0000-0000-000038320000}"/>
    <cellStyle name="20% - Accent4 7 6 2 2 2" xfId="42041" xr:uid="{00000000-0005-0000-0000-000039320000}"/>
    <cellStyle name="20% - Accent4 7 6 2 3" xfId="30740" xr:uid="{00000000-0005-0000-0000-00003A320000}"/>
    <cellStyle name="20% - Accent4 7 6 3" xfId="13789" xr:uid="{00000000-0005-0000-0000-00003B320000}"/>
    <cellStyle name="20% - Accent4 7 6 3 2" xfId="36391" xr:uid="{00000000-0005-0000-0000-00003C320000}"/>
    <cellStyle name="20% - Accent4 7 6 4" xfId="25090" xr:uid="{00000000-0005-0000-0000-00003D320000}"/>
    <cellStyle name="20% - Accent4 7 7" xfId="4089" xr:uid="{00000000-0005-0000-0000-00003E320000}"/>
    <cellStyle name="20% - Accent4 7 7 2" xfId="9739" xr:uid="{00000000-0005-0000-0000-00003F320000}"/>
    <cellStyle name="20% - Accent4 7 7 2 2" xfId="21040" xr:uid="{00000000-0005-0000-0000-000040320000}"/>
    <cellStyle name="20% - Accent4 7 7 2 2 2" xfId="43642" xr:uid="{00000000-0005-0000-0000-000041320000}"/>
    <cellStyle name="20% - Accent4 7 7 2 3" xfId="32341" xr:uid="{00000000-0005-0000-0000-000042320000}"/>
    <cellStyle name="20% - Accent4 7 7 3" xfId="15390" xr:uid="{00000000-0005-0000-0000-000043320000}"/>
    <cellStyle name="20% - Accent4 7 7 3 2" xfId="37992" xr:uid="{00000000-0005-0000-0000-000044320000}"/>
    <cellStyle name="20% - Accent4 7 7 4" xfId="26691" xr:uid="{00000000-0005-0000-0000-000045320000}"/>
    <cellStyle name="20% - Accent4 7 8" xfId="6540" xr:uid="{00000000-0005-0000-0000-000046320000}"/>
    <cellStyle name="20% - Accent4 7 8 2" xfId="17841" xr:uid="{00000000-0005-0000-0000-000047320000}"/>
    <cellStyle name="20% - Accent4 7 8 2 2" xfId="40443" xr:uid="{00000000-0005-0000-0000-000048320000}"/>
    <cellStyle name="20% - Accent4 7 8 3" xfId="29142" xr:uid="{00000000-0005-0000-0000-000049320000}"/>
    <cellStyle name="20% - Accent4 7 9" xfId="12191" xr:uid="{00000000-0005-0000-0000-00004A320000}"/>
    <cellStyle name="20% - Accent4 7 9 2" xfId="34793" xr:uid="{00000000-0005-0000-0000-00004B320000}"/>
    <cellStyle name="20% - Accent4 8" xfId="500" xr:uid="{00000000-0005-0000-0000-00004C320000}"/>
    <cellStyle name="20% - Accent4 8 2" xfId="1271" xr:uid="{00000000-0005-0000-0000-00004D320000}"/>
    <cellStyle name="20% - Accent4 8 2 2" xfId="1718" xr:uid="{00000000-0005-0000-0000-00004E320000}"/>
    <cellStyle name="20% - Accent4 8 2 2 2" xfId="3340" xr:uid="{00000000-0005-0000-0000-00004F320000}"/>
    <cellStyle name="20% - Accent4 8 2 2 2 2" xfId="6312" xr:uid="{00000000-0005-0000-0000-000050320000}"/>
    <cellStyle name="20% - Accent4 8 2 2 2 2 2" xfId="11962" xr:uid="{00000000-0005-0000-0000-000051320000}"/>
    <cellStyle name="20% - Accent4 8 2 2 2 2 2 2" xfId="23263" xr:uid="{00000000-0005-0000-0000-000052320000}"/>
    <cellStyle name="20% - Accent4 8 2 2 2 2 2 2 2" xfId="45865" xr:uid="{00000000-0005-0000-0000-000053320000}"/>
    <cellStyle name="20% - Accent4 8 2 2 2 2 2 3" xfId="34564" xr:uid="{00000000-0005-0000-0000-000054320000}"/>
    <cellStyle name="20% - Accent4 8 2 2 2 2 3" xfId="17613" xr:uid="{00000000-0005-0000-0000-000055320000}"/>
    <cellStyle name="20% - Accent4 8 2 2 2 2 3 2" xfId="40215" xr:uid="{00000000-0005-0000-0000-000056320000}"/>
    <cellStyle name="20% - Accent4 8 2 2 2 2 4" xfId="28914" xr:uid="{00000000-0005-0000-0000-000057320000}"/>
    <cellStyle name="20% - Accent4 8 2 2 2 3" xfId="9130" xr:uid="{00000000-0005-0000-0000-000058320000}"/>
    <cellStyle name="20% - Accent4 8 2 2 2 3 2" xfId="20431" xr:uid="{00000000-0005-0000-0000-000059320000}"/>
    <cellStyle name="20% - Accent4 8 2 2 2 3 2 2" xfId="43033" xr:uid="{00000000-0005-0000-0000-00005A320000}"/>
    <cellStyle name="20% - Accent4 8 2 2 2 3 3" xfId="31732" xr:uid="{00000000-0005-0000-0000-00005B320000}"/>
    <cellStyle name="20% - Accent4 8 2 2 2 4" xfId="14781" xr:uid="{00000000-0005-0000-0000-00005C320000}"/>
    <cellStyle name="20% - Accent4 8 2 2 2 4 2" xfId="37383" xr:uid="{00000000-0005-0000-0000-00005D320000}"/>
    <cellStyle name="20% - Accent4 8 2 2 2 5" xfId="26082" xr:uid="{00000000-0005-0000-0000-00005E320000}"/>
    <cellStyle name="20% - Accent4 8 2 2 3" xfId="5078" xr:uid="{00000000-0005-0000-0000-00005F320000}"/>
    <cellStyle name="20% - Accent4 8 2 2 3 2" xfId="10728" xr:uid="{00000000-0005-0000-0000-000060320000}"/>
    <cellStyle name="20% - Accent4 8 2 2 3 2 2" xfId="22029" xr:uid="{00000000-0005-0000-0000-000061320000}"/>
    <cellStyle name="20% - Accent4 8 2 2 3 2 2 2" xfId="44631" xr:uid="{00000000-0005-0000-0000-000062320000}"/>
    <cellStyle name="20% - Accent4 8 2 2 3 2 3" xfId="33330" xr:uid="{00000000-0005-0000-0000-000063320000}"/>
    <cellStyle name="20% - Accent4 8 2 2 3 3" xfId="16379" xr:uid="{00000000-0005-0000-0000-000064320000}"/>
    <cellStyle name="20% - Accent4 8 2 2 3 3 2" xfId="38981" xr:uid="{00000000-0005-0000-0000-000065320000}"/>
    <cellStyle name="20% - Accent4 8 2 2 3 4" xfId="27680" xr:uid="{00000000-0005-0000-0000-000066320000}"/>
    <cellStyle name="20% - Accent4 8 2 2 4" xfId="7574" xr:uid="{00000000-0005-0000-0000-000067320000}"/>
    <cellStyle name="20% - Accent4 8 2 2 4 2" xfId="18875" xr:uid="{00000000-0005-0000-0000-000068320000}"/>
    <cellStyle name="20% - Accent4 8 2 2 4 2 2" xfId="41477" xr:uid="{00000000-0005-0000-0000-000069320000}"/>
    <cellStyle name="20% - Accent4 8 2 2 4 3" xfId="30176" xr:uid="{00000000-0005-0000-0000-00006A320000}"/>
    <cellStyle name="20% - Accent4 8 2 2 5" xfId="13225" xr:uid="{00000000-0005-0000-0000-00006B320000}"/>
    <cellStyle name="20% - Accent4 8 2 2 5 2" xfId="35827" xr:uid="{00000000-0005-0000-0000-00006C320000}"/>
    <cellStyle name="20% - Accent4 8 2 2 6" xfId="24526" xr:uid="{00000000-0005-0000-0000-00006D320000}"/>
    <cellStyle name="20% - Accent4 8 2 3" xfId="2669" xr:uid="{00000000-0005-0000-0000-00006E320000}"/>
    <cellStyle name="20% - Accent4 8 2 3 2" xfId="5688" xr:uid="{00000000-0005-0000-0000-00006F320000}"/>
    <cellStyle name="20% - Accent4 8 2 3 2 2" xfId="11338" xr:uid="{00000000-0005-0000-0000-000070320000}"/>
    <cellStyle name="20% - Accent4 8 2 3 2 2 2" xfId="22639" xr:uid="{00000000-0005-0000-0000-000071320000}"/>
    <cellStyle name="20% - Accent4 8 2 3 2 2 2 2" xfId="45241" xr:uid="{00000000-0005-0000-0000-000072320000}"/>
    <cellStyle name="20% - Accent4 8 2 3 2 2 3" xfId="33940" xr:uid="{00000000-0005-0000-0000-000073320000}"/>
    <cellStyle name="20% - Accent4 8 2 3 2 3" xfId="16989" xr:uid="{00000000-0005-0000-0000-000074320000}"/>
    <cellStyle name="20% - Accent4 8 2 3 2 3 2" xfId="39591" xr:uid="{00000000-0005-0000-0000-000075320000}"/>
    <cellStyle name="20% - Accent4 8 2 3 2 4" xfId="28290" xr:uid="{00000000-0005-0000-0000-000076320000}"/>
    <cellStyle name="20% - Accent4 8 2 3 3" xfId="8505" xr:uid="{00000000-0005-0000-0000-000077320000}"/>
    <cellStyle name="20% - Accent4 8 2 3 3 2" xfId="19806" xr:uid="{00000000-0005-0000-0000-000078320000}"/>
    <cellStyle name="20% - Accent4 8 2 3 3 2 2" xfId="42408" xr:uid="{00000000-0005-0000-0000-000079320000}"/>
    <cellStyle name="20% - Accent4 8 2 3 3 3" xfId="31107" xr:uid="{00000000-0005-0000-0000-00007A320000}"/>
    <cellStyle name="20% - Accent4 8 2 3 4" xfId="14156" xr:uid="{00000000-0005-0000-0000-00007B320000}"/>
    <cellStyle name="20% - Accent4 8 2 3 4 2" xfId="36758" xr:uid="{00000000-0005-0000-0000-00007C320000}"/>
    <cellStyle name="20% - Accent4 8 2 3 5" xfId="25457" xr:uid="{00000000-0005-0000-0000-00007D320000}"/>
    <cellStyle name="20% - Accent4 8 2 4" xfId="4454" xr:uid="{00000000-0005-0000-0000-00007E320000}"/>
    <cellStyle name="20% - Accent4 8 2 4 2" xfId="10104" xr:uid="{00000000-0005-0000-0000-00007F320000}"/>
    <cellStyle name="20% - Accent4 8 2 4 2 2" xfId="21405" xr:uid="{00000000-0005-0000-0000-000080320000}"/>
    <cellStyle name="20% - Accent4 8 2 4 2 2 2" xfId="44007" xr:uid="{00000000-0005-0000-0000-000081320000}"/>
    <cellStyle name="20% - Accent4 8 2 4 2 3" xfId="32706" xr:uid="{00000000-0005-0000-0000-000082320000}"/>
    <cellStyle name="20% - Accent4 8 2 4 3" xfId="15755" xr:uid="{00000000-0005-0000-0000-000083320000}"/>
    <cellStyle name="20% - Accent4 8 2 4 3 2" xfId="38357" xr:uid="{00000000-0005-0000-0000-000084320000}"/>
    <cellStyle name="20% - Accent4 8 2 4 4" xfId="27056" xr:uid="{00000000-0005-0000-0000-000085320000}"/>
    <cellStyle name="20% - Accent4 8 2 5" xfId="7250" xr:uid="{00000000-0005-0000-0000-000086320000}"/>
    <cellStyle name="20% - Accent4 8 2 5 2" xfId="18551" xr:uid="{00000000-0005-0000-0000-000087320000}"/>
    <cellStyle name="20% - Accent4 8 2 5 2 2" xfId="41153" xr:uid="{00000000-0005-0000-0000-000088320000}"/>
    <cellStyle name="20% - Accent4 8 2 5 3" xfId="29852" xr:uid="{00000000-0005-0000-0000-000089320000}"/>
    <cellStyle name="20% - Accent4 8 2 6" xfId="12901" xr:uid="{00000000-0005-0000-0000-00008A320000}"/>
    <cellStyle name="20% - Accent4 8 2 6 2" xfId="35503" xr:uid="{00000000-0005-0000-0000-00008B320000}"/>
    <cellStyle name="20% - Accent4 8 2 7" xfId="24202" xr:uid="{00000000-0005-0000-0000-00008C320000}"/>
    <cellStyle name="20% - Accent4 8 3" xfId="968" xr:uid="{00000000-0005-0000-0000-00008D320000}"/>
    <cellStyle name="20% - Accent4 8 3 2" xfId="3032" xr:uid="{00000000-0005-0000-0000-00008E320000}"/>
    <cellStyle name="20% - Accent4 8 3 2 2" xfId="6004" xr:uid="{00000000-0005-0000-0000-00008F320000}"/>
    <cellStyle name="20% - Accent4 8 3 2 2 2" xfId="11654" xr:uid="{00000000-0005-0000-0000-000090320000}"/>
    <cellStyle name="20% - Accent4 8 3 2 2 2 2" xfId="22955" xr:uid="{00000000-0005-0000-0000-000091320000}"/>
    <cellStyle name="20% - Accent4 8 3 2 2 2 2 2" xfId="45557" xr:uid="{00000000-0005-0000-0000-000092320000}"/>
    <cellStyle name="20% - Accent4 8 3 2 2 2 3" xfId="34256" xr:uid="{00000000-0005-0000-0000-000093320000}"/>
    <cellStyle name="20% - Accent4 8 3 2 2 3" xfId="17305" xr:uid="{00000000-0005-0000-0000-000094320000}"/>
    <cellStyle name="20% - Accent4 8 3 2 2 3 2" xfId="39907" xr:uid="{00000000-0005-0000-0000-000095320000}"/>
    <cellStyle name="20% - Accent4 8 3 2 2 4" xfId="28606" xr:uid="{00000000-0005-0000-0000-000096320000}"/>
    <cellStyle name="20% - Accent4 8 3 2 3" xfId="8822" xr:uid="{00000000-0005-0000-0000-000097320000}"/>
    <cellStyle name="20% - Accent4 8 3 2 3 2" xfId="20123" xr:uid="{00000000-0005-0000-0000-000098320000}"/>
    <cellStyle name="20% - Accent4 8 3 2 3 2 2" xfId="42725" xr:uid="{00000000-0005-0000-0000-000099320000}"/>
    <cellStyle name="20% - Accent4 8 3 2 3 3" xfId="31424" xr:uid="{00000000-0005-0000-0000-00009A320000}"/>
    <cellStyle name="20% - Accent4 8 3 2 4" xfId="14473" xr:uid="{00000000-0005-0000-0000-00009B320000}"/>
    <cellStyle name="20% - Accent4 8 3 2 4 2" xfId="37075" xr:uid="{00000000-0005-0000-0000-00009C320000}"/>
    <cellStyle name="20% - Accent4 8 3 2 5" xfId="25774" xr:uid="{00000000-0005-0000-0000-00009D320000}"/>
    <cellStyle name="20% - Accent4 8 3 3" xfId="4770" xr:uid="{00000000-0005-0000-0000-00009E320000}"/>
    <cellStyle name="20% - Accent4 8 3 3 2" xfId="10420" xr:uid="{00000000-0005-0000-0000-00009F320000}"/>
    <cellStyle name="20% - Accent4 8 3 3 2 2" xfId="21721" xr:uid="{00000000-0005-0000-0000-0000A0320000}"/>
    <cellStyle name="20% - Accent4 8 3 3 2 2 2" xfId="44323" xr:uid="{00000000-0005-0000-0000-0000A1320000}"/>
    <cellStyle name="20% - Accent4 8 3 3 2 3" xfId="33022" xr:uid="{00000000-0005-0000-0000-0000A2320000}"/>
    <cellStyle name="20% - Accent4 8 3 3 3" xfId="16071" xr:uid="{00000000-0005-0000-0000-0000A3320000}"/>
    <cellStyle name="20% - Accent4 8 3 3 3 2" xfId="38673" xr:uid="{00000000-0005-0000-0000-0000A4320000}"/>
    <cellStyle name="20% - Accent4 8 3 3 4" xfId="27372" xr:uid="{00000000-0005-0000-0000-0000A5320000}"/>
    <cellStyle name="20% - Accent4 8 3 4" xfId="6957" xr:uid="{00000000-0005-0000-0000-0000A6320000}"/>
    <cellStyle name="20% - Accent4 8 3 4 2" xfId="18258" xr:uid="{00000000-0005-0000-0000-0000A7320000}"/>
    <cellStyle name="20% - Accent4 8 3 4 2 2" xfId="40860" xr:uid="{00000000-0005-0000-0000-0000A8320000}"/>
    <cellStyle name="20% - Accent4 8 3 4 3" xfId="29559" xr:uid="{00000000-0005-0000-0000-0000A9320000}"/>
    <cellStyle name="20% - Accent4 8 3 5" xfId="12608" xr:uid="{00000000-0005-0000-0000-0000AA320000}"/>
    <cellStyle name="20% - Accent4 8 3 5 2" xfId="35210" xr:uid="{00000000-0005-0000-0000-0000AB320000}"/>
    <cellStyle name="20% - Accent4 8 3 6" xfId="23909" xr:uid="{00000000-0005-0000-0000-0000AC320000}"/>
    <cellStyle name="20% - Accent4 8 4" xfId="1717" xr:uid="{00000000-0005-0000-0000-0000AD320000}"/>
    <cellStyle name="20% - Accent4 8 4 2" xfId="3654" xr:uid="{00000000-0005-0000-0000-0000AE320000}"/>
    <cellStyle name="20% - Accent4 8 4 2 2" xfId="9366" xr:uid="{00000000-0005-0000-0000-0000AF320000}"/>
    <cellStyle name="20% - Accent4 8 4 2 2 2" xfId="20667" xr:uid="{00000000-0005-0000-0000-0000B0320000}"/>
    <cellStyle name="20% - Accent4 8 4 2 2 2 2" xfId="43269" xr:uid="{00000000-0005-0000-0000-0000B1320000}"/>
    <cellStyle name="20% - Accent4 8 4 2 2 3" xfId="31968" xr:uid="{00000000-0005-0000-0000-0000B2320000}"/>
    <cellStyle name="20% - Accent4 8 4 2 3" xfId="15017" xr:uid="{00000000-0005-0000-0000-0000B3320000}"/>
    <cellStyle name="20% - Accent4 8 4 2 3 2" xfId="37619" xr:uid="{00000000-0005-0000-0000-0000B4320000}"/>
    <cellStyle name="20% - Accent4 8 4 2 4" xfId="26318" xr:uid="{00000000-0005-0000-0000-0000B5320000}"/>
    <cellStyle name="20% - Accent4 8 4 3" xfId="5380" xr:uid="{00000000-0005-0000-0000-0000B6320000}"/>
    <cellStyle name="20% - Accent4 8 4 3 2" xfId="11030" xr:uid="{00000000-0005-0000-0000-0000B7320000}"/>
    <cellStyle name="20% - Accent4 8 4 3 2 2" xfId="22331" xr:uid="{00000000-0005-0000-0000-0000B8320000}"/>
    <cellStyle name="20% - Accent4 8 4 3 2 2 2" xfId="44933" xr:uid="{00000000-0005-0000-0000-0000B9320000}"/>
    <cellStyle name="20% - Accent4 8 4 3 2 3" xfId="33632" xr:uid="{00000000-0005-0000-0000-0000BA320000}"/>
    <cellStyle name="20% - Accent4 8 4 3 3" xfId="16681" xr:uid="{00000000-0005-0000-0000-0000BB320000}"/>
    <cellStyle name="20% - Accent4 8 4 3 3 2" xfId="39283" xr:uid="{00000000-0005-0000-0000-0000BC320000}"/>
    <cellStyle name="20% - Accent4 8 4 3 4" xfId="27982" xr:uid="{00000000-0005-0000-0000-0000BD320000}"/>
    <cellStyle name="20% - Accent4 8 4 4" xfId="7573" xr:uid="{00000000-0005-0000-0000-0000BE320000}"/>
    <cellStyle name="20% - Accent4 8 4 4 2" xfId="18874" xr:uid="{00000000-0005-0000-0000-0000BF320000}"/>
    <cellStyle name="20% - Accent4 8 4 4 2 2" xfId="41476" xr:uid="{00000000-0005-0000-0000-0000C0320000}"/>
    <cellStyle name="20% - Accent4 8 4 4 3" xfId="30175" xr:uid="{00000000-0005-0000-0000-0000C1320000}"/>
    <cellStyle name="20% - Accent4 8 4 5" xfId="13224" xr:uid="{00000000-0005-0000-0000-0000C2320000}"/>
    <cellStyle name="20% - Accent4 8 4 5 2" xfId="35826" xr:uid="{00000000-0005-0000-0000-0000C3320000}"/>
    <cellStyle name="20% - Accent4 8 4 6" xfId="24525" xr:uid="{00000000-0005-0000-0000-0000C4320000}"/>
    <cellStyle name="20% - Accent4 8 5" xfId="2361" xr:uid="{00000000-0005-0000-0000-0000C5320000}"/>
    <cellStyle name="20% - Accent4 8 5 2" xfId="8197" xr:uid="{00000000-0005-0000-0000-0000C6320000}"/>
    <cellStyle name="20% - Accent4 8 5 2 2" xfId="19498" xr:uid="{00000000-0005-0000-0000-0000C7320000}"/>
    <cellStyle name="20% - Accent4 8 5 2 2 2" xfId="42100" xr:uid="{00000000-0005-0000-0000-0000C8320000}"/>
    <cellStyle name="20% - Accent4 8 5 2 3" xfId="30799" xr:uid="{00000000-0005-0000-0000-0000C9320000}"/>
    <cellStyle name="20% - Accent4 8 5 3" xfId="13848" xr:uid="{00000000-0005-0000-0000-0000CA320000}"/>
    <cellStyle name="20% - Accent4 8 5 3 2" xfId="36450" xr:uid="{00000000-0005-0000-0000-0000CB320000}"/>
    <cellStyle name="20% - Accent4 8 5 4" xfId="25149" xr:uid="{00000000-0005-0000-0000-0000CC320000}"/>
    <cellStyle name="20% - Accent4 8 6" xfId="4146" xr:uid="{00000000-0005-0000-0000-0000CD320000}"/>
    <cellStyle name="20% - Accent4 8 6 2" xfId="9796" xr:uid="{00000000-0005-0000-0000-0000CE320000}"/>
    <cellStyle name="20% - Accent4 8 6 2 2" xfId="21097" xr:uid="{00000000-0005-0000-0000-0000CF320000}"/>
    <cellStyle name="20% - Accent4 8 6 2 2 2" xfId="43699" xr:uid="{00000000-0005-0000-0000-0000D0320000}"/>
    <cellStyle name="20% - Accent4 8 6 2 3" xfId="32398" xr:uid="{00000000-0005-0000-0000-0000D1320000}"/>
    <cellStyle name="20% - Accent4 8 6 3" xfId="15447" xr:uid="{00000000-0005-0000-0000-0000D2320000}"/>
    <cellStyle name="20% - Accent4 8 6 3 2" xfId="38049" xr:uid="{00000000-0005-0000-0000-0000D3320000}"/>
    <cellStyle name="20% - Accent4 8 6 4" xfId="26748" xr:uid="{00000000-0005-0000-0000-0000D4320000}"/>
    <cellStyle name="20% - Accent4 8 7" xfId="6597" xr:uid="{00000000-0005-0000-0000-0000D5320000}"/>
    <cellStyle name="20% - Accent4 8 7 2" xfId="17898" xr:uid="{00000000-0005-0000-0000-0000D6320000}"/>
    <cellStyle name="20% - Accent4 8 7 2 2" xfId="40500" xr:uid="{00000000-0005-0000-0000-0000D7320000}"/>
    <cellStyle name="20% - Accent4 8 7 3" xfId="29199" xr:uid="{00000000-0005-0000-0000-0000D8320000}"/>
    <cellStyle name="20% - Accent4 8 8" xfId="12248" xr:uid="{00000000-0005-0000-0000-0000D9320000}"/>
    <cellStyle name="20% - Accent4 8 8 2" xfId="34850" xr:uid="{00000000-0005-0000-0000-0000DA320000}"/>
    <cellStyle name="20% - Accent4 8 9" xfId="23549" xr:uid="{00000000-0005-0000-0000-0000DB320000}"/>
    <cellStyle name="20% - Accent4 9" xfId="702" xr:uid="{00000000-0005-0000-0000-0000DC320000}"/>
    <cellStyle name="20% - Accent4 9 2" xfId="763" xr:uid="{00000000-0005-0000-0000-0000DD320000}"/>
    <cellStyle name="20% - Accent4 9 2 2" xfId="3172" xr:uid="{00000000-0005-0000-0000-0000DE320000}"/>
    <cellStyle name="20% - Accent4 9 2 2 2" xfId="6144" xr:uid="{00000000-0005-0000-0000-0000DF320000}"/>
    <cellStyle name="20% - Accent4 9 2 2 2 2" xfId="11794" xr:uid="{00000000-0005-0000-0000-0000E0320000}"/>
    <cellStyle name="20% - Accent4 9 2 2 2 2 2" xfId="23095" xr:uid="{00000000-0005-0000-0000-0000E1320000}"/>
    <cellStyle name="20% - Accent4 9 2 2 2 2 2 2" xfId="45697" xr:uid="{00000000-0005-0000-0000-0000E2320000}"/>
    <cellStyle name="20% - Accent4 9 2 2 2 2 3" xfId="34396" xr:uid="{00000000-0005-0000-0000-0000E3320000}"/>
    <cellStyle name="20% - Accent4 9 2 2 2 3" xfId="17445" xr:uid="{00000000-0005-0000-0000-0000E4320000}"/>
    <cellStyle name="20% - Accent4 9 2 2 2 3 2" xfId="40047" xr:uid="{00000000-0005-0000-0000-0000E5320000}"/>
    <cellStyle name="20% - Accent4 9 2 2 2 4" xfId="28746" xr:uid="{00000000-0005-0000-0000-0000E6320000}"/>
    <cellStyle name="20% - Accent4 9 2 2 3" xfId="8962" xr:uid="{00000000-0005-0000-0000-0000E7320000}"/>
    <cellStyle name="20% - Accent4 9 2 2 3 2" xfId="20263" xr:uid="{00000000-0005-0000-0000-0000E8320000}"/>
    <cellStyle name="20% - Accent4 9 2 2 3 2 2" xfId="42865" xr:uid="{00000000-0005-0000-0000-0000E9320000}"/>
    <cellStyle name="20% - Accent4 9 2 2 3 3" xfId="31564" xr:uid="{00000000-0005-0000-0000-0000EA320000}"/>
    <cellStyle name="20% - Accent4 9 2 2 4" xfId="14613" xr:uid="{00000000-0005-0000-0000-0000EB320000}"/>
    <cellStyle name="20% - Accent4 9 2 2 4 2" xfId="37215" xr:uid="{00000000-0005-0000-0000-0000EC320000}"/>
    <cellStyle name="20% - Accent4 9 2 2 5" xfId="25914" xr:uid="{00000000-0005-0000-0000-0000ED320000}"/>
    <cellStyle name="20% - Accent4 9 2 3" xfId="4910" xr:uid="{00000000-0005-0000-0000-0000EE320000}"/>
    <cellStyle name="20% - Accent4 9 2 3 2" xfId="10560" xr:uid="{00000000-0005-0000-0000-0000EF320000}"/>
    <cellStyle name="20% - Accent4 9 2 3 2 2" xfId="21861" xr:uid="{00000000-0005-0000-0000-0000F0320000}"/>
    <cellStyle name="20% - Accent4 9 2 3 2 2 2" xfId="44463" xr:uid="{00000000-0005-0000-0000-0000F1320000}"/>
    <cellStyle name="20% - Accent4 9 2 3 2 3" xfId="33162" xr:uid="{00000000-0005-0000-0000-0000F2320000}"/>
    <cellStyle name="20% - Accent4 9 2 3 3" xfId="16211" xr:uid="{00000000-0005-0000-0000-0000F3320000}"/>
    <cellStyle name="20% - Accent4 9 2 3 3 2" xfId="38813" xr:uid="{00000000-0005-0000-0000-0000F4320000}"/>
    <cellStyle name="20% - Accent4 9 2 3 4" xfId="27512" xr:uid="{00000000-0005-0000-0000-0000F5320000}"/>
    <cellStyle name="20% - Accent4 9 2 4" xfId="6786" xr:uid="{00000000-0005-0000-0000-0000F6320000}"/>
    <cellStyle name="20% - Accent4 9 2 4 2" xfId="18087" xr:uid="{00000000-0005-0000-0000-0000F7320000}"/>
    <cellStyle name="20% - Accent4 9 2 4 2 2" xfId="40689" xr:uid="{00000000-0005-0000-0000-0000F8320000}"/>
    <cellStyle name="20% - Accent4 9 2 4 3" xfId="29388" xr:uid="{00000000-0005-0000-0000-0000F9320000}"/>
    <cellStyle name="20% - Accent4 9 2 5" xfId="12437" xr:uid="{00000000-0005-0000-0000-0000FA320000}"/>
    <cellStyle name="20% - Accent4 9 2 5 2" xfId="35039" xr:uid="{00000000-0005-0000-0000-0000FB320000}"/>
    <cellStyle name="20% - Accent4 9 2 6" xfId="23738" xr:uid="{00000000-0005-0000-0000-0000FC320000}"/>
    <cellStyle name="20% - Accent4 9 3" xfId="1719" xr:uid="{00000000-0005-0000-0000-0000FD320000}"/>
    <cellStyle name="20% - Accent4 9 3 2" xfId="3655" xr:uid="{00000000-0005-0000-0000-0000FE320000}"/>
    <cellStyle name="20% - Accent4 9 3 2 2" xfId="9367" xr:uid="{00000000-0005-0000-0000-0000FF320000}"/>
    <cellStyle name="20% - Accent4 9 3 2 2 2" xfId="20668" xr:uid="{00000000-0005-0000-0000-000000330000}"/>
    <cellStyle name="20% - Accent4 9 3 2 2 2 2" xfId="43270" xr:uid="{00000000-0005-0000-0000-000001330000}"/>
    <cellStyle name="20% - Accent4 9 3 2 2 3" xfId="31969" xr:uid="{00000000-0005-0000-0000-000002330000}"/>
    <cellStyle name="20% - Accent4 9 3 2 3" xfId="15018" xr:uid="{00000000-0005-0000-0000-000003330000}"/>
    <cellStyle name="20% - Accent4 9 3 2 3 2" xfId="37620" xr:uid="{00000000-0005-0000-0000-000004330000}"/>
    <cellStyle name="20% - Accent4 9 3 2 4" xfId="26319" xr:uid="{00000000-0005-0000-0000-000005330000}"/>
    <cellStyle name="20% - Accent4 9 3 3" xfId="5520" xr:uid="{00000000-0005-0000-0000-000006330000}"/>
    <cellStyle name="20% - Accent4 9 3 3 2" xfId="11170" xr:uid="{00000000-0005-0000-0000-000007330000}"/>
    <cellStyle name="20% - Accent4 9 3 3 2 2" xfId="22471" xr:uid="{00000000-0005-0000-0000-000008330000}"/>
    <cellStyle name="20% - Accent4 9 3 3 2 2 2" xfId="45073" xr:uid="{00000000-0005-0000-0000-000009330000}"/>
    <cellStyle name="20% - Accent4 9 3 3 2 3" xfId="33772" xr:uid="{00000000-0005-0000-0000-00000A330000}"/>
    <cellStyle name="20% - Accent4 9 3 3 3" xfId="16821" xr:uid="{00000000-0005-0000-0000-00000B330000}"/>
    <cellStyle name="20% - Accent4 9 3 3 3 2" xfId="39423" xr:uid="{00000000-0005-0000-0000-00000C330000}"/>
    <cellStyle name="20% - Accent4 9 3 3 4" xfId="28122" xr:uid="{00000000-0005-0000-0000-00000D330000}"/>
    <cellStyle name="20% - Accent4 9 3 4" xfId="7575" xr:uid="{00000000-0005-0000-0000-00000E330000}"/>
    <cellStyle name="20% - Accent4 9 3 4 2" xfId="18876" xr:uid="{00000000-0005-0000-0000-00000F330000}"/>
    <cellStyle name="20% - Accent4 9 3 4 2 2" xfId="41478" xr:uid="{00000000-0005-0000-0000-000010330000}"/>
    <cellStyle name="20% - Accent4 9 3 4 3" xfId="30177" xr:uid="{00000000-0005-0000-0000-000011330000}"/>
    <cellStyle name="20% - Accent4 9 3 5" xfId="13226" xr:uid="{00000000-0005-0000-0000-000012330000}"/>
    <cellStyle name="20% - Accent4 9 3 5 2" xfId="35828" xr:uid="{00000000-0005-0000-0000-000013330000}"/>
    <cellStyle name="20% - Accent4 9 3 6" xfId="24527" xr:uid="{00000000-0005-0000-0000-000014330000}"/>
    <cellStyle name="20% - Accent4 9 4" xfId="2501" xr:uid="{00000000-0005-0000-0000-000015330000}"/>
    <cellStyle name="20% - Accent4 9 4 2" xfId="8337" xr:uid="{00000000-0005-0000-0000-000016330000}"/>
    <cellStyle name="20% - Accent4 9 4 2 2" xfId="19638" xr:uid="{00000000-0005-0000-0000-000017330000}"/>
    <cellStyle name="20% - Accent4 9 4 2 2 2" xfId="42240" xr:uid="{00000000-0005-0000-0000-000018330000}"/>
    <cellStyle name="20% - Accent4 9 4 2 3" xfId="30939" xr:uid="{00000000-0005-0000-0000-000019330000}"/>
    <cellStyle name="20% - Accent4 9 4 3" xfId="13988" xr:uid="{00000000-0005-0000-0000-00001A330000}"/>
    <cellStyle name="20% - Accent4 9 4 3 2" xfId="36590" xr:uid="{00000000-0005-0000-0000-00001B330000}"/>
    <cellStyle name="20% - Accent4 9 4 4" xfId="25289" xr:uid="{00000000-0005-0000-0000-00001C330000}"/>
    <cellStyle name="20% - Accent4 9 5" xfId="4286" xr:uid="{00000000-0005-0000-0000-00001D330000}"/>
    <cellStyle name="20% - Accent4 9 5 2" xfId="9936" xr:uid="{00000000-0005-0000-0000-00001E330000}"/>
    <cellStyle name="20% - Accent4 9 5 2 2" xfId="21237" xr:uid="{00000000-0005-0000-0000-00001F330000}"/>
    <cellStyle name="20% - Accent4 9 5 2 2 2" xfId="43839" xr:uid="{00000000-0005-0000-0000-000020330000}"/>
    <cellStyle name="20% - Accent4 9 5 2 3" xfId="32538" xr:uid="{00000000-0005-0000-0000-000021330000}"/>
    <cellStyle name="20% - Accent4 9 5 3" xfId="15587" xr:uid="{00000000-0005-0000-0000-000022330000}"/>
    <cellStyle name="20% - Accent4 9 5 3 2" xfId="38189" xr:uid="{00000000-0005-0000-0000-000023330000}"/>
    <cellStyle name="20% - Accent4 9 5 4" xfId="26888" xr:uid="{00000000-0005-0000-0000-000024330000}"/>
    <cellStyle name="20% - Accent4 9 6" xfId="6765" xr:uid="{00000000-0005-0000-0000-000025330000}"/>
    <cellStyle name="20% - Accent4 9 6 2" xfId="18066" xr:uid="{00000000-0005-0000-0000-000026330000}"/>
    <cellStyle name="20% - Accent4 9 6 2 2" xfId="40668" xr:uid="{00000000-0005-0000-0000-000027330000}"/>
    <cellStyle name="20% - Accent4 9 6 3" xfId="29367" xr:uid="{00000000-0005-0000-0000-000028330000}"/>
    <cellStyle name="20% - Accent4 9 7" xfId="12416" xr:uid="{00000000-0005-0000-0000-000029330000}"/>
    <cellStyle name="20% - Accent4 9 7 2" xfId="35018" xr:uid="{00000000-0005-0000-0000-00002A330000}"/>
    <cellStyle name="20% - Accent4 9 8" xfId="23717" xr:uid="{00000000-0005-0000-0000-00002B330000}"/>
    <cellStyle name="20% - Accent5" xfId="35" builtinId="46" customBuiltin="1"/>
    <cellStyle name="20% - Accent5 10" xfId="1481" xr:uid="{00000000-0005-0000-0000-00002D330000}"/>
    <cellStyle name="20% - Accent5 10 2" xfId="1720" xr:uid="{00000000-0005-0000-0000-00002E330000}"/>
    <cellStyle name="20% - Accent5 10 2 2" xfId="3471" xr:uid="{00000000-0005-0000-0000-00002F330000}"/>
    <cellStyle name="20% - Accent5 10 2 2 2" xfId="6443" xr:uid="{00000000-0005-0000-0000-000030330000}"/>
    <cellStyle name="20% - Accent5 10 2 2 2 2" xfId="12093" xr:uid="{00000000-0005-0000-0000-000031330000}"/>
    <cellStyle name="20% - Accent5 10 2 2 2 2 2" xfId="23394" xr:uid="{00000000-0005-0000-0000-000032330000}"/>
    <cellStyle name="20% - Accent5 10 2 2 2 2 2 2" xfId="45996" xr:uid="{00000000-0005-0000-0000-000033330000}"/>
    <cellStyle name="20% - Accent5 10 2 2 2 2 3" xfId="34695" xr:uid="{00000000-0005-0000-0000-000034330000}"/>
    <cellStyle name="20% - Accent5 10 2 2 2 3" xfId="17744" xr:uid="{00000000-0005-0000-0000-000035330000}"/>
    <cellStyle name="20% - Accent5 10 2 2 2 3 2" xfId="40346" xr:uid="{00000000-0005-0000-0000-000036330000}"/>
    <cellStyle name="20% - Accent5 10 2 2 2 4" xfId="29045" xr:uid="{00000000-0005-0000-0000-000037330000}"/>
    <cellStyle name="20% - Accent5 10 2 2 3" xfId="9261" xr:uid="{00000000-0005-0000-0000-000038330000}"/>
    <cellStyle name="20% - Accent5 10 2 2 3 2" xfId="20562" xr:uid="{00000000-0005-0000-0000-000039330000}"/>
    <cellStyle name="20% - Accent5 10 2 2 3 2 2" xfId="43164" xr:uid="{00000000-0005-0000-0000-00003A330000}"/>
    <cellStyle name="20% - Accent5 10 2 2 3 3" xfId="31863" xr:uid="{00000000-0005-0000-0000-00003B330000}"/>
    <cellStyle name="20% - Accent5 10 2 2 4" xfId="14912" xr:uid="{00000000-0005-0000-0000-00003C330000}"/>
    <cellStyle name="20% - Accent5 10 2 2 4 2" xfId="37514" xr:uid="{00000000-0005-0000-0000-00003D330000}"/>
    <cellStyle name="20% - Accent5 10 2 2 5" xfId="26213" xr:uid="{00000000-0005-0000-0000-00003E330000}"/>
    <cellStyle name="20% - Accent5 10 2 3" xfId="5209" xr:uid="{00000000-0005-0000-0000-00003F330000}"/>
    <cellStyle name="20% - Accent5 10 2 3 2" xfId="10859" xr:uid="{00000000-0005-0000-0000-000040330000}"/>
    <cellStyle name="20% - Accent5 10 2 3 2 2" xfId="22160" xr:uid="{00000000-0005-0000-0000-000041330000}"/>
    <cellStyle name="20% - Accent5 10 2 3 2 2 2" xfId="44762" xr:uid="{00000000-0005-0000-0000-000042330000}"/>
    <cellStyle name="20% - Accent5 10 2 3 2 3" xfId="33461" xr:uid="{00000000-0005-0000-0000-000043330000}"/>
    <cellStyle name="20% - Accent5 10 2 3 3" xfId="16510" xr:uid="{00000000-0005-0000-0000-000044330000}"/>
    <cellStyle name="20% - Accent5 10 2 3 3 2" xfId="39112" xr:uid="{00000000-0005-0000-0000-000045330000}"/>
    <cellStyle name="20% - Accent5 10 2 3 4" xfId="27811" xr:uid="{00000000-0005-0000-0000-000046330000}"/>
    <cellStyle name="20% - Accent5 10 2 4" xfId="7576" xr:uid="{00000000-0005-0000-0000-000047330000}"/>
    <cellStyle name="20% - Accent5 10 2 4 2" xfId="18877" xr:uid="{00000000-0005-0000-0000-000048330000}"/>
    <cellStyle name="20% - Accent5 10 2 4 2 2" xfId="41479" xr:uid="{00000000-0005-0000-0000-000049330000}"/>
    <cellStyle name="20% - Accent5 10 2 4 3" xfId="30178" xr:uid="{00000000-0005-0000-0000-00004A330000}"/>
    <cellStyle name="20% - Accent5 10 2 5" xfId="13227" xr:uid="{00000000-0005-0000-0000-00004B330000}"/>
    <cellStyle name="20% - Accent5 10 2 5 2" xfId="35829" xr:uid="{00000000-0005-0000-0000-00004C330000}"/>
    <cellStyle name="20% - Accent5 10 2 6" xfId="24528" xr:uid="{00000000-0005-0000-0000-00004D330000}"/>
    <cellStyle name="20% - Accent5 10 3" xfId="2802" xr:uid="{00000000-0005-0000-0000-00004E330000}"/>
    <cellStyle name="20% - Accent5 10 3 2" xfId="5819" xr:uid="{00000000-0005-0000-0000-00004F330000}"/>
    <cellStyle name="20% - Accent5 10 3 2 2" xfId="11469" xr:uid="{00000000-0005-0000-0000-000050330000}"/>
    <cellStyle name="20% - Accent5 10 3 2 2 2" xfId="22770" xr:uid="{00000000-0005-0000-0000-000051330000}"/>
    <cellStyle name="20% - Accent5 10 3 2 2 2 2" xfId="45372" xr:uid="{00000000-0005-0000-0000-000052330000}"/>
    <cellStyle name="20% - Accent5 10 3 2 2 3" xfId="34071" xr:uid="{00000000-0005-0000-0000-000053330000}"/>
    <cellStyle name="20% - Accent5 10 3 2 3" xfId="17120" xr:uid="{00000000-0005-0000-0000-000054330000}"/>
    <cellStyle name="20% - Accent5 10 3 2 3 2" xfId="39722" xr:uid="{00000000-0005-0000-0000-000055330000}"/>
    <cellStyle name="20% - Accent5 10 3 2 4" xfId="28421" xr:uid="{00000000-0005-0000-0000-000056330000}"/>
    <cellStyle name="20% - Accent5 10 3 3" xfId="8636" xr:uid="{00000000-0005-0000-0000-000057330000}"/>
    <cellStyle name="20% - Accent5 10 3 3 2" xfId="19937" xr:uid="{00000000-0005-0000-0000-000058330000}"/>
    <cellStyle name="20% - Accent5 10 3 3 2 2" xfId="42539" xr:uid="{00000000-0005-0000-0000-000059330000}"/>
    <cellStyle name="20% - Accent5 10 3 3 3" xfId="31238" xr:uid="{00000000-0005-0000-0000-00005A330000}"/>
    <cellStyle name="20% - Accent5 10 3 4" xfId="14287" xr:uid="{00000000-0005-0000-0000-00005B330000}"/>
    <cellStyle name="20% - Accent5 10 3 4 2" xfId="36889" xr:uid="{00000000-0005-0000-0000-00005C330000}"/>
    <cellStyle name="20% - Accent5 10 3 5" xfId="25588" xr:uid="{00000000-0005-0000-0000-00005D330000}"/>
    <cellStyle name="20% - Accent5 10 4" xfId="4585" xr:uid="{00000000-0005-0000-0000-00005E330000}"/>
    <cellStyle name="20% - Accent5 10 4 2" xfId="10235" xr:uid="{00000000-0005-0000-0000-00005F330000}"/>
    <cellStyle name="20% - Accent5 10 4 2 2" xfId="21536" xr:uid="{00000000-0005-0000-0000-000060330000}"/>
    <cellStyle name="20% - Accent5 10 4 2 2 2" xfId="44138" xr:uid="{00000000-0005-0000-0000-000061330000}"/>
    <cellStyle name="20% - Accent5 10 4 2 3" xfId="32837" xr:uid="{00000000-0005-0000-0000-000062330000}"/>
    <cellStyle name="20% - Accent5 10 4 3" xfId="15886" xr:uid="{00000000-0005-0000-0000-000063330000}"/>
    <cellStyle name="20% - Accent5 10 4 3 2" xfId="38488" xr:uid="{00000000-0005-0000-0000-000064330000}"/>
    <cellStyle name="20% - Accent5 10 4 4" xfId="27187" xr:uid="{00000000-0005-0000-0000-000065330000}"/>
    <cellStyle name="20% - Accent5 10 5" xfId="7388" xr:uid="{00000000-0005-0000-0000-000066330000}"/>
    <cellStyle name="20% - Accent5 10 5 2" xfId="18689" xr:uid="{00000000-0005-0000-0000-000067330000}"/>
    <cellStyle name="20% - Accent5 10 5 2 2" xfId="41291" xr:uid="{00000000-0005-0000-0000-000068330000}"/>
    <cellStyle name="20% - Accent5 10 5 3" xfId="29990" xr:uid="{00000000-0005-0000-0000-000069330000}"/>
    <cellStyle name="20% - Accent5 10 6" xfId="13039" xr:uid="{00000000-0005-0000-0000-00006A330000}"/>
    <cellStyle name="20% - Accent5 10 6 2" xfId="35641" xr:uid="{00000000-0005-0000-0000-00006B330000}"/>
    <cellStyle name="20% - Accent5 10 7" xfId="24340" xr:uid="{00000000-0005-0000-0000-00006C330000}"/>
    <cellStyle name="20% - Accent5 11" xfId="1445" xr:uid="{00000000-0005-0000-0000-00006D330000}"/>
    <cellStyle name="20% - Accent5 11 2" xfId="1721" xr:uid="{00000000-0005-0000-0000-00006E330000}"/>
    <cellStyle name="20% - Accent5 11 2 2" xfId="3656" xr:uid="{00000000-0005-0000-0000-00006F330000}"/>
    <cellStyle name="20% - Accent5 11 2 2 2" xfId="9368" xr:uid="{00000000-0005-0000-0000-000070330000}"/>
    <cellStyle name="20% - Accent5 11 2 2 2 2" xfId="20669" xr:uid="{00000000-0005-0000-0000-000071330000}"/>
    <cellStyle name="20% - Accent5 11 2 2 2 2 2" xfId="43271" xr:uid="{00000000-0005-0000-0000-000072330000}"/>
    <cellStyle name="20% - Accent5 11 2 2 2 3" xfId="31970" xr:uid="{00000000-0005-0000-0000-000073330000}"/>
    <cellStyle name="20% - Accent5 11 2 2 3" xfId="15019" xr:uid="{00000000-0005-0000-0000-000074330000}"/>
    <cellStyle name="20% - Accent5 11 2 2 3 2" xfId="37621" xr:uid="{00000000-0005-0000-0000-000075330000}"/>
    <cellStyle name="20% - Accent5 11 2 2 4" xfId="26320" xr:uid="{00000000-0005-0000-0000-000076330000}"/>
    <cellStyle name="20% - Accent5 11 2 3" xfId="7577" xr:uid="{00000000-0005-0000-0000-000077330000}"/>
    <cellStyle name="20% - Accent5 11 2 3 2" xfId="18878" xr:uid="{00000000-0005-0000-0000-000078330000}"/>
    <cellStyle name="20% - Accent5 11 2 3 2 2" xfId="41480" xr:uid="{00000000-0005-0000-0000-000079330000}"/>
    <cellStyle name="20% - Accent5 11 2 3 3" xfId="30179" xr:uid="{00000000-0005-0000-0000-00007A330000}"/>
    <cellStyle name="20% - Accent5 11 2 4" xfId="13228" xr:uid="{00000000-0005-0000-0000-00007B330000}"/>
    <cellStyle name="20% - Accent5 11 2 4 2" xfId="35830" xr:uid="{00000000-0005-0000-0000-00007C330000}"/>
    <cellStyle name="20% - Accent5 11 2 5" xfId="24529" xr:uid="{00000000-0005-0000-0000-00007D330000}"/>
    <cellStyle name="20% - Accent5 11 3" xfId="2185" xr:uid="{00000000-0005-0000-0000-00007E330000}"/>
    <cellStyle name="20% - Accent5 11 3 2" xfId="8029" xr:uid="{00000000-0005-0000-0000-00007F330000}"/>
    <cellStyle name="20% - Accent5 11 3 2 2" xfId="19330" xr:uid="{00000000-0005-0000-0000-000080330000}"/>
    <cellStyle name="20% - Accent5 11 3 2 2 2" xfId="41932" xr:uid="{00000000-0005-0000-0000-000081330000}"/>
    <cellStyle name="20% - Accent5 11 3 2 3" xfId="30631" xr:uid="{00000000-0005-0000-0000-000082330000}"/>
    <cellStyle name="20% - Accent5 11 3 3" xfId="13680" xr:uid="{00000000-0005-0000-0000-000083330000}"/>
    <cellStyle name="20% - Accent5 11 3 3 2" xfId="36282" xr:uid="{00000000-0005-0000-0000-000084330000}"/>
    <cellStyle name="20% - Accent5 11 3 4" xfId="24981" xr:uid="{00000000-0005-0000-0000-000085330000}"/>
    <cellStyle name="20% - Accent5 11 4" xfId="3981" xr:uid="{00000000-0005-0000-0000-000086330000}"/>
    <cellStyle name="20% - Accent5 11 4 2" xfId="9631" xr:uid="{00000000-0005-0000-0000-000087330000}"/>
    <cellStyle name="20% - Accent5 11 4 2 2" xfId="20932" xr:uid="{00000000-0005-0000-0000-000088330000}"/>
    <cellStyle name="20% - Accent5 11 4 2 2 2" xfId="43534" xr:uid="{00000000-0005-0000-0000-000089330000}"/>
    <cellStyle name="20% - Accent5 11 4 2 3" xfId="32233" xr:uid="{00000000-0005-0000-0000-00008A330000}"/>
    <cellStyle name="20% - Accent5 11 4 3" xfId="15282" xr:uid="{00000000-0005-0000-0000-00008B330000}"/>
    <cellStyle name="20% - Accent5 11 4 3 2" xfId="37884" xr:uid="{00000000-0005-0000-0000-00008C330000}"/>
    <cellStyle name="20% - Accent5 11 4 4" xfId="26583" xr:uid="{00000000-0005-0000-0000-00008D330000}"/>
    <cellStyle name="20% - Accent5 11 5" xfId="7384" xr:uid="{00000000-0005-0000-0000-00008E330000}"/>
    <cellStyle name="20% - Accent5 11 5 2" xfId="18685" xr:uid="{00000000-0005-0000-0000-00008F330000}"/>
    <cellStyle name="20% - Accent5 11 5 2 2" xfId="41287" xr:uid="{00000000-0005-0000-0000-000090330000}"/>
    <cellStyle name="20% - Accent5 11 5 3" xfId="29986" xr:uid="{00000000-0005-0000-0000-000091330000}"/>
    <cellStyle name="20% - Accent5 11 6" xfId="13035" xr:uid="{00000000-0005-0000-0000-000092330000}"/>
    <cellStyle name="20% - Accent5 11 6 2" xfId="35637" xr:uid="{00000000-0005-0000-0000-000093330000}"/>
    <cellStyle name="20% - Accent5 11 7" xfId="24336" xr:uid="{00000000-0005-0000-0000-000094330000}"/>
    <cellStyle name="20% - Accent5 12" xfId="1439" xr:uid="{00000000-0005-0000-0000-000095330000}"/>
    <cellStyle name="20% - Accent5 12 2" xfId="3548" xr:uid="{00000000-0005-0000-0000-000096330000}"/>
    <cellStyle name="20% - Accent5 12 2 2" xfId="9294" xr:uid="{00000000-0005-0000-0000-000097330000}"/>
    <cellStyle name="20% - Accent5 12 2 2 2" xfId="20595" xr:uid="{00000000-0005-0000-0000-000098330000}"/>
    <cellStyle name="20% - Accent5 12 2 2 2 2" xfId="43197" xr:uid="{00000000-0005-0000-0000-000099330000}"/>
    <cellStyle name="20% - Accent5 12 2 2 3" xfId="31896" xr:uid="{00000000-0005-0000-0000-00009A330000}"/>
    <cellStyle name="20% - Accent5 12 2 3" xfId="14945" xr:uid="{00000000-0005-0000-0000-00009B330000}"/>
    <cellStyle name="20% - Accent5 12 2 3 2" xfId="37547" xr:uid="{00000000-0005-0000-0000-00009C330000}"/>
    <cellStyle name="20% - Accent5 12 2 4" xfId="26246" xr:uid="{00000000-0005-0000-0000-00009D330000}"/>
    <cellStyle name="20% - Accent5 13" xfId="2167" xr:uid="{00000000-0005-0000-0000-00009E330000}"/>
    <cellStyle name="20% - Accent5 14" xfId="110" xr:uid="{00000000-0005-0000-0000-00009F330000}"/>
    <cellStyle name="20% - Accent5 2" xfId="56" xr:uid="{00000000-0005-0000-0000-0000A0330000}"/>
    <cellStyle name="20% - Accent5 2 2" xfId="274" xr:uid="{00000000-0005-0000-0000-0000A1330000}"/>
    <cellStyle name="20% - Accent5 2 2 10" xfId="23440" xr:uid="{00000000-0005-0000-0000-0000A2330000}"/>
    <cellStyle name="20% - Accent5 2 2 2" xfId="589" xr:uid="{00000000-0005-0000-0000-0000A3330000}"/>
    <cellStyle name="20% - Accent5 2 2 2 2" xfId="1302" xr:uid="{00000000-0005-0000-0000-0000A4330000}"/>
    <cellStyle name="20% - Accent5 2 2 2 2 2" xfId="1724" xr:uid="{00000000-0005-0000-0000-0000A5330000}"/>
    <cellStyle name="20% - Accent5 2 2 2 2 2 2" xfId="3371" xr:uid="{00000000-0005-0000-0000-0000A6330000}"/>
    <cellStyle name="20% - Accent5 2 2 2 2 2 2 2" xfId="6343" xr:uid="{00000000-0005-0000-0000-0000A7330000}"/>
    <cellStyle name="20% - Accent5 2 2 2 2 2 2 2 2" xfId="11993" xr:uid="{00000000-0005-0000-0000-0000A8330000}"/>
    <cellStyle name="20% - Accent5 2 2 2 2 2 2 2 2 2" xfId="23294" xr:uid="{00000000-0005-0000-0000-0000A9330000}"/>
    <cellStyle name="20% - Accent5 2 2 2 2 2 2 2 2 2 2" xfId="45896" xr:uid="{00000000-0005-0000-0000-0000AA330000}"/>
    <cellStyle name="20% - Accent5 2 2 2 2 2 2 2 2 3" xfId="34595" xr:uid="{00000000-0005-0000-0000-0000AB330000}"/>
    <cellStyle name="20% - Accent5 2 2 2 2 2 2 2 3" xfId="17644" xr:uid="{00000000-0005-0000-0000-0000AC330000}"/>
    <cellStyle name="20% - Accent5 2 2 2 2 2 2 2 3 2" xfId="40246" xr:uid="{00000000-0005-0000-0000-0000AD330000}"/>
    <cellStyle name="20% - Accent5 2 2 2 2 2 2 2 4" xfId="28945" xr:uid="{00000000-0005-0000-0000-0000AE330000}"/>
    <cellStyle name="20% - Accent5 2 2 2 2 2 2 3" xfId="9161" xr:uid="{00000000-0005-0000-0000-0000AF330000}"/>
    <cellStyle name="20% - Accent5 2 2 2 2 2 2 3 2" xfId="20462" xr:uid="{00000000-0005-0000-0000-0000B0330000}"/>
    <cellStyle name="20% - Accent5 2 2 2 2 2 2 3 2 2" xfId="43064" xr:uid="{00000000-0005-0000-0000-0000B1330000}"/>
    <cellStyle name="20% - Accent5 2 2 2 2 2 2 3 3" xfId="31763" xr:uid="{00000000-0005-0000-0000-0000B2330000}"/>
    <cellStyle name="20% - Accent5 2 2 2 2 2 2 4" xfId="14812" xr:uid="{00000000-0005-0000-0000-0000B3330000}"/>
    <cellStyle name="20% - Accent5 2 2 2 2 2 2 4 2" xfId="37414" xr:uid="{00000000-0005-0000-0000-0000B4330000}"/>
    <cellStyle name="20% - Accent5 2 2 2 2 2 2 5" xfId="26113" xr:uid="{00000000-0005-0000-0000-0000B5330000}"/>
    <cellStyle name="20% - Accent5 2 2 2 2 2 3" xfId="5109" xr:uid="{00000000-0005-0000-0000-0000B6330000}"/>
    <cellStyle name="20% - Accent5 2 2 2 2 2 3 2" xfId="10759" xr:uid="{00000000-0005-0000-0000-0000B7330000}"/>
    <cellStyle name="20% - Accent5 2 2 2 2 2 3 2 2" xfId="22060" xr:uid="{00000000-0005-0000-0000-0000B8330000}"/>
    <cellStyle name="20% - Accent5 2 2 2 2 2 3 2 2 2" xfId="44662" xr:uid="{00000000-0005-0000-0000-0000B9330000}"/>
    <cellStyle name="20% - Accent5 2 2 2 2 2 3 2 3" xfId="33361" xr:uid="{00000000-0005-0000-0000-0000BA330000}"/>
    <cellStyle name="20% - Accent5 2 2 2 2 2 3 3" xfId="16410" xr:uid="{00000000-0005-0000-0000-0000BB330000}"/>
    <cellStyle name="20% - Accent5 2 2 2 2 2 3 3 2" xfId="39012" xr:uid="{00000000-0005-0000-0000-0000BC330000}"/>
    <cellStyle name="20% - Accent5 2 2 2 2 2 3 4" xfId="27711" xr:uid="{00000000-0005-0000-0000-0000BD330000}"/>
    <cellStyle name="20% - Accent5 2 2 2 2 2 4" xfId="7580" xr:uid="{00000000-0005-0000-0000-0000BE330000}"/>
    <cellStyle name="20% - Accent5 2 2 2 2 2 4 2" xfId="18881" xr:uid="{00000000-0005-0000-0000-0000BF330000}"/>
    <cellStyle name="20% - Accent5 2 2 2 2 2 4 2 2" xfId="41483" xr:uid="{00000000-0005-0000-0000-0000C0330000}"/>
    <cellStyle name="20% - Accent5 2 2 2 2 2 4 3" xfId="30182" xr:uid="{00000000-0005-0000-0000-0000C1330000}"/>
    <cellStyle name="20% - Accent5 2 2 2 2 2 5" xfId="13231" xr:uid="{00000000-0005-0000-0000-0000C2330000}"/>
    <cellStyle name="20% - Accent5 2 2 2 2 2 5 2" xfId="35833" xr:uid="{00000000-0005-0000-0000-0000C3330000}"/>
    <cellStyle name="20% - Accent5 2 2 2 2 2 6" xfId="24532" xr:uid="{00000000-0005-0000-0000-0000C4330000}"/>
    <cellStyle name="20% - Accent5 2 2 2 2 3" xfId="2700" xr:uid="{00000000-0005-0000-0000-0000C5330000}"/>
    <cellStyle name="20% - Accent5 2 2 2 2 3 2" xfId="5719" xr:uid="{00000000-0005-0000-0000-0000C6330000}"/>
    <cellStyle name="20% - Accent5 2 2 2 2 3 2 2" xfId="11369" xr:uid="{00000000-0005-0000-0000-0000C7330000}"/>
    <cellStyle name="20% - Accent5 2 2 2 2 3 2 2 2" xfId="22670" xr:uid="{00000000-0005-0000-0000-0000C8330000}"/>
    <cellStyle name="20% - Accent5 2 2 2 2 3 2 2 2 2" xfId="45272" xr:uid="{00000000-0005-0000-0000-0000C9330000}"/>
    <cellStyle name="20% - Accent5 2 2 2 2 3 2 2 3" xfId="33971" xr:uid="{00000000-0005-0000-0000-0000CA330000}"/>
    <cellStyle name="20% - Accent5 2 2 2 2 3 2 3" xfId="17020" xr:uid="{00000000-0005-0000-0000-0000CB330000}"/>
    <cellStyle name="20% - Accent5 2 2 2 2 3 2 3 2" xfId="39622" xr:uid="{00000000-0005-0000-0000-0000CC330000}"/>
    <cellStyle name="20% - Accent5 2 2 2 2 3 2 4" xfId="28321" xr:uid="{00000000-0005-0000-0000-0000CD330000}"/>
    <cellStyle name="20% - Accent5 2 2 2 2 3 3" xfId="8536" xr:uid="{00000000-0005-0000-0000-0000CE330000}"/>
    <cellStyle name="20% - Accent5 2 2 2 2 3 3 2" xfId="19837" xr:uid="{00000000-0005-0000-0000-0000CF330000}"/>
    <cellStyle name="20% - Accent5 2 2 2 2 3 3 2 2" xfId="42439" xr:uid="{00000000-0005-0000-0000-0000D0330000}"/>
    <cellStyle name="20% - Accent5 2 2 2 2 3 3 3" xfId="31138" xr:uid="{00000000-0005-0000-0000-0000D1330000}"/>
    <cellStyle name="20% - Accent5 2 2 2 2 3 4" xfId="14187" xr:uid="{00000000-0005-0000-0000-0000D2330000}"/>
    <cellStyle name="20% - Accent5 2 2 2 2 3 4 2" xfId="36789" xr:uid="{00000000-0005-0000-0000-0000D3330000}"/>
    <cellStyle name="20% - Accent5 2 2 2 2 3 5" xfId="25488" xr:uid="{00000000-0005-0000-0000-0000D4330000}"/>
    <cellStyle name="20% - Accent5 2 2 2 2 4" xfId="4485" xr:uid="{00000000-0005-0000-0000-0000D5330000}"/>
    <cellStyle name="20% - Accent5 2 2 2 2 4 2" xfId="10135" xr:uid="{00000000-0005-0000-0000-0000D6330000}"/>
    <cellStyle name="20% - Accent5 2 2 2 2 4 2 2" xfId="21436" xr:uid="{00000000-0005-0000-0000-0000D7330000}"/>
    <cellStyle name="20% - Accent5 2 2 2 2 4 2 2 2" xfId="44038" xr:uid="{00000000-0005-0000-0000-0000D8330000}"/>
    <cellStyle name="20% - Accent5 2 2 2 2 4 2 3" xfId="32737" xr:uid="{00000000-0005-0000-0000-0000D9330000}"/>
    <cellStyle name="20% - Accent5 2 2 2 2 4 3" xfId="15786" xr:uid="{00000000-0005-0000-0000-0000DA330000}"/>
    <cellStyle name="20% - Accent5 2 2 2 2 4 3 2" xfId="38388" xr:uid="{00000000-0005-0000-0000-0000DB330000}"/>
    <cellStyle name="20% - Accent5 2 2 2 2 4 4" xfId="27087" xr:uid="{00000000-0005-0000-0000-0000DC330000}"/>
    <cellStyle name="20% - Accent5 2 2 2 2 5" xfId="7281" xr:uid="{00000000-0005-0000-0000-0000DD330000}"/>
    <cellStyle name="20% - Accent5 2 2 2 2 5 2" xfId="18582" xr:uid="{00000000-0005-0000-0000-0000DE330000}"/>
    <cellStyle name="20% - Accent5 2 2 2 2 5 2 2" xfId="41184" xr:uid="{00000000-0005-0000-0000-0000DF330000}"/>
    <cellStyle name="20% - Accent5 2 2 2 2 5 3" xfId="29883" xr:uid="{00000000-0005-0000-0000-0000E0330000}"/>
    <cellStyle name="20% - Accent5 2 2 2 2 6" xfId="12932" xr:uid="{00000000-0005-0000-0000-0000E1330000}"/>
    <cellStyle name="20% - Accent5 2 2 2 2 6 2" xfId="35534" xr:uid="{00000000-0005-0000-0000-0000E2330000}"/>
    <cellStyle name="20% - Accent5 2 2 2 2 7" xfId="24233" xr:uid="{00000000-0005-0000-0000-0000E3330000}"/>
    <cellStyle name="20% - Accent5 2 2 2 3" xfId="1000" xr:uid="{00000000-0005-0000-0000-0000E4330000}"/>
    <cellStyle name="20% - Accent5 2 2 2 3 2" xfId="3063" xr:uid="{00000000-0005-0000-0000-0000E5330000}"/>
    <cellStyle name="20% - Accent5 2 2 2 3 2 2" xfId="6035" xr:uid="{00000000-0005-0000-0000-0000E6330000}"/>
    <cellStyle name="20% - Accent5 2 2 2 3 2 2 2" xfId="11685" xr:uid="{00000000-0005-0000-0000-0000E7330000}"/>
    <cellStyle name="20% - Accent5 2 2 2 3 2 2 2 2" xfId="22986" xr:uid="{00000000-0005-0000-0000-0000E8330000}"/>
    <cellStyle name="20% - Accent5 2 2 2 3 2 2 2 2 2" xfId="45588" xr:uid="{00000000-0005-0000-0000-0000E9330000}"/>
    <cellStyle name="20% - Accent5 2 2 2 3 2 2 2 3" xfId="34287" xr:uid="{00000000-0005-0000-0000-0000EA330000}"/>
    <cellStyle name="20% - Accent5 2 2 2 3 2 2 3" xfId="17336" xr:uid="{00000000-0005-0000-0000-0000EB330000}"/>
    <cellStyle name="20% - Accent5 2 2 2 3 2 2 3 2" xfId="39938" xr:uid="{00000000-0005-0000-0000-0000EC330000}"/>
    <cellStyle name="20% - Accent5 2 2 2 3 2 2 4" xfId="28637" xr:uid="{00000000-0005-0000-0000-0000ED330000}"/>
    <cellStyle name="20% - Accent5 2 2 2 3 2 3" xfId="8853" xr:uid="{00000000-0005-0000-0000-0000EE330000}"/>
    <cellStyle name="20% - Accent5 2 2 2 3 2 3 2" xfId="20154" xr:uid="{00000000-0005-0000-0000-0000EF330000}"/>
    <cellStyle name="20% - Accent5 2 2 2 3 2 3 2 2" xfId="42756" xr:uid="{00000000-0005-0000-0000-0000F0330000}"/>
    <cellStyle name="20% - Accent5 2 2 2 3 2 3 3" xfId="31455" xr:uid="{00000000-0005-0000-0000-0000F1330000}"/>
    <cellStyle name="20% - Accent5 2 2 2 3 2 4" xfId="14504" xr:uid="{00000000-0005-0000-0000-0000F2330000}"/>
    <cellStyle name="20% - Accent5 2 2 2 3 2 4 2" xfId="37106" xr:uid="{00000000-0005-0000-0000-0000F3330000}"/>
    <cellStyle name="20% - Accent5 2 2 2 3 2 5" xfId="25805" xr:uid="{00000000-0005-0000-0000-0000F4330000}"/>
    <cellStyle name="20% - Accent5 2 2 2 3 3" xfId="4801" xr:uid="{00000000-0005-0000-0000-0000F5330000}"/>
    <cellStyle name="20% - Accent5 2 2 2 3 3 2" xfId="10451" xr:uid="{00000000-0005-0000-0000-0000F6330000}"/>
    <cellStyle name="20% - Accent5 2 2 2 3 3 2 2" xfId="21752" xr:uid="{00000000-0005-0000-0000-0000F7330000}"/>
    <cellStyle name="20% - Accent5 2 2 2 3 3 2 2 2" xfId="44354" xr:uid="{00000000-0005-0000-0000-0000F8330000}"/>
    <cellStyle name="20% - Accent5 2 2 2 3 3 2 3" xfId="33053" xr:uid="{00000000-0005-0000-0000-0000F9330000}"/>
    <cellStyle name="20% - Accent5 2 2 2 3 3 3" xfId="16102" xr:uid="{00000000-0005-0000-0000-0000FA330000}"/>
    <cellStyle name="20% - Accent5 2 2 2 3 3 3 2" xfId="38704" xr:uid="{00000000-0005-0000-0000-0000FB330000}"/>
    <cellStyle name="20% - Accent5 2 2 2 3 3 4" xfId="27403" xr:uid="{00000000-0005-0000-0000-0000FC330000}"/>
    <cellStyle name="20% - Accent5 2 2 2 3 4" xfId="6988" xr:uid="{00000000-0005-0000-0000-0000FD330000}"/>
    <cellStyle name="20% - Accent5 2 2 2 3 4 2" xfId="18289" xr:uid="{00000000-0005-0000-0000-0000FE330000}"/>
    <cellStyle name="20% - Accent5 2 2 2 3 4 2 2" xfId="40891" xr:uid="{00000000-0005-0000-0000-0000FF330000}"/>
    <cellStyle name="20% - Accent5 2 2 2 3 4 3" xfId="29590" xr:uid="{00000000-0005-0000-0000-000000340000}"/>
    <cellStyle name="20% - Accent5 2 2 2 3 5" xfId="12639" xr:uid="{00000000-0005-0000-0000-000001340000}"/>
    <cellStyle name="20% - Accent5 2 2 2 3 5 2" xfId="35241" xr:uid="{00000000-0005-0000-0000-000002340000}"/>
    <cellStyle name="20% - Accent5 2 2 2 3 6" xfId="23940" xr:uid="{00000000-0005-0000-0000-000003340000}"/>
    <cellStyle name="20% - Accent5 2 2 2 4" xfId="1723" xr:uid="{00000000-0005-0000-0000-000004340000}"/>
    <cellStyle name="20% - Accent5 2 2 2 4 2" xfId="3658" xr:uid="{00000000-0005-0000-0000-000005340000}"/>
    <cellStyle name="20% - Accent5 2 2 2 4 2 2" xfId="9370" xr:uid="{00000000-0005-0000-0000-000006340000}"/>
    <cellStyle name="20% - Accent5 2 2 2 4 2 2 2" xfId="20671" xr:uid="{00000000-0005-0000-0000-000007340000}"/>
    <cellStyle name="20% - Accent5 2 2 2 4 2 2 2 2" xfId="43273" xr:uid="{00000000-0005-0000-0000-000008340000}"/>
    <cellStyle name="20% - Accent5 2 2 2 4 2 2 3" xfId="31972" xr:uid="{00000000-0005-0000-0000-000009340000}"/>
    <cellStyle name="20% - Accent5 2 2 2 4 2 3" xfId="15021" xr:uid="{00000000-0005-0000-0000-00000A340000}"/>
    <cellStyle name="20% - Accent5 2 2 2 4 2 3 2" xfId="37623" xr:uid="{00000000-0005-0000-0000-00000B340000}"/>
    <cellStyle name="20% - Accent5 2 2 2 4 2 4" xfId="26322" xr:uid="{00000000-0005-0000-0000-00000C340000}"/>
    <cellStyle name="20% - Accent5 2 2 2 4 3" xfId="5411" xr:uid="{00000000-0005-0000-0000-00000D340000}"/>
    <cellStyle name="20% - Accent5 2 2 2 4 3 2" xfId="11061" xr:uid="{00000000-0005-0000-0000-00000E340000}"/>
    <cellStyle name="20% - Accent5 2 2 2 4 3 2 2" xfId="22362" xr:uid="{00000000-0005-0000-0000-00000F340000}"/>
    <cellStyle name="20% - Accent5 2 2 2 4 3 2 2 2" xfId="44964" xr:uid="{00000000-0005-0000-0000-000010340000}"/>
    <cellStyle name="20% - Accent5 2 2 2 4 3 2 3" xfId="33663" xr:uid="{00000000-0005-0000-0000-000011340000}"/>
    <cellStyle name="20% - Accent5 2 2 2 4 3 3" xfId="16712" xr:uid="{00000000-0005-0000-0000-000012340000}"/>
    <cellStyle name="20% - Accent5 2 2 2 4 3 3 2" xfId="39314" xr:uid="{00000000-0005-0000-0000-000013340000}"/>
    <cellStyle name="20% - Accent5 2 2 2 4 3 4" xfId="28013" xr:uid="{00000000-0005-0000-0000-000014340000}"/>
    <cellStyle name="20% - Accent5 2 2 2 4 4" xfId="7579" xr:uid="{00000000-0005-0000-0000-000015340000}"/>
    <cellStyle name="20% - Accent5 2 2 2 4 4 2" xfId="18880" xr:uid="{00000000-0005-0000-0000-000016340000}"/>
    <cellStyle name="20% - Accent5 2 2 2 4 4 2 2" xfId="41482" xr:uid="{00000000-0005-0000-0000-000017340000}"/>
    <cellStyle name="20% - Accent5 2 2 2 4 4 3" xfId="30181" xr:uid="{00000000-0005-0000-0000-000018340000}"/>
    <cellStyle name="20% - Accent5 2 2 2 4 5" xfId="13230" xr:uid="{00000000-0005-0000-0000-000019340000}"/>
    <cellStyle name="20% - Accent5 2 2 2 4 5 2" xfId="35832" xr:uid="{00000000-0005-0000-0000-00001A340000}"/>
    <cellStyle name="20% - Accent5 2 2 2 4 6" xfId="24531" xr:uid="{00000000-0005-0000-0000-00001B340000}"/>
    <cellStyle name="20% - Accent5 2 2 2 5" xfId="2392" xr:uid="{00000000-0005-0000-0000-00001C340000}"/>
    <cellStyle name="20% - Accent5 2 2 2 5 2" xfId="8228" xr:uid="{00000000-0005-0000-0000-00001D340000}"/>
    <cellStyle name="20% - Accent5 2 2 2 5 2 2" xfId="19529" xr:uid="{00000000-0005-0000-0000-00001E340000}"/>
    <cellStyle name="20% - Accent5 2 2 2 5 2 2 2" xfId="42131" xr:uid="{00000000-0005-0000-0000-00001F340000}"/>
    <cellStyle name="20% - Accent5 2 2 2 5 2 3" xfId="30830" xr:uid="{00000000-0005-0000-0000-000020340000}"/>
    <cellStyle name="20% - Accent5 2 2 2 5 3" xfId="13879" xr:uid="{00000000-0005-0000-0000-000021340000}"/>
    <cellStyle name="20% - Accent5 2 2 2 5 3 2" xfId="36481" xr:uid="{00000000-0005-0000-0000-000022340000}"/>
    <cellStyle name="20% - Accent5 2 2 2 5 4" xfId="25180" xr:uid="{00000000-0005-0000-0000-000023340000}"/>
    <cellStyle name="20% - Accent5 2 2 2 6" xfId="4177" xr:uid="{00000000-0005-0000-0000-000024340000}"/>
    <cellStyle name="20% - Accent5 2 2 2 6 2" xfId="9827" xr:uid="{00000000-0005-0000-0000-000025340000}"/>
    <cellStyle name="20% - Accent5 2 2 2 6 2 2" xfId="21128" xr:uid="{00000000-0005-0000-0000-000026340000}"/>
    <cellStyle name="20% - Accent5 2 2 2 6 2 2 2" xfId="43730" xr:uid="{00000000-0005-0000-0000-000027340000}"/>
    <cellStyle name="20% - Accent5 2 2 2 6 2 3" xfId="32429" xr:uid="{00000000-0005-0000-0000-000028340000}"/>
    <cellStyle name="20% - Accent5 2 2 2 6 3" xfId="15478" xr:uid="{00000000-0005-0000-0000-000029340000}"/>
    <cellStyle name="20% - Accent5 2 2 2 6 3 2" xfId="38080" xr:uid="{00000000-0005-0000-0000-00002A340000}"/>
    <cellStyle name="20% - Accent5 2 2 2 6 4" xfId="26779" xr:uid="{00000000-0005-0000-0000-00002B340000}"/>
    <cellStyle name="20% - Accent5 2 2 2 7" xfId="6655" xr:uid="{00000000-0005-0000-0000-00002C340000}"/>
    <cellStyle name="20% - Accent5 2 2 2 7 2" xfId="17956" xr:uid="{00000000-0005-0000-0000-00002D340000}"/>
    <cellStyle name="20% - Accent5 2 2 2 7 2 2" xfId="40558" xr:uid="{00000000-0005-0000-0000-00002E340000}"/>
    <cellStyle name="20% - Accent5 2 2 2 7 3" xfId="29257" xr:uid="{00000000-0005-0000-0000-00002F340000}"/>
    <cellStyle name="20% - Accent5 2 2 2 8" xfId="12306" xr:uid="{00000000-0005-0000-0000-000030340000}"/>
    <cellStyle name="20% - Accent5 2 2 2 8 2" xfId="34908" xr:uid="{00000000-0005-0000-0000-000031340000}"/>
    <cellStyle name="20% - Accent5 2 2 2 9" xfId="23607" xr:uid="{00000000-0005-0000-0000-000032340000}"/>
    <cellStyle name="20% - Accent5 2 2 3" xfId="1162" xr:uid="{00000000-0005-0000-0000-000033340000}"/>
    <cellStyle name="20% - Accent5 2 2 3 2" xfId="1725" xr:uid="{00000000-0005-0000-0000-000034340000}"/>
    <cellStyle name="20% - Accent5 2 2 3 2 2" xfId="3230" xr:uid="{00000000-0005-0000-0000-000035340000}"/>
    <cellStyle name="20% - Accent5 2 2 3 2 2 2" xfId="6202" xr:uid="{00000000-0005-0000-0000-000036340000}"/>
    <cellStyle name="20% - Accent5 2 2 3 2 2 2 2" xfId="11852" xr:uid="{00000000-0005-0000-0000-000037340000}"/>
    <cellStyle name="20% - Accent5 2 2 3 2 2 2 2 2" xfId="23153" xr:uid="{00000000-0005-0000-0000-000038340000}"/>
    <cellStyle name="20% - Accent5 2 2 3 2 2 2 2 2 2" xfId="45755" xr:uid="{00000000-0005-0000-0000-000039340000}"/>
    <cellStyle name="20% - Accent5 2 2 3 2 2 2 2 3" xfId="34454" xr:uid="{00000000-0005-0000-0000-00003A340000}"/>
    <cellStyle name="20% - Accent5 2 2 3 2 2 2 3" xfId="17503" xr:uid="{00000000-0005-0000-0000-00003B340000}"/>
    <cellStyle name="20% - Accent5 2 2 3 2 2 2 3 2" xfId="40105" xr:uid="{00000000-0005-0000-0000-00003C340000}"/>
    <cellStyle name="20% - Accent5 2 2 3 2 2 2 4" xfId="28804" xr:uid="{00000000-0005-0000-0000-00003D340000}"/>
    <cellStyle name="20% - Accent5 2 2 3 2 2 3" xfId="9020" xr:uid="{00000000-0005-0000-0000-00003E340000}"/>
    <cellStyle name="20% - Accent5 2 2 3 2 2 3 2" xfId="20321" xr:uid="{00000000-0005-0000-0000-00003F340000}"/>
    <cellStyle name="20% - Accent5 2 2 3 2 2 3 2 2" xfId="42923" xr:uid="{00000000-0005-0000-0000-000040340000}"/>
    <cellStyle name="20% - Accent5 2 2 3 2 2 3 3" xfId="31622" xr:uid="{00000000-0005-0000-0000-000041340000}"/>
    <cellStyle name="20% - Accent5 2 2 3 2 2 4" xfId="14671" xr:uid="{00000000-0005-0000-0000-000042340000}"/>
    <cellStyle name="20% - Accent5 2 2 3 2 2 4 2" xfId="37273" xr:uid="{00000000-0005-0000-0000-000043340000}"/>
    <cellStyle name="20% - Accent5 2 2 3 2 2 5" xfId="25972" xr:uid="{00000000-0005-0000-0000-000044340000}"/>
    <cellStyle name="20% - Accent5 2 2 3 2 3" xfId="4968" xr:uid="{00000000-0005-0000-0000-000045340000}"/>
    <cellStyle name="20% - Accent5 2 2 3 2 3 2" xfId="10618" xr:uid="{00000000-0005-0000-0000-000046340000}"/>
    <cellStyle name="20% - Accent5 2 2 3 2 3 2 2" xfId="21919" xr:uid="{00000000-0005-0000-0000-000047340000}"/>
    <cellStyle name="20% - Accent5 2 2 3 2 3 2 2 2" xfId="44521" xr:uid="{00000000-0005-0000-0000-000048340000}"/>
    <cellStyle name="20% - Accent5 2 2 3 2 3 2 3" xfId="33220" xr:uid="{00000000-0005-0000-0000-000049340000}"/>
    <cellStyle name="20% - Accent5 2 2 3 2 3 3" xfId="16269" xr:uid="{00000000-0005-0000-0000-00004A340000}"/>
    <cellStyle name="20% - Accent5 2 2 3 2 3 3 2" xfId="38871" xr:uid="{00000000-0005-0000-0000-00004B340000}"/>
    <cellStyle name="20% - Accent5 2 2 3 2 3 4" xfId="27570" xr:uid="{00000000-0005-0000-0000-00004C340000}"/>
    <cellStyle name="20% - Accent5 2 2 3 2 4" xfId="7581" xr:uid="{00000000-0005-0000-0000-00004D340000}"/>
    <cellStyle name="20% - Accent5 2 2 3 2 4 2" xfId="18882" xr:uid="{00000000-0005-0000-0000-00004E340000}"/>
    <cellStyle name="20% - Accent5 2 2 3 2 4 2 2" xfId="41484" xr:uid="{00000000-0005-0000-0000-00004F340000}"/>
    <cellStyle name="20% - Accent5 2 2 3 2 4 3" xfId="30183" xr:uid="{00000000-0005-0000-0000-000050340000}"/>
    <cellStyle name="20% - Accent5 2 2 3 2 5" xfId="13232" xr:uid="{00000000-0005-0000-0000-000051340000}"/>
    <cellStyle name="20% - Accent5 2 2 3 2 5 2" xfId="35834" xr:uid="{00000000-0005-0000-0000-000052340000}"/>
    <cellStyle name="20% - Accent5 2 2 3 2 6" xfId="24533" xr:uid="{00000000-0005-0000-0000-000053340000}"/>
    <cellStyle name="20% - Accent5 2 2 3 3" xfId="2559" xr:uid="{00000000-0005-0000-0000-000054340000}"/>
    <cellStyle name="20% - Accent5 2 2 3 3 2" xfId="5578" xr:uid="{00000000-0005-0000-0000-000055340000}"/>
    <cellStyle name="20% - Accent5 2 2 3 3 2 2" xfId="11228" xr:uid="{00000000-0005-0000-0000-000056340000}"/>
    <cellStyle name="20% - Accent5 2 2 3 3 2 2 2" xfId="22529" xr:uid="{00000000-0005-0000-0000-000057340000}"/>
    <cellStyle name="20% - Accent5 2 2 3 3 2 2 2 2" xfId="45131" xr:uid="{00000000-0005-0000-0000-000058340000}"/>
    <cellStyle name="20% - Accent5 2 2 3 3 2 2 3" xfId="33830" xr:uid="{00000000-0005-0000-0000-000059340000}"/>
    <cellStyle name="20% - Accent5 2 2 3 3 2 3" xfId="16879" xr:uid="{00000000-0005-0000-0000-00005A340000}"/>
    <cellStyle name="20% - Accent5 2 2 3 3 2 3 2" xfId="39481" xr:uid="{00000000-0005-0000-0000-00005B340000}"/>
    <cellStyle name="20% - Accent5 2 2 3 3 2 4" xfId="28180" xr:uid="{00000000-0005-0000-0000-00005C340000}"/>
    <cellStyle name="20% - Accent5 2 2 3 3 3" xfId="8395" xr:uid="{00000000-0005-0000-0000-00005D340000}"/>
    <cellStyle name="20% - Accent5 2 2 3 3 3 2" xfId="19696" xr:uid="{00000000-0005-0000-0000-00005E340000}"/>
    <cellStyle name="20% - Accent5 2 2 3 3 3 2 2" xfId="42298" xr:uid="{00000000-0005-0000-0000-00005F340000}"/>
    <cellStyle name="20% - Accent5 2 2 3 3 3 3" xfId="30997" xr:uid="{00000000-0005-0000-0000-000060340000}"/>
    <cellStyle name="20% - Accent5 2 2 3 3 4" xfId="14046" xr:uid="{00000000-0005-0000-0000-000061340000}"/>
    <cellStyle name="20% - Accent5 2 2 3 3 4 2" xfId="36648" xr:uid="{00000000-0005-0000-0000-000062340000}"/>
    <cellStyle name="20% - Accent5 2 2 3 3 5" xfId="25347" xr:uid="{00000000-0005-0000-0000-000063340000}"/>
    <cellStyle name="20% - Accent5 2 2 3 4" xfId="4344" xr:uid="{00000000-0005-0000-0000-000064340000}"/>
    <cellStyle name="20% - Accent5 2 2 3 4 2" xfId="9994" xr:uid="{00000000-0005-0000-0000-000065340000}"/>
    <cellStyle name="20% - Accent5 2 2 3 4 2 2" xfId="21295" xr:uid="{00000000-0005-0000-0000-000066340000}"/>
    <cellStyle name="20% - Accent5 2 2 3 4 2 2 2" xfId="43897" xr:uid="{00000000-0005-0000-0000-000067340000}"/>
    <cellStyle name="20% - Accent5 2 2 3 4 2 3" xfId="32596" xr:uid="{00000000-0005-0000-0000-000068340000}"/>
    <cellStyle name="20% - Accent5 2 2 3 4 3" xfId="15645" xr:uid="{00000000-0005-0000-0000-000069340000}"/>
    <cellStyle name="20% - Accent5 2 2 3 4 3 2" xfId="38247" xr:uid="{00000000-0005-0000-0000-00006A340000}"/>
    <cellStyle name="20% - Accent5 2 2 3 4 4" xfId="26946" xr:uid="{00000000-0005-0000-0000-00006B340000}"/>
    <cellStyle name="20% - Accent5 2 2 3 5" xfId="7141" xr:uid="{00000000-0005-0000-0000-00006C340000}"/>
    <cellStyle name="20% - Accent5 2 2 3 5 2" xfId="18442" xr:uid="{00000000-0005-0000-0000-00006D340000}"/>
    <cellStyle name="20% - Accent5 2 2 3 5 2 2" xfId="41044" xr:uid="{00000000-0005-0000-0000-00006E340000}"/>
    <cellStyle name="20% - Accent5 2 2 3 5 3" xfId="29743" xr:uid="{00000000-0005-0000-0000-00006F340000}"/>
    <cellStyle name="20% - Accent5 2 2 3 6" xfId="12792" xr:uid="{00000000-0005-0000-0000-000070340000}"/>
    <cellStyle name="20% - Accent5 2 2 3 6 2" xfId="35394" xr:uid="{00000000-0005-0000-0000-000071340000}"/>
    <cellStyle name="20% - Accent5 2 2 3 7" xfId="24093" xr:uid="{00000000-0005-0000-0000-000072340000}"/>
    <cellStyle name="20% - Accent5 2 2 4" xfId="842" xr:uid="{00000000-0005-0000-0000-000073340000}"/>
    <cellStyle name="20% - Accent5 2 2 4 2" xfId="2923" xr:uid="{00000000-0005-0000-0000-000074340000}"/>
    <cellStyle name="20% - Accent5 2 2 4 2 2" xfId="5895" xr:uid="{00000000-0005-0000-0000-000075340000}"/>
    <cellStyle name="20% - Accent5 2 2 4 2 2 2" xfId="11545" xr:uid="{00000000-0005-0000-0000-000076340000}"/>
    <cellStyle name="20% - Accent5 2 2 4 2 2 2 2" xfId="22846" xr:uid="{00000000-0005-0000-0000-000077340000}"/>
    <cellStyle name="20% - Accent5 2 2 4 2 2 2 2 2" xfId="45448" xr:uid="{00000000-0005-0000-0000-000078340000}"/>
    <cellStyle name="20% - Accent5 2 2 4 2 2 2 3" xfId="34147" xr:uid="{00000000-0005-0000-0000-000079340000}"/>
    <cellStyle name="20% - Accent5 2 2 4 2 2 3" xfId="17196" xr:uid="{00000000-0005-0000-0000-00007A340000}"/>
    <cellStyle name="20% - Accent5 2 2 4 2 2 3 2" xfId="39798" xr:uid="{00000000-0005-0000-0000-00007B340000}"/>
    <cellStyle name="20% - Accent5 2 2 4 2 2 4" xfId="28497" xr:uid="{00000000-0005-0000-0000-00007C340000}"/>
    <cellStyle name="20% - Accent5 2 2 4 2 3" xfId="8713" xr:uid="{00000000-0005-0000-0000-00007D340000}"/>
    <cellStyle name="20% - Accent5 2 2 4 2 3 2" xfId="20014" xr:uid="{00000000-0005-0000-0000-00007E340000}"/>
    <cellStyle name="20% - Accent5 2 2 4 2 3 2 2" xfId="42616" xr:uid="{00000000-0005-0000-0000-00007F340000}"/>
    <cellStyle name="20% - Accent5 2 2 4 2 3 3" xfId="31315" xr:uid="{00000000-0005-0000-0000-000080340000}"/>
    <cellStyle name="20% - Accent5 2 2 4 2 4" xfId="14364" xr:uid="{00000000-0005-0000-0000-000081340000}"/>
    <cellStyle name="20% - Accent5 2 2 4 2 4 2" xfId="36966" xr:uid="{00000000-0005-0000-0000-000082340000}"/>
    <cellStyle name="20% - Accent5 2 2 4 2 5" xfId="25665" xr:uid="{00000000-0005-0000-0000-000083340000}"/>
    <cellStyle name="20% - Accent5 2 2 4 3" xfId="4661" xr:uid="{00000000-0005-0000-0000-000084340000}"/>
    <cellStyle name="20% - Accent5 2 2 4 3 2" xfId="10311" xr:uid="{00000000-0005-0000-0000-000085340000}"/>
    <cellStyle name="20% - Accent5 2 2 4 3 2 2" xfId="21612" xr:uid="{00000000-0005-0000-0000-000086340000}"/>
    <cellStyle name="20% - Accent5 2 2 4 3 2 2 2" xfId="44214" xr:uid="{00000000-0005-0000-0000-000087340000}"/>
    <cellStyle name="20% - Accent5 2 2 4 3 2 3" xfId="32913" xr:uid="{00000000-0005-0000-0000-000088340000}"/>
    <cellStyle name="20% - Accent5 2 2 4 3 3" xfId="15962" xr:uid="{00000000-0005-0000-0000-000089340000}"/>
    <cellStyle name="20% - Accent5 2 2 4 3 3 2" xfId="38564" xr:uid="{00000000-0005-0000-0000-00008A340000}"/>
    <cellStyle name="20% - Accent5 2 2 4 3 4" xfId="27263" xr:uid="{00000000-0005-0000-0000-00008B340000}"/>
    <cellStyle name="20% - Accent5 2 2 4 4" xfId="6847" xr:uid="{00000000-0005-0000-0000-00008C340000}"/>
    <cellStyle name="20% - Accent5 2 2 4 4 2" xfId="18148" xr:uid="{00000000-0005-0000-0000-00008D340000}"/>
    <cellStyle name="20% - Accent5 2 2 4 4 2 2" xfId="40750" xr:uid="{00000000-0005-0000-0000-00008E340000}"/>
    <cellStyle name="20% - Accent5 2 2 4 4 3" xfId="29449" xr:uid="{00000000-0005-0000-0000-00008F340000}"/>
    <cellStyle name="20% - Accent5 2 2 4 5" xfId="12498" xr:uid="{00000000-0005-0000-0000-000090340000}"/>
    <cellStyle name="20% - Accent5 2 2 4 5 2" xfId="35100" xr:uid="{00000000-0005-0000-0000-000091340000}"/>
    <cellStyle name="20% - Accent5 2 2 4 6" xfId="23799" xr:uid="{00000000-0005-0000-0000-000092340000}"/>
    <cellStyle name="20% - Accent5 2 2 5" xfId="1722" xr:uid="{00000000-0005-0000-0000-000093340000}"/>
    <cellStyle name="20% - Accent5 2 2 5 2" xfId="3657" xr:uid="{00000000-0005-0000-0000-000094340000}"/>
    <cellStyle name="20% - Accent5 2 2 5 2 2" xfId="9369" xr:uid="{00000000-0005-0000-0000-000095340000}"/>
    <cellStyle name="20% - Accent5 2 2 5 2 2 2" xfId="20670" xr:uid="{00000000-0005-0000-0000-000096340000}"/>
    <cellStyle name="20% - Accent5 2 2 5 2 2 2 2" xfId="43272" xr:uid="{00000000-0005-0000-0000-000097340000}"/>
    <cellStyle name="20% - Accent5 2 2 5 2 2 3" xfId="31971" xr:uid="{00000000-0005-0000-0000-000098340000}"/>
    <cellStyle name="20% - Accent5 2 2 5 2 3" xfId="15020" xr:uid="{00000000-0005-0000-0000-000099340000}"/>
    <cellStyle name="20% - Accent5 2 2 5 2 3 2" xfId="37622" xr:uid="{00000000-0005-0000-0000-00009A340000}"/>
    <cellStyle name="20% - Accent5 2 2 5 2 4" xfId="26321" xr:uid="{00000000-0005-0000-0000-00009B340000}"/>
    <cellStyle name="20% - Accent5 2 2 5 3" xfId="5271" xr:uid="{00000000-0005-0000-0000-00009C340000}"/>
    <cellStyle name="20% - Accent5 2 2 5 3 2" xfId="10921" xr:uid="{00000000-0005-0000-0000-00009D340000}"/>
    <cellStyle name="20% - Accent5 2 2 5 3 2 2" xfId="22222" xr:uid="{00000000-0005-0000-0000-00009E340000}"/>
    <cellStyle name="20% - Accent5 2 2 5 3 2 2 2" xfId="44824" xr:uid="{00000000-0005-0000-0000-00009F340000}"/>
    <cellStyle name="20% - Accent5 2 2 5 3 2 3" xfId="33523" xr:uid="{00000000-0005-0000-0000-0000A0340000}"/>
    <cellStyle name="20% - Accent5 2 2 5 3 3" xfId="16572" xr:uid="{00000000-0005-0000-0000-0000A1340000}"/>
    <cellStyle name="20% - Accent5 2 2 5 3 3 2" xfId="39174" xr:uid="{00000000-0005-0000-0000-0000A2340000}"/>
    <cellStyle name="20% - Accent5 2 2 5 3 4" xfId="27873" xr:uid="{00000000-0005-0000-0000-0000A3340000}"/>
    <cellStyle name="20% - Accent5 2 2 5 4" xfId="7578" xr:uid="{00000000-0005-0000-0000-0000A4340000}"/>
    <cellStyle name="20% - Accent5 2 2 5 4 2" xfId="18879" xr:uid="{00000000-0005-0000-0000-0000A5340000}"/>
    <cellStyle name="20% - Accent5 2 2 5 4 2 2" xfId="41481" xr:uid="{00000000-0005-0000-0000-0000A6340000}"/>
    <cellStyle name="20% - Accent5 2 2 5 4 3" xfId="30180" xr:uid="{00000000-0005-0000-0000-0000A7340000}"/>
    <cellStyle name="20% - Accent5 2 2 5 5" xfId="13229" xr:uid="{00000000-0005-0000-0000-0000A8340000}"/>
    <cellStyle name="20% - Accent5 2 2 5 5 2" xfId="35831" xr:uid="{00000000-0005-0000-0000-0000A9340000}"/>
    <cellStyle name="20% - Accent5 2 2 5 6" xfId="24530" xr:uid="{00000000-0005-0000-0000-0000AA340000}"/>
    <cellStyle name="20% - Accent5 2 2 6" xfId="2244" xr:uid="{00000000-0005-0000-0000-0000AB340000}"/>
    <cellStyle name="20% - Accent5 2 2 6 2" xfId="8085" xr:uid="{00000000-0005-0000-0000-0000AC340000}"/>
    <cellStyle name="20% - Accent5 2 2 6 2 2" xfId="19386" xr:uid="{00000000-0005-0000-0000-0000AD340000}"/>
    <cellStyle name="20% - Accent5 2 2 6 2 2 2" xfId="41988" xr:uid="{00000000-0005-0000-0000-0000AE340000}"/>
    <cellStyle name="20% - Accent5 2 2 6 2 3" xfId="30687" xr:uid="{00000000-0005-0000-0000-0000AF340000}"/>
    <cellStyle name="20% - Accent5 2 2 6 3" xfId="13736" xr:uid="{00000000-0005-0000-0000-0000B0340000}"/>
    <cellStyle name="20% - Accent5 2 2 6 3 2" xfId="36338" xr:uid="{00000000-0005-0000-0000-0000B1340000}"/>
    <cellStyle name="20% - Accent5 2 2 6 4" xfId="25037" xr:uid="{00000000-0005-0000-0000-0000B2340000}"/>
    <cellStyle name="20% - Accent5 2 2 7" xfId="4037" xr:uid="{00000000-0005-0000-0000-0000B3340000}"/>
    <cellStyle name="20% - Accent5 2 2 7 2" xfId="9687" xr:uid="{00000000-0005-0000-0000-0000B4340000}"/>
    <cellStyle name="20% - Accent5 2 2 7 2 2" xfId="20988" xr:uid="{00000000-0005-0000-0000-0000B5340000}"/>
    <cellStyle name="20% - Accent5 2 2 7 2 2 2" xfId="43590" xr:uid="{00000000-0005-0000-0000-0000B6340000}"/>
    <cellStyle name="20% - Accent5 2 2 7 2 3" xfId="32289" xr:uid="{00000000-0005-0000-0000-0000B7340000}"/>
    <cellStyle name="20% - Accent5 2 2 7 3" xfId="15338" xr:uid="{00000000-0005-0000-0000-0000B8340000}"/>
    <cellStyle name="20% - Accent5 2 2 7 3 2" xfId="37940" xr:uid="{00000000-0005-0000-0000-0000B9340000}"/>
    <cellStyle name="20% - Accent5 2 2 7 4" xfId="26639" xr:uid="{00000000-0005-0000-0000-0000BA340000}"/>
    <cellStyle name="20% - Accent5 2 2 8" xfId="6488" xr:uid="{00000000-0005-0000-0000-0000BB340000}"/>
    <cellStyle name="20% - Accent5 2 2 8 2" xfId="17789" xr:uid="{00000000-0005-0000-0000-0000BC340000}"/>
    <cellStyle name="20% - Accent5 2 2 8 2 2" xfId="40391" xr:uid="{00000000-0005-0000-0000-0000BD340000}"/>
    <cellStyle name="20% - Accent5 2 2 8 3" xfId="29090" xr:uid="{00000000-0005-0000-0000-0000BE340000}"/>
    <cellStyle name="20% - Accent5 2 2 9" xfId="12139" xr:uid="{00000000-0005-0000-0000-0000BF340000}"/>
    <cellStyle name="20% - Accent5 2 2 9 2" xfId="34741" xr:uid="{00000000-0005-0000-0000-0000C0340000}"/>
    <cellStyle name="20% - Accent5 2 3" xfId="2815" xr:uid="{00000000-0005-0000-0000-0000C1340000}"/>
    <cellStyle name="20% - Accent5 2 3 2" xfId="3903" xr:uid="{00000000-0005-0000-0000-0000C2340000}"/>
    <cellStyle name="20% - Accent5 2 3 2 2" xfId="5830" xr:uid="{00000000-0005-0000-0000-0000C3340000}"/>
    <cellStyle name="20% - Accent5 2 3 2 2 2" xfId="11480" xr:uid="{00000000-0005-0000-0000-0000C4340000}"/>
    <cellStyle name="20% - Accent5 2 3 2 2 2 2" xfId="22781" xr:uid="{00000000-0005-0000-0000-0000C5340000}"/>
    <cellStyle name="20% - Accent5 2 3 2 2 2 2 2" xfId="45383" xr:uid="{00000000-0005-0000-0000-0000C6340000}"/>
    <cellStyle name="20% - Accent5 2 3 2 2 2 3" xfId="34082" xr:uid="{00000000-0005-0000-0000-0000C7340000}"/>
    <cellStyle name="20% - Accent5 2 3 2 2 3" xfId="17131" xr:uid="{00000000-0005-0000-0000-0000C8340000}"/>
    <cellStyle name="20% - Accent5 2 3 2 2 3 2" xfId="39733" xr:uid="{00000000-0005-0000-0000-0000C9340000}"/>
    <cellStyle name="20% - Accent5 2 3 2 2 4" xfId="28432" xr:uid="{00000000-0005-0000-0000-0000CA340000}"/>
    <cellStyle name="20% - Accent5 2 3 2 3" xfId="9602" xr:uid="{00000000-0005-0000-0000-0000CB340000}"/>
    <cellStyle name="20% - Accent5 2 3 2 3 2" xfId="20903" xr:uid="{00000000-0005-0000-0000-0000CC340000}"/>
    <cellStyle name="20% - Accent5 2 3 2 3 2 2" xfId="43505" xr:uid="{00000000-0005-0000-0000-0000CD340000}"/>
    <cellStyle name="20% - Accent5 2 3 2 3 3" xfId="32204" xr:uid="{00000000-0005-0000-0000-0000CE340000}"/>
    <cellStyle name="20% - Accent5 2 3 2 4" xfId="15253" xr:uid="{00000000-0005-0000-0000-0000CF340000}"/>
    <cellStyle name="20% - Accent5 2 3 2 4 2" xfId="37855" xr:uid="{00000000-0005-0000-0000-0000D0340000}"/>
    <cellStyle name="20% - Accent5 2 3 2 5" xfId="26554" xr:uid="{00000000-0005-0000-0000-0000D1340000}"/>
    <cellStyle name="20% - Accent5 2 3 3" xfId="4596" xr:uid="{00000000-0005-0000-0000-0000D2340000}"/>
    <cellStyle name="20% - Accent5 2 3 3 2" xfId="10246" xr:uid="{00000000-0005-0000-0000-0000D3340000}"/>
    <cellStyle name="20% - Accent5 2 3 3 2 2" xfId="21547" xr:uid="{00000000-0005-0000-0000-0000D4340000}"/>
    <cellStyle name="20% - Accent5 2 3 3 2 2 2" xfId="44149" xr:uid="{00000000-0005-0000-0000-0000D5340000}"/>
    <cellStyle name="20% - Accent5 2 3 3 2 3" xfId="32848" xr:uid="{00000000-0005-0000-0000-0000D6340000}"/>
    <cellStyle name="20% - Accent5 2 3 3 3" xfId="15897" xr:uid="{00000000-0005-0000-0000-0000D7340000}"/>
    <cellStyle name="20% - Accent5 2 3 3 3 2" xfId="38499" xr:uid="{00000000-0005-0000-0000-0000D8340000}"/>
    <cellStyle name="20% - Accent5 2 3 3 4" xfId="27198" xr:uid="{00000000-0005-0000-0000-0000D9340000}"/>
    <cellStyle name="20% - Accent5 2 3 4" xfId="8648" xr:uid="{00000000-0005-0000-0000-0000DA340000}"/>
    <cellStyle name="20% - Accent5 2 3 4 2" xfId="19949" xr:uid="{00000000-0005-0000-0000-0000DB340000}"/>
    <cellStyle name="20% - Accent5 2 3 4 2 2" xfId="42551" xr:uid="{00000000-0005-0000-0000-0000DC340000}"/>
    <cellStyle name="20% - Accent5 2 3 4 3" xfId="31250" xr:uid="{00000000-0005-0000-0000-0000DD340000}"/>
    <cellStyle name="20% - Accent5 2 3 5" xfId="14299" xr:uid="{00000000-0005-0000-0000-0000DE340000}"/>
    <cellStyle name="20% - Accent5 2 3 5 2" xfId="36901" xr:uid="{00000000-0005-0000-0000-0000DF340000}"/>
    <cellStyle name="20% - Accent5 2 3 6" xfId="25600" xr:uid="{00000000-0005-0000-0000-0000E0340000}"/>
    <cellStyle name="20% - Accent5 2 4" xfId="2837" xr:uid="{00000000-0005-0000-0000-0000E1340000}"/>
    <cellStyle name="20% - Accent5 2 5" xfId="3904" xr:uid="{00000000-0005-0000-0000-0000E2340000}"/>
    <cellStyle name="20% - Accent5 2 5 2" xfId="9603" xr:uid="{00000000-0005-0000-0000-0000E3340000}"/>
    <cellStyle name="20% - Accent5 2 5 2 2" xfId="20904" xr:uid="{00000000-0005-0000-0000-0000E4340000}"/>
    <cellStyle name="20% - Accent5 2 5 2 2 2" xfId="43506" xr:uid="{00000000-0005-0000-0000-0000E5340000}"/>
    <cellStyle name="20% - Accent5 2 5 2 3" xfId="32205" xr:uid="{00000000-0005-0000-0000-0000E6340000}"/>
    <cellStyle name="20% - Accent5 2 5 3" xfId="15254" xr:uid="{00000000-0005-0000-0000-0000E7340000}"/>
    <cellStyle name="20% - Accent5 2 5 3 2" xfId="37856" xr:uid="{00000000-0005-0000-0000-0000E8340000}"/>
    <cellStyle name="20% - Accent5 2 5 4" xfId="26555" xr:uid="{00000000-0005-0000-0000-0000E9340000}"/>
    <cellStyle name="20% - Accent5 2 6" xfId="3919" xr:uid="{00000000-0005-0000-0000-0000EA340000}"/>
    <cellStyle name="20% - Accent5 2 7" xfId="157" xr:uid="{00000000-0005-0000-0000-0000EB340000}"/>
    <cellStyle name="20% - Accent5 3" xfId="226" xr:uid="{00000000-0005-0000-0000-0000EC340000}"/>
    <cellStyle name="20% - Accent5 3 2" xfId="351" xr:uid="{00000000-0005-0000-0000-0000ED340000}"/>
    <cellStyle name="20% - Accent5 3 2 10" xfId="23461" xr:uid="{00000000-0005-0000-0000-0000EE340000}"/>
    <cellStyle name="20% - Accent5 3 2 2" xfId="611" xr:uid="{00000000-0005-0000-0000-0000EF340000}"/>
    <cellStyle name="20% - Accent5 3 2 2 2" xfId="1321" xr:uid="{00000000-0005-0000-0000-0000F0340000}"/>
    <cellStyle name="20% - Accent5 3 2 2 2 2" xfId="1728" xr:uid="{00000000-0005-0000-0000-0000F1340000}"/>
    <cellStyle name="20% - Accent5 3 2 2 2 2 2" xfId="3390" xr:uid="{00000000-0005-0000-0000-0000F2340000}"/>
    <cellStyle name="20% - Accent5 3 2 2 2 2 2 2" xfId="6362" xr:uid="{00000000-0005-0000-0000-0000F3340000}"/>
    <cellStyle name="20% - Accent5 3 2 2 2 2 2 2 2" xfId="12012" xr:uid="{00000000-0005-0000-0000-0000F4340000}"/>
    <cellStyle name="20% - Accent5 3 2 2 2 2 2 2 2 2" xfId="23313" xr:uid="{00000000-0005-0000-0000-0000F5340000}"/>
    <cellStyle name="20% - Accent5 3 2 2 2 2 2 2 2 2 2" xfId="45915" xr:uid="{00000000-0005-0000-0000-0000F6340000}"/>
    <cellStyle name="20% - Accent5 3 2 2 2 2 2 2 2 3" xfId="34614" xr:uid="{00000000-0005-0000-0000-0000F7340000}"/>
    <cellStyle name="20% - Accent5 3 2 2 2 2 2 2 3" xfId="17663" xr:uid="{00000000-0005-0000-0000-0000F8340000}"/>
    <cellStyle name="20% - Accent5 3 2 2 2 2 2 2 3 2" xfId="40265" xr:uid="{00000000-0005-0000-0000-0000F9340000}"/>
    <cellStyle name="20% - Accent5 3 2 2 2 2 2 2 4" xfId="28964" xr:uid="{00000000-0005-0000-0000-0000FA340000}"/>
    <cellStyle name="20% - Accent5 3 2 2 2 2 2 3" xfId="9180" xr:uid="{00000000-0005-0000-0000-0000FB340000}"/>
    <cellStyle name="20% - Accent5 3 2 2 2 2 2 3 2" xfId="20481" xr:uid="{00000000-0005-0000-0000-0000FC340000}"/>
    <cellStyle name="20% - Accent5 3 2 2 2 2 2 3 2 2" xfId="43083" xr:uid="{00000000-0005-0000-0000-0000FD340000}"/>
    <cellStyle name="20% - Accent5 3 2 2 2 2 2 3 3" xfId="31782" xr:uid="{00000000-0005-0000-0000-0000FE340000}"/>
    <cellStyle name="20% - Accent5 3 2 2 2 2 2 4" xfId="14831" xr:uid="{00000000-0005-0000-0000-0000FF340000}"/>
    <cellStyle name="20% - Accent5 3 2 2 2 2 2 4 2" xfId="37433" xr:uid="{00000000-0005-0000-0000-000000350000}"/>
    <cellStyle name="20% - Accent5 3 2 2 2 2 2 5" xfId="26132" xr:uid="{00000000-0005-0000-0000-000001350000}"/>
    <cellStyle name="20% - Accent5 3 2 2 2 2 3" xfId="5128" xr:uid="{00000000-0005-0000-0000-000002350000}"/>
    <cellStyle name="20% - Accent5 3 2 2 2 2 3 2" xfId="10778" xr:uid="{00000000-0005-0000-0000-000003350000}"/>
    <cellStyle name="20% - Accent5 3 2 2 2 2 3 2 2" xfId="22079" xr:uid="{00000000-0005-0000-0000-000004350000}"/>
    <cellStyle name="20% - Accent5 3 2 2 2 2 3 2 2 2" xfId="44681" xr:uid="{00000000-0005-0000-0000-000005350000}"/>
    <cellStyle name="20% - Accent5 3 2 2 2 2 3 2 3" xfId="33380" xr:uid="{00000000-0005-0000-0000-000006350000}"/>
    <cellStyle name="20% - Accent5 3 2 2 2 2 3 3" xfId="16429" xr:uid="{00000000-0005-0000-0000-000007350000}"/>
    <cellStyle name="20% - Accent5 3 2 2 2 2 3 3 2" xfId="39031" xr:uid="{00000000-0005-0000-0000-000008350000}"/>
    <cellStyle name="20% - Accent5 3 2 2 2 2 3 4" xfId="27730" xr:uid="{00000000-0005-0000-0000-000009350000}"/>
    <cellStyle name="20% - Accent5 3 2 2 2 2 4" xfId="7584" xr:uid="{00000000-0005-0000-0000-00000A350000}"/>
    <cellStyle name="20% - Accent5 3 2 2 2 2 4 2" xfId="18885" xr:uid="{00000000-0005-0000-0000-00000B350000}"/>
    <cellStyle name="20% - Accent5 3 2 2 2 2 4 2 2" xfId="41487" xr:uid="{00000000-0005-0000-0000-00000C350000}"/>
    <cellStyle name="20% - Accent5 3 2 2 2 2 4 3" xfId="30186" xr:uid="{00000000-0005-0000-0000-00000D350000}"/>
    <cellStyle name="20% - Accent5 3 2 2 2 2 5" xfId="13235" xr:uid="{00000000-0005-0000-0000-00000E350000}"/>
    <cellStyle name="20% - Accent5 3 2 2 2 2 5 2" xfId="35837" xr:uid="{00000000-0005-0000-0000-00000F350000}"/>
    <cellStyle name="20% - Accent5 3 2 2 2 2 6" xfId="24536" xr:uid="{00000000-0005-0000-0000-000010350000}"/>
    <cellStyle name="20% - Accent5 3 2 2 2 3" xfId="2719" xr:uid="{00000000-0005-0000-0000-000011350000}"/>
    <cellStyle name="20% - Accent5 3 2 2 2 3 2" xfId="5738" xr:uid="{00000000-0005-0000-0000-000012350000}"/>
    <cellStyle name="20% - Accent5 3 2 2 2 3 2 2" xfId="11388" xr:uid="{00000000-0005-0000-0000-000013350000}"/>
    <cellStyle name="20% - Accent5 3 2 2 2 3 2 2 2" xfId="22689" xr:uid="{00000000-0005-0000-0000-000014350000}"/>
    <cellStyle name="20% - Accent5 3 2 2 2 3 2 2 2 2" xfId="45291" xr:uid="{00000000-0005-0000-0000-000015350000}"/>
    <cellStyle name="20% - Accent5 3 2 2 2 3 2 2 3" xfId="33990" xr:uid="{00000000-0005-0000-0000-000016350000}"/>
    <cellStyle name="20% - Accent5 3 2 2 2 3 2 3" xfId="17039" xr:uid="{00000000-0005-0000-0000-000017350000}"/>
    <cellStyle name="20% - Accent5 3 2 2 2 3 2 3 2" xfId="39641" xr:uid="{00000000-0005-0000-0000-000018350000}"/>
    <cellStyle name="20% - Accent5 3 2 2 2 3 2 4" xfId="28340" xr:uid="{00000000-0005-0000-0000-000019350000}"/>
    <cellStyle name="20% - Accent5 3 2 2 2 3 3" xfId="8555" xr:uid="{00000000-0005-0000-0000-00001A350000}"/>
    <cellStyle name="20% - Accent5 3 2 2 2 3 3 2" xfId="19856" xr:uid="{00000000-0005-0000-0000-00001B350000}"/>
    <cellStyle name="20% - Accent5 3 2 2 2 3 3 2 2" xfId="42458" xr:uid="{00000000-0005-0000-0000-00001C350000}"/>
    <cellStyle name="20% - Accent5 3 2 2 2 3 3 3" xfId="31157" xr:uid="{00000000-0005-0000-0000-00001D350000}"/>
    <cellStyle name="20% - Accent5 3 2 2 2 3 4" xfId="14206" xr:uid="{00000000-0005-0000-0000-00001E350000}"/>
    <cellStyle name="20% - Accent5 3 2 2 2 3 4 2" xfId="36808" xr:uid="{00000000-0005-0000-0000-00001F350000}"/>
    <cellStyle name="20% - Accent5 3 2 2 2 3 5" xfId="25507" xr:uid="{00000000-0005-0000-0000-000020350000}"/>
    <cellStyle name="20% - Accent5 3 2 2 2 4" xfId="4504" xr:uid="{00000000-0005-0000-0000-000021350000}"/>
    <cellStyle name="20% - Accent5 3 2 2 2 4 2" xfId="10154" xr:uid="{00000000-0005-0000-0000-000022350000}"/>
    <cellStyle name="20% - Accent5 3 2 2 2 4 2 2" xfId="21455" xr:uid="{00000000-0005-0000-0000-000023350000}"/>
    <cellStyle name="20% - Accent5 3 2 2 2 4 2 2 2" xfId="44057" xr:uid="{00000000-0005-0000-0000-000024350000}"/>
    <cellStyle name="20% - Accent5 3 2 2 2 4 2 3" xfId="32756" xr:uid="{00000000-0005-0000-0000-000025350000}"/>
    <cellStyle name="20% - Accent5 3 2 2 2 4 3" xfId="15805" xr:uid="{00000000-0005-0000-0000-000026350000}"/>
    <cellStyle name="20% - Accent5 3 2 2 2 4 3 2" xfId="38407" xr:uid="{00000000-0005-0000-0000-000027350000}"/>
    <cellStyle name="20% - Accent5 3 2 2 2 4 4" xfId="27106" xr:uid="{00000000-0005-0000-0000-000028350000}"/>
    <cellStyle name="20% - Accent5 3 2 2 2 5" xfId="7300" xr:uid="{00000000-0005-0000-0000-000029350000}"/>
    <cellStyle name="20% - Accent5 3 2 2 2 5 2" xfId="18601" xr:uid="{00000000-0005-0000-0000-00002A350000}"/>
    <cellStyle name="20% - Accent5 3 2 2 2 5 2 2" xfId="41203" xr:uid="{00000000-0005-0000-0000-00002B350000}"/>
    <cellStyle name="20% - Accent5 3 2 2 2 5 3" xfId="29902" xr:uid="{00000000-0005-0000-0000-00002C350000}"/>
    <cellStyle name="20% - Accent5 3 2 2 2 6" xfId="12951" xr:uid="{00000000-0005-0000-0000-00002D350000}"/>
    <cellStyle name="20% - Accent5 3 2 2 2 6 2" xfId="35553" xr:uid="{00000000-0005-0000-0000-00002E350000}"/>
    <cellStyle name="20% - Accent5 3 2 2 2 7" xfId="24252" xr:uid="{00000000-0005-0000-0000-00002F350000}"/>
    <cellStyle name="20% - Accent5 3 2 2 3" xfId="1019" xr:uid="{00000000-0005-0000-0000-000030350000}"/>
    <cellStyle name="20% - Accent5 3 2 2 3 2" xfId="3082" xr:uid="{00000000-0005-0000-0000-000031350000}"/>
    <cellStyle name="20% - Accent5 3 2 2 3 2 2" xfId="6054" xr:uid="{00000000-0005-0000-0000-000032350000}"/>
    <cellStyle name="20% - Accent5 3 2 2 3 2 2 2" xfId="11704" xr:uid="{00000000-0005-0000-0000-000033350000}"/>
    <cellStyle name="20% - Accent5 3 2 2 3 2 2 2 2" xfId="23005" xr:uid="{00000000-0005-0000-0000-000034350000}"/>
    <cellStyle name="20% - Accent5 3 2 2 3 2 2 2 2 2" xfId="45607" xr:uid="{00000000-0005-0000-0000-000035350000}"/>
    <cellStyle name="20% - Accent5 3 2 2 3 2 2 2 3" xfId="34306" xr:uid="{00000000-0005-0000-0000-000036350000}"/>
    <cellStyle name="20% - Accent5 3 2 2 3 2 2 3" xfId="17355" xr:uid="{00000000-0005-0000-0000-000037350000}"/>
    <cellStyle name="20% - Accent5 3 2 2 3 2 2 3 2" xfId="39957" xr:uid="{00000000-0005-0000-0000-000038350000}"/>
    <cellStyle name="20% - Accent5 3 2 2 3 2 2 4" xfId="28656" xr:uid="{00000000-0005-0000-0000-000039350000}"/>
    <cellStyle name="20% - Accent5 3 2 2 3 2 3" xfId="8872" xr:uid="{00000000-0005-0000-0000-00003A350000}"/>
    <cellStyle name="20% - Accent5 3 2 2 3 2 3 2" xfId="20173" xr:uid="{00000000-0005-0000-0000-00003B350000}"/>
    <cellStyle name="20% - Accent5 3 2 2 3 2 3 2 2" xfId="42775" xr:uid="{00000000-0005-0000-0000-00003C350000}"/>
    <cellStyle name="20% - Accent5 3 2 2 3 2 3 3" xfId="31474" xr:uid="{00000000-0005-0000-0000-00003D350000}"/>
    <cellStyle name="20% - Accent5 3 2 2 3 2 4" xfId="14523" xr:uid="{00000000-0005-0000-0000-00003E350000}"/>
    <cellStyle name="20% - Accent5 3 2 2 3 2 4 2" xfId="37125" xr:uid="{00000000-0005-0000-0000-00003F350000}"/>
    <cellStyle name="20% - Accent5 3 2 2 3 2 5" xfId="25824" xr:uid="{00000000-0005-0000-0000-000040350000}"/>
    <cellStyle name="20% - Accent5 3 2 2 3 3" xfId="4820" xr:uid="{00000000-0005-0000-0000-000041350000}"/>
    <cellStyle name="20% - Accent5 3 2 2 3 3 2" xfId="10470" xr:uid="{00000000-0005-0000-0000-000042350000}"/>
    <cellStyle name="20% - Accent5 3 2 2 3 3 2 2" xfId="21771" xr:uid="{00000000-0005-0000-0000-000043350000}"/>
    <cellStyle name="20% - Accent5 3 2 2 3 3 2 2 2" xfId="44373" xr:uid="{00000000-0005-0000-0000-000044350000}"/>
    <cellStyle name="20% - Accent5 3 2 2 3 3 2 3" xfId="33072" xr:uid="{00000000-0005-0000-0000-000045350000}"/>
    <cellStyle name="20% - Accent5 3 2 2 3 3 3" xfId="16121" xr:uid="{00000000-0005-0000-0000-000046350000}"/>
    <cellStyle name="20% - Accent5 3 2 2 3 3 3 2" xfId="38723" xr:uid="{00000000-0005-0000-0000-000047350000}"/>
    <cellStyle name="20% - Accent5 3 2 2 3 3 4" xfId="27422" xr:uid="{00000000-0005-0000-0000-000048350000}"/>
    <cellStyle name="20% - Accent5 3 2 2 3 4" xfId="7007" xr:uid="{00000000-0005-0000-0000-000049350000}"/>
    <cellStyle name="20% - Accent5 3 2 2 3 4 2" xfId="18308" xr:uid="{00000000-0005-0000-0000-00004A350000}"/>
    <cellStyle name="20% - Accent5 3 2 2 3 4 2 2" xfId="40910" xr:uid="{00000000-0005-0000-0000-00004B350000}"/>
    <cellStyle name="20% - Accent5 3 2 2 3 4 3" xfId="29609" xr:uid="{00000000-0005-0000-0000-00004C350000}"/>
    <cellStyle name="20% - Accent5 3 2 2 3 5" xfId="12658" xr:uid="{00000000-0005-0000-0000-00004D350000}"/>
    <cellStyle name="20% - Accent5 3 2 2 3 5 2" xfId="35260" xr:uid="{00000000-0005-0000-0000-00004E350000}"/>
    <cellStyle name="20% - Accent5 3 2 2 3 6" xfId="23959" xr:uid="{00000000-0005-0000-0000-00004F350000}"/>
    <cellStyle name="20% - Accent5 3 2 2 4" xfId="1727" xr:uid="{00000000-0005-0000-0000-000050350000}"/>
    <cellStyle name="20% - Accent5 3 2 2 4 2" xfId="3660" xr:uid="{00000000-0005-0000-0000-000051350000}"/>
    <cellStyle name="20% - Accent5 3 2 2 4 2 2" xfId="9372" xr:uid="{00000000-0005-0000-0000-000052350000}"/>
    <cellStyle name="20% - Accent5 3 2 2 4 2 2 2" xfId="20673" xr:uid="{00000000-0005-0000-0000-000053350000}"/>
    <cellStyle name="20% - Accent5 3 2 2 4 2 2 2 2" xfId="43275" xr:uid="{00000000-0005-0000-0000-000054350000}"/>
    <cellStyle name="20% - Accent5 3 2 2 4 2 2 3" xfId="31974" xr:uid="{00000000-0005-0000-0000-000055350000}"/>
    <cellStyle name="20% - Accent5 3 2 2 4 2 3" xfId="15023" xr:uid="{00000000-0005-0000-0000-000056350000}"/>
    <cellStyle name="20% - Accent5 3 2 2 4 2 3 2" xfId="37625" xr:uid="{00000000-0005-0000-0000-000057350000}"/>
    <cellStyle name="20% - Accent5 3 2 2 4 2 4" xfId="26324" xr:uid="{00000000-0005-0000-0000-000058350000}"/>
    <cellStyle name="20% - Accent5 3 2 2 4 3" xfId="5430" xr:uid="{00000000-0005-0000-0000-000059350000}"/>
    <cellStyle name="20% - Accent5 3 2 2 4 3 2" xfId="11080" xr:uid="{00000000-0005-0000-0000-00005A350000}"/>
    <cellStyle name="20% - Accent5 3 2 2 4 3 2 2" xfId="22381" xr:uid="{00000000-0005-0000-0000-00005B350000}"/>
    <cellStyle name="20% - Accent5 3 2 2 4 3 2 2 2" xfId="44983" xr:uid="{00000000-0005-0000-0000-00005C350000}"/>
    <cellStyle name="20% - Accent5 3 2 2 4 3 2 3" xfId="33682" xr:uid="{00000000-0005-0000-0000-00005D350000}"/>
    <cellStyle name="20% - Accent5 3 2 2 4 3 3" xfId="16731" xr:uid="{00000000-0005-0000-0000-00005E350000}"/>
    <cellStyle name="20% - Accent5 3 2 2 4 3 3 2" xfId="39333" xr:uid="{00000000-0005-0000-0000-00005F350000}"/>
    <cellStyle name="20% - Accent5 3 2 2 4 3 4" xfId="28032" xr:uid="{00000000-0005-0000-0000-000060350000}"/>
    <cellStyle name="20% - Accent5 3 2 2 4 4" xfId="7583" xr:uid="{00000000-0005-0000-0000-000061350000}"/>
    <cellStyle name="20% - Accent5 3 2 2 4 4 2" xfId="18884" xr:uid="{00000000-0005-0000-0000-000062350000}"/>
    <cellStyle name="20% - Accent5 3 2 2 4 4 2 2" xfId="41486" xr:uid="{00000000-0005-0000-0000-000063350000}"/>
    <cellStyle name="20% - Accent5 3 2 2 4 4 3" xfId="30185" xr:uid="{00000000-0005-0000-0000-000064350000}"/>
    <cellStyle name="20% - Accent5 3 2 2 4 5" xfId="13234" xr:uid="{00000000-0005-0000-0000-000065350000}"/>
    <cellStyle name="20% - Accent5 3 2 2 4 5 2" xfId="35836" xr:uid="{00000000-0005-0000-0000-000066350000}"/>
    <cellStyle name="20% - Accent5 3 2 2 4 6" xfId="24535" xr:uid="{00000000-0005-0000-0000-000067350000}"/>
    <cellStyle name="20% - Accent5 3 2 2 5" xfId="2411" xr:uid="{00000000-0005-0000-0000-000068350000}"/>
    <cellStyle name="20% - Accent5 3 2 2 5 2" xfId="8247" xr:uid="{00000000-0005-0000-0000-000069350000}"/>
    <cellStyle name="20% - Accent5 3 2 2 5 2 2" xfId="19548" xr:uid="{00000000-0005-0000-0000-00006A350000}"/>
    <cellStyle name="20% - Accent5 3 2 2 5 2 2 2" xfId="42150" xr:uid="{00000000-0005-0000-0000-00006B350000}"/>
    <cellStyle name="20% - Accent5 3 2 2 5 2 3" xfId="30849" xr:uid="{00000000-0005-0000-0000-00006C350000}"/>
    <cellStyle name="20% - Accent5 3 2 2 5 3" xfId="13898" xr:uid="{00000000-0005-0000-0000-00006D350000}"/>
    <cellStyle name="20% - Accent5 3 2 2 5 3 2" xfId="36500" xr:uid="{00000000-0005-0000-0000-00006E350000}"/>
    <cellStyle name="20% - Accent5 3 2 2 5 4" xfId="25199" xr:uid="{00000000-0005-0000-0000-00006F350000}"/>
    <cellStyle name="20% - Accent5 3 2 2 6" xfId="4196" xr:uid="{00000000-0005-0000-0000-000070350000}"/>
    <cellStyle name="20% - Accent5 3 2 2 6 2" xfId="9846" xr:uid="{00000000-0005-0000-0000-000071350000}"/>
    <cellStyle name="20% - Accent5 3 2 2 6 2 2" xfId="21147" xr:uid="{00000000-0005-0000-0000-000072350000}"/>
    <cellStyle name="20% - Accent5 3 2 2 6 2 2 2" xfId="43749" xr:uid="{00000000-0005-0000-0000-000073350000}"/>
    <cellStyle name="20% - Accent5 3 2 2 6 2 3" xfId="32448" xr:uid="{00000000-0005-0000-0000-000074350000}"/>
    <cellStyle name="20% - Accent5 3 2 2 6 3" xfId="15497" xr:uid="{00000000-0005-0000-0000-000075350000}"/>
    <cellStyle name="20% - Accent5 3 2 2 6 3 2" xfId="38099" xr:uid="{00000000-0005-0000-0000-000076350000}"/>
    <cellStyle name="20% - Accent5 3 2 2 6 4" xfId="26798" xr:uid="{00000000-0005-0000-0000-000077350000}"/>
    <cellStyle name="20% - Accent5 3 2 2 7" xfId="6676" xr:uid="{00000000-0005-0000-0000-000078350000}"/>
    <cellStyle name="20% - Accent5 3 2 2 7 2" xfId="17977" xr:uid="{00000000-0005-0000-0000-000079350000}"/>
    <cellStyle name="20% - Accent5 3 2 2 7 2 2" xfId="40579" xr:uid="{00000000-0005-0000-0000-00007A350000}"/>
    <cellStyle name="20% - Accent5 3 2 2 7 3" xfId="29278" xr:uid="{00000000-0005-0000-0000-00007B350000}"/>
    <cellStyle name="20% - Accent5 3 2 2 8" xfId="12327" xr:uid="{00000000-0005-0000-0000-00007C350000}"/>
    <cellStyle name="20% - Accent5 3 2 2 8 2" xfId="34929" xr:uid="{00000000-0005-0000-0000-00007D350000}"/>
    <cellStyle name="20% - Accent5 3 2 2 9" xfId="23628" xr:uid="{00000000-0005-0000-0000-00007E350000}"/>
    <cellStyle name="20% - Accent5 3 2 3" xfId="1183" xr:uid="{00000000-0005-0000-0000-00007F350000}"/>
    <cellStyle name="20% - Accent5 3 2 3 2" xfId="1729" xr:uid="{00000000-0005-0000-0000-000080350000}"/>
    <cellStyle name="20% - Accent5 3 2 3 2 2" xfId="3251" xr:uid="{00000000-0005-0000-0000-000081350000}"/>
    <cellStyle name="20% - Accent5 3 2 3 2 2 2" xfId="6223" xr:uid="{00000000-0005-0000-0000-000082350000}"/>
    <cellStyle name="20% - Accent5 3 2 3 2 2 2 2" xfId="11873" xr:uid="{00000000-0005-0000-0000-000083350000}"/>
    <cellStyle name="20% - Accent5 3 2 3 2 2 2 2 2" xfId="23174" xr:uid="{00000000-0005-0000-0000-000084350000}"/>
    <cellStyle name="20% - Accent5 3 2 3 2 2 2 2 2 2" xfId="45776" xr:uid="{00000000-0005-0000-0000-000085350000}"/>
    <cellStyle name="20% - Accent5 3 2 3 2 2 2 2 3" xfId="34475" xr:uid="{00000000-0005-0000-0000-000086350000}"/>
    <cellStyle name="20% - Accent5 3 2 3 2 2 2 3" xfId="17524" xr:uid="{00000000-0005-0000-0000-000087350000}"/>
    <cellStyle name="20% - Accent5 3 2 3 2 2 2 3 2" xfId="40126" xr:uid="{00000000-0005-0000-0000-000088350000}"/>
    <cellStyle name="20% - Accent5 3 2 3 2 2 2 4" xfId="28825" xr:uid="{00000000-0005-0000-0000-000089350000}"/>
    <cellStyle name="20% - Accent5 3 2 3 2 2 3" xfId="9041" xr:uid="{00000000-0005-0000-0000-00008A350000}"/>
    <cellStyle name="20% - Accent5 3 2 3 2 2 3 2" xfId="20342" xr:uid="{00000000-0005-0000-0000-00008B350000}"/>
    <cellStyle name="20% - Accent5 3 2 3 2 2 3 2 2" xfId="42944" xr:uid="{00000000-0005-0000-0000-00008C350000}"/>
    <cellStyle name="20% - Accent5 3 2 3 2 2 3 3" xfId="31643" xr:uid="{00000000-0005-0000-0000-00008D350000}"/>
    <cellStyle name="20% - Accent5 3 2 3 2 2 4" xfId="14692" xr:uid="{00000000-0005-0000-0000-00008E350000}"/>
    <cellStyle name="20% - Accent5 3 2 3 2 2 4 2" xfId="37294" xr:uid="{00000000-0005-0000-0000-00008F350000}"/>
    <cellStyle name="20% - Accent5 3 2 3 2 2 5" xfId="25993" xr:uid="{00000000-0005-0000-0000-000090350000}"/>
    <cellStyle name="20% - Accent5 3 2 3 2 3" xfId="4989" xr:uid="{00000000-0005-0000-0000-000091350000}"/>
    <cellStyle name="20% - Accent5 3 2 3 2 3 2" xfId="10639" xr:uid="{00000000-0005-0000-0000-000092350000}"/>
    <cellStyle name="20% - Accent5 3 2 3 2 3 2 2" xfId="21940" xr:uid="{00000000-0005-0000-0000-000093350000}"/>
    <cellStyle name="20% - Accent5 3 2 3 2 3 2 2 2" xfId="44542" xr:uid="{00000000-0005-0000-0000-000094350000}"/>
    <cellStyle name="20% - Accent5 3 2 3 2 3 2 3" xfId="33241" xr:uid="{00000000-0005-0000-0000-000095350000}"/>
    <cellStyle name="20% - Accent5 3 2 3 2 3 3" xfId="16290" xr:uid="{00000000-0005-0000-0000-000096350000}"/>
    <cellStyle name="20% - Accent5 3 2 3 2 3 3 2" xfId="38892" xr:uid="{00000000-0005-0000-0000-000097350000}"/>
    <cellStyle name="20% - Accent5 3 2 3 2 3 4" xfId="27591" xr:uid="{00000000-0005-0000-0000-000098350000}"/>
    <cellStyle name="20% - Accent5 3 2 3 2 4" xfId="7585" xr:uid="{00000000-0005-0000-0000-000099350000}"/>
    <cellStyle name="20% - Accent5 3 2 3 2 4 2" xfId="18886" xr:uid="{00000000-0005-0000-0000-00009A350000}"/>
    <cellStyle name="20% - Accent5 3 2 3 2 4 2 2" xfId="41488" xr:uid="{00000000-0005-0000-0000-00009B350000}"/>
    <cellStyle name="20% - Accent5 3 2 3 2 4 3" xfId="30187" xr:uid="{00000000-0005-0000-0000-00009C350000}"/>
    <cellStyle name="20% - Accent5 3 2 3 2 5" xfId="13236" xr:uid="{00000000-0005-0000-0000-00009D350000}"/>
    <cellStyle name="20% - Accent5 3 2 3 2 5 2" xfId="35838" xr:uid="{00000000-0005-0000-0000-00009E350000}"/>
    <cellStyle name="20% - Accent5 3 2 3 2 6" xfId="24537" xr:uid="{00000000-0005-0000-0000-00009F350000}"/>
    <cellStyle name="20% - Accent5 3 2 3 3" xfId="2580" xr:uid="{00000000-0005-0000-0000-0000A0350000}"/>
    <cellStyle name="20% - Accent5 3 2 3 3 2" xfId="5599" xr:uid="{00000000-0005-0000-0000-0000A1350000}"/>
    <cellStyle name="20% - Accent5 3 2 3 3 2 2" xfId="11249" xr:uid="{00000000-0005-0000-0000-0000A2350000}"/>
    <cellStyle name="20% - Accent5 3 2 3 3 2 2 2" xfId="22550" xr:uid="{00000000-0005-0000-0000-0000A3350000}"/>
    <cellStyle name="20% - Accent5 3 2 3 3 2 2 2 2" xfId="45152" xr:uid="{00000000-0005-0000-0000-0000A4350000}"/>
    <cellStyle name="20% - Accent5 3 2 3 3 2 2 3" xfId="33851" xr:uid="{00000000-0005-0000-0000-0000A5350000}"/>
    <cellStyle name="20% - Accent5 3 2 3 3 2 3" xfId="16900" xr:uid="{00000000-0005-0000-0000-0000A6350000}"/>
    <cellStyle name="20% - Accent5 3 2 3 3 2 3 2" xfId="39502" xr:uid="{00000000-0005-0000-0000-0000A7350000}"/>
    <cellStyle name="20% - Accent5 3 2 3 3 2 4" xfId="28201" xr:uid="{00000000-0005-0000-0000-0000A8350000}"/>
    <cellStyle name="20% - Accent5 3 2 3 3 3" xfId="8416" xr:uid="{00000000-0005-0000-0000-0000A9350000}"/>
    <cellStyle name="20% - Accent5 3 2 3 3 3 2" xfId="19717" xr:uid="{00000000-0005-0000-0000-0000AA350000}"/>
    <cellStyle name="20% - Accent5 3 2 3 3 3 2 2" xfId="42319" xr:uid="{00000000-0005-0000-0000-0000AB350000}"/>
    <cellStyle name="20% - Accent5 3 2 3 3 3 3" xfId="31018" xr:uid="{00000000-0005-0000-0000-0000AC350000}"/>
    <cellStyle name="20% - Accent5 3 2 3 3 4" xfId="14067" xr:uid="{00000000-0005-0000-0000-0000AD350000}"/>
    <cellStyle name="20% - Accent5 3 2 3 3 4 2" xfId="36669" xr:uid="{00000000-0005-0000-0000-0000AE350000}"/>
    <cellStyle name="20% - Accent5 3 2 3 3 5" xfId="25368" xr:uid="{00000000-0005-0000-0000-0000AF350000}"/>
    <cellStyle name="20% - Accent5 3 2 3 4" xfId="4365" xr:uid="{00000000-0005-0000-0000-0000B0350000}"/>
    <cellStyle name="20% - Accent5 3 2 3 4 2" xfId="10015" xr:uid="{00000000-0005-0000-0000-0000B1350000}"/>
    <cellStyle name="20% - Accent5 3 2 3 4 2 2" xfId="21316" xr:uid="{00000000-0005-0000-0000-0000B2350000}"/>
    <cellStyle name="20% - Accent5 3 2 3 4 2 2 2" xfId="43918" xr:uid="{00000000-0005-0000-0000-0000B3350000}"/>
    <cellStyle name="20% - Accent5 3 2 3 4 2 3" xfId="32617" xr:uid="{00000000-0005-0000-0000-0000B4350000}"/>
    <cellStyle name="20% - Accent5 3 2 3 4 3" xfId="15666" xr:uid="{00000000-0005-0000-0000-0000B5350000}"/>
    <cellStyle name="20% - Accent5 3 2 3 4 3 2" xfId="38268" xr:uid="{00000000-0005-0000-0000-0000B6350000}"/>
    <cellStyle name="20% - Accent5 3 2 3 4 4" xfId="26967" xr:uid="{00000000-0005-0000-0000-0000B7350000}"/>
    <cellStyle name="20% - Accent5 3 2 3 5" xfId="7162" xr:uid="{00000000-0005-0000-0000-0000B8350000}"/>
    <cellStyle name="20% - Accent5 3 2 3 5 2" xfId="18463" xr:uid="{00000000-0005-0000-0000-0000B9350000}"/>
    <cellStyle name="20% - Accent5 3 2 3 5 2 2" xfId="41065" xr:uid="{00000000-0005-0000-0000-0000BA350000}"/>
    <cellStyle name="20% - Accent5 3 2 3 5 3" xfId="29764" xr:uid="{00000000-0005-0000-0000-0000BB350000}"/>
    <cellStyle name="20% - Accent5 3 2 3 6" xfId="12813" xr:uid="{00000000-0005-0000-0000-0000BC350000}"/>
    <cellStyle name="20% - Accent5 3 2 3 6 2" xfId="35415" xr:uid="{00000000-0005-0000-0000-0000BD350000}"/>
    <cellStyle name="20% - Accent5 3 2 3 7" xfId="24114" xr:uid="{00000000-0005-0000-0000-0000BE350000}"/>
    <cellStyle name="20% - Accent5 3 2 4" xfId="872" xr:uid="{00000000-0005-0000-0000-0000BF350000}"/>
    <cellStyle name="20% - Accent5 3 2 4 2" xfId="2944" xr:uid="{00000000-0005-0000-0000-0000C0350000}"/>
    <cellStyle name="20% - Accent5 3 2 4 2 2" xfId="5916" xr:uid="{00000000-0005-0000-0000-0000C1350000}"/>
    <cellStyle name="20% - Accent5 3 2 4 2 2 2" xfId="11566" xr:uid="{00000000-0005-0000-0000-0000C2350000}"/>
    <cellStyle name="20% - Accent5 3 2 4 2 2 2 2" xfId="22867" xr:uid="{00000000-0005-0000-0000-0000C3350000}"/>
    <cellStyle name="20% - Accent5 3 2 4 2 2 2 2 2" xfId="45469" xr:uid="{00000000-0005-0000-0000-0000C4350000}"/>
    <cellStyle name="20% - Accent5 3 2 4 2 2 2 3" xfId="34168" xr:uid="{00000000-0005-0000-0000-0000C5350000}"/>
    <cellStyle name="20% - Accent5 3 2 4 2 2 3" xfId="17217" xr:uid="{00000000-0005-0000-0000-0000C6350000}"/>
    <cellStyle name="20% - Accent5 3 2 4 2 2 3 2" xfId="39819" xr:uid="{00000000-0005-0000-0000-0000C7350000}"/>
    <cellStyle name="20% - Accent5 3 2 4 2 2 4" xfId="28518" xr:uid="{00000000-0005-0000-0000-0000C8350000}"/>
    <cellStyle name="20% - Accent5 3 2 4 2 3" xfId="8734" xr:uid="{00000000-0005-0000-0000-0000C9350000}"/>
    <cellStyle name="20% - Accent5 3 2 4 2 3 2" xfId="20035" xr:uid="{00000000-0005-0000-0000-0000CA350000}"/>
    <cellStyle name="20% - Accent5 3 2 4 2 3 2 2" xfId="42637" xr:uid="{00000000-0005-0000-0000-0000CB350000}"/>
    <cellStyle name="20% - Accent5 3 2 4 2 3 3" xfId="31336" xr:uid="{00000000-0005-0000-0000-0000CC350000}"/>
    <cellStyle name="20% - Accent5 3 2 4 2 4" xfId="14385" xr:uid="{00000000-0005-0000-0000-0000CD350000}"/>
    <cellStyle name="20% - Accent5 3 2 4 2 4 2" xfId="36987" xr:uid="{00000000-0005-0000-0000-0000CE350000}"/>
    <cellStyle name="20% - Accent5 3 2 4 2 5" xfId="25686" xr:uid="{00000000-0005-0000-0000-0000CF350000}"/>
    <cellStyle name="20% - Accent5 3 2 4 3" xfId="4682" xr:uid="{00000000-0005-0000-0000-0000D0350000}"/>
    <cellStyle name="20% - Accent5 3 2 4 3 2" xfId="10332" xr:uid="{00000000-0005-0000-0000-0000D1350000}"/>
    <cellStyle name="20% - Accent5 3 2 4 3 2 2" xfId="21633" xr:uid="{00000000-0005-0000-0000-0000D2350000}"/>
    <cellStyle name="20% - Accent5 3 2 4 3 2 2 2" xfId="44235" xr:uid="{00000000-0005-0000-0000-0000D3350000}"/>
    <cellStyle name="20% - Accent5 3 2 4 3 2 3" xfId="32934" xr:uid="{00000000-0005-0000-0000-0000D4350000}"/>
    <cellStyle name="20% - Accent5 3 2 4 3 3" xfId="15983" xr:uid="{00000000-0005-0000-0000-0000D5350000}"/>
    <cellStyle name="20% - Accent5 3 2 4 3 3 2" xfId="38585" xr:uid="{00000000-0005-0000-0000-0000D6350000}"/>
    <cellStyle name="20% - Accent5 3 2 4 3 4" xfId="27284" xr:uid="{00000000-0005-0000-0000-0000D7350000}"/>
    <cellStyle name="20% - Accent5 3 2 4 4" xfId="6869" xr:uid="{00000000-0005-0000-0000-0000D8350000}"/>
    <cellStyle name="20% - Accent5 3 2 4 4 2" xfId="18170" xr:uid="{00000000-0005-0000-0000-0000D9350000}"/>
    <cellStyle name="20% - Accent5 3 2 4 4 2 2" xfId="40772" xr:uid="{00000000-0005-0000-0000-0000DA350000}"/>
    <cellStyle name="20% - Accent5 3 2 4 4 3" xfId="29471" xr:uid="{00000000-0005-0000-0000-0000DB350000}"/>
    <cellStyle name="20% - Accent5 3 2 4 5" xfId="12520" xr:uid="{00000000-0005-0000-0000-0000DC350000}"/>
    <cellStyle name="20% - Accent5 3 2 4 5 2" xfId="35122" xr:uid="{00000000-0005-0000-0000-0000DD350000}"/>
    <cellStyle name="20% - Accent5 3 2 4 6" xfId="23821" xr:uid="{00000000-0005-0000-0000-0000DE350000}"/>
    <cellStyle name="20% - Accent5 3 2 5" xfId="1726" xr:uid="{00000000-0005-0000-0000-0000DF350000}"/>
    <cellStyle name="20% - Accent5 3 2 5 2" xfId="3659" xr:uid="{00000000-0005-0000-0000-0000E0350000}"/>
    <cellStyle name="20% - Accent5 3 2 5 2 2" xfId="9371" xr:uid="{00000000-0005-0000-0000-0000E1350000}"/>
    <cellStyle name="20% - Accent5 3 2 5 2 2 2" xfId="20672" xr:uid="{00000000-0005-0000-0000-0000E2350000}"/>
    <cellStyle name="20% - Accent5 3 2 5 2 2 2 2" xfId="43274" xr:uid="{00000000-0005-0000-0000-0000E3350000}"/>
    <cellStyle name="20% - Accent5 3 2 5 2 2 3" xfId="31973" xr:uid="{00000000-0005-0000-0000-0000E4350000}"/>
    <cellStyle name="20% - Accent5 3 2 5 2 3" xfId="15022" xr:uid="{00000000-0005-0000-0000-0000E5350000}"/>
    <cellStyle name="20% - Accent5 3 2 5 2 3 2" xfId="37624" xr:uid="{00000000-0005-0000-0000-0000E6350000}"/>
    <cellStyle name="20% - Accent5 3 2 5 2 4" xfId="26323" xr:uid="{00000000-0005-0000-0000-0000E7350000}"/>
    <cellStyle name="20% - Accent5 3 2 5 3" xfId="5292" xr:uid="{00000000-0005-0000-0000-0000E8350000}"/>
    <cellStyle name="20% - Accent5 3 2 5 3 2" xfId="10942" xr:uid="{00000000-0005-0000-0000-0000E9350000}"/>
    <cellStyle name="20% - Accent5 3 2 5 3 2 2" xfId="22243" xr:uid="{00000000-0005-0000-0000-0000EA350000}"/>
    <cellStyle name="20% - Accent5 3 2 5 3 2 2 2" xfId="44845" xr:uid="{00000000-0005-0000-0000-0000EB350000}"/>
    <cellStyle name="20% - Accent5 3 2 5 3 2 3" xfId="33544" xr:uid="{00000000-0005-0000-0000-0000EC350000}"/>
    <cellStyle name="20% - Accent5 3 2 5 3 3" xfId="16593" xr:uid="{00000000-0005-0000-0000-0000ED350000}"/>
    <cellStyle name="20% - Accent5 3 2 5 3 3 2" xfId="39195" xr:uid="{00000000-0005-0000-0000-0000EE350000}"/>
    <cellStyle name="20% - Accent5 3 2 5 3 4" xfId="27894" xr:uid="{00000000-0005-0000-0000-0000EF350000}"/>
    <cellStyle name="20% - Accent5 3 2 5 4" xfId="7582" xr:uid="{00000000-0005-0000-0000-0000F0350000}"/>
    <cellStyle name="20% - Accent5 3 2 5 4 2" xfId="18883" xr:uid="{00000000-0005-0000-0000-0000F1350000}"/>
    <cellStyle name="20% - Accent5 3 2 5 4 2 2" xfId="41485" xr:uid="{00000000-0005-0000-0000-0000F2350000}"/>
    <cellStyle name="20% - Accent5 3 2 5 4 3" xfId="30184" xr:uid="{00000000-0005-0000-0000-0000F3350000}"/>
    <cellStyle name="20% - Accent5 3 2 5 5" xfId="13233" xr:uid="{00000000-0005-0000-0000-0000F4350000}"/>
    <cellStyle name="20% - Accent5 3 2 5 5 2" xfId="35835" xr:uid="{00000000-0005-0000-0000-0000F5350000}"/>
    <cellStyle name="20% - Accent5 3 2 5 6" xfId="24534" xr:uid="{00000000-0005-0000-0000-0000F6350000}"/>
    <cellStyle name="20% - Accent5 3 2 6" xfId="2270" xr:uid="{00000000-0005-0000-0000-0000F7350000}"/>
    <cellStyle name="20% - Accent5 3 2 6 2" xfId="8106" xr:uid="{00000000-0005-0000-0000-0000F8350000}"/>
    <cellStyle name="20% - Accent5 3 2 6 2 2" xfId="19407" xr:uid="{00000000-0005-0000-0000-0000F9350000}"/>
    <cellStyle name="20% - Accent5 3 2 6 2 2 2" xfId="42009" xr:uid="{00000000-0005-0000-0000-0000FA350000}"/>
    <cellStyle name="20% - Accent5 3 2 6 2 3" xfId="30708" xr:uid="{00000000-0005-0000-0000-0000FB350000}"/>
    <cellStyle name="20% - Accent5 3 2 6 3" xfId="13757" xr:uid="{00000000-0005-0000-0000-0000FC350000}"/>
    <cellStyle name="20% - Accent5 3 2 6 3 2" xfId="36359" xr:uid="{00000000-0005-0000-0000-0000FD350000}"/>
    <cellStyle name="20% - Accent5 3 2 6 4" xfId="25058" xr:uid="{00000000-0005-0000-0000-0000FE350000}"/>
    <cellStyle name="20% - Accent5 3 2 7" xfId="4058" xr:uid="{00000000-0005-0000-0000-0000FF350000}"/>
    <cellStyle name="20% - Accent5 3 2 7 2" xfId="9708" xr:uid="{00000000-0005-0000-0000-000000360000}"/>
    <cellStyle name="20% - Accent5 3 2 7 2 2" xfId="21009" xr:uid="{00000000-0005-0000-0000-000001360000}"/>
    <cellStyle name="20% - Accent5 3 2 7 2 2 2" xfId="43611" xr:uid="{00000000-0005-0000-0000-000002360000}"/>
    <cellStyle name="20% - Accent5 3 2 7 2 3" xfId="32310" xr:uid="{00000000-0005-0000-0000-000003360000}"/>
    <cellStyle name="20% - Accent5 3 2 7 3" xfId="15359" xr:uid="{00000000-0005-0000-0000-000004360000}"/>
    <cellStyle name="20% - Accent5 3 2 7 3 2" xfId="37961" xr:uid="{00000000-0005-0000-0000-000005360000}"/>
    <cellStyle name="20% - Accent5 3 2 7 4" xfId="26660" xr:uid="{00000000-0005-0000-0000-000006360000}"/>
    <cellStyle name="20% - Accent5 3 2 8" xfId="6509" xr:uid="{00000000-0005-0000-0000-000007360000}"/>
    <cellStyle name="20% - Accent5 3 2 8 2" xfId="17810" xr:uid="{00000000-0005-0000-0000-000008360000}"/>
    <cellStyle name="20% - Accent5 3 2 8 2 2" xfId="40412" xr:uid="{00000000-0005-0000-0000-000009360000}"/>
    <cellStyle name="20% - Accent5 3 2 8 3" xfId="29111" xr:uid="{00000000-0005-0000-0000-00000A360000}"/>
    <cellStyle name="20% - Accent5 3 2 9" xfId="12160" xr:uid="{00000000-0005-0000-0000-00000B360000}"/>
    <cellStyle name="20% - Accent5 3 2 9 2" xfId="34762" xr:uid="{00000000-0005-0000-0000-00000C360000}"/>
    <cellStyle name="20% - Accent5 3 3" xfId="415" xr:uid="{00000000-0005-0000-0000-00000D360000}"/>
    <cellStyle name="20% - Accent5 3 3 10" xfId="23510" xr:uid="{00000000-0005-0000-0000-00000E360000}"/>
    <cellStyle name="20% - Accent5 3 3 2" xfId="660" xr:uid="{00000000-0005-0000-0000-00000F360000}"/>
    <cellStyle name="20% - Accent5 3 3 2 2" xfId="1370" xr:uid="{00000000-0005-0000-0000-000010360000}"/>
    <cellStyle name="20% - Accent5 3 3 2 2 2" xfId="1732" xr:uid="{00000000-0005-0000-0000-000011360000}"/>
    <cellStyle name="20% - Accent5 3 3 2 2 2 2" xfId="3439" xr:uid="{00000000-0005-0000-0000-000012360000}"/>
    <cellStyle name="20% - Accent5 3 3 2 2 2 2 2" xfId="6411" xr:uid="{00000000-0005-0000-0000-000013360000}"/>
    <cellStyle name="20% - Accent5 3 3 2 2 2 2 2 2" xfId="12061" xr:uid="{00000000-0005-0000-0000-000014360000}"/>
    <cellStyle name="20% - Accent5 3 3 2 2 2 2 2 2 2" xfId="23362" xr:uid="{00000000-0005-0000-0000-000015360000}"/>
    <cellStyle name="20% - Accent5 3 3 2 2 2 2 2 2 2 2" xfId="45964" xr:uid="{00000000-0005-0000-0000-000016360000}"/>
    <cellStyle name="20% - Accent5 3 3 2 2 2 2 2 2 3" xfId="34663" xr:uid="{00000000-0005-0000-0000-000017360000}"/>
    <cellStyle name="20% - Accent5 3 3 2 2 2 2 2 3" xfId="17712" xr:uid="{00000000-0005-0000-0000-000018360000}"/>
    <cellStyle name="20% - Accent5 3 3 2 2 2 2 2 3 2" xfId="40314" xr:uid="{00000000-0005-0000-0000-000019360000}"/>
    <cellStyle name="20% - Accent5 3 3 2 2 2 2 2 4" xfId="29013" xr:uid="{00000000-0005-0000-0000-00001A360000}"/>
    <cellStyle name="20% - Accent5 3 3 2 2 2 2 3" xfId="9229" xr:uid="{00000000-0005-0000-0000-00001B360000}"/>
    <cellStyle name="20% - Accent5 3 3 2 2 2 2 3 2" xfId="20530" xr:uid="{00000000-0005-0000-0000-00001C360000}"/>
    <cellStyle name="20% - Accent5 3 3 2 2 2 2 3 2 2" xfId="43132" xr:uid="{00000000-0005-0000-0000-00001D360000}"/>
    <cellStyle name="20% - Accent5 3 3 2 2 2 2 3 3" xfId="31831" xr:uid="{00000000-0005-0000-0000-00001E360000}"/>
    <cellStyle name="20% - Accent5 3 3 2 2 2 2 4" xfId="14880" xr:uid="{00000000-0005-0000-0000-00001F360000}"/>
    <cellStyle name="20% - Accent5 3 3 2 2 2 2 4 2" xfId="37482" xr:uid="{00000000-0005-0000-0000-000020360000}"/>
    <cellStyle name="20% - Accent5 3 3 2 2 2 2 5" xfId="26181" xr:uid="{00000000-0005-0000-0000-000021360000}"/>
    <cellStyle name="20% - Accent5 3 3 2 2 2 3" xfId="5177" xr:uid="{00000000-0005-0000-0000-000022360000}"/>
    <cellStyle name="20% - Accent5 3 3 2 2 2 3 2" xfId="10827" xr:uid="{00000000-0005-0000-0000-000023360000}"/>
    <cellStyle name="20% - Accent5 3 3 2 2 2 3 2 2" xfId="22128" xr:uid="{00000000-0005-0000-0000-000024360000}"/>
    <cellStyle name="20% - Accent5 3 3 2 2 2 3 2 2 2" xfId="44730" xr:uid="{00000000-0005-0000-0000-000025360000}"/>
    <cellStyle name="20% - Accent5 3 3 2 2 2 3 2 3" xfId="33429" xr:uid="{00000000-0005-0000-0000-000026360000}"/>
    <cellStyle name="20% - Accent5 3 3 2 2 2 3 3" xfId="16478" xr:uid="{00000000-0005-0000-0000-000027360000}"/>
    <cellStyle name="20% - Accent5 3 3 2 2 2 3 3 2" xfId="39080" xr:uid="{00000000-0005-0000-0000-000028360000}"/>
    <cellStyle name="20% - Accent5 3 3 2 2 2 3 4" xfId="27779" xr:uid="{00000000-0005-0000-0000-000029360000}"/>
    <cellStyle name="20% - Accent5 3 3 2 2 2 4" xfId="7588" xr:uid="{00000000-0005-0000-0000-00002A360000}"/>
    <cellStyle name="20% - Accent5 3 3 2 2 2 4 2" xfId="18889" xr:uid="{00000000-0005-0000-0000-00002B360000}"/>
    <cellStyle name="20% - Accent5 3 3 2 2 2 4 2 2" xfId="41491" xr:uid="{00000000-0005-0000-0000-00002C360000}"/>
    <cellStyle name="20% - Accent5 3 3 2 2 2 4 3" xfId="30190" xr:uid="{00000000-0005-0000-0000-00002D360000}"/>
    <cellStyle name="20% - Accent5 3 3 2 2 2 5" xfId="13239" xr:uid="{00000000-0005-0000-0000-00002E360000}"/>
    <cellStyle name="20% - Accent5 3 3 2 2 2 5 2" xfId="35841" xr:uid="{00000000-0005-0000-0000-00002F360000}"/>
    <cellStyle name="20% - Accent5 3 3 2 2 2 6" xfId="24540" xr:uid="{00000000-0005-0000-0000-000030360000}"/>
    <cellStyle name="20% - Accent5 3 3 2 2 3" xfId="2768" xr:uid="{00000000-0005-0000-0000-000031360000}"/>
    <cellStyle name="20% - Accent5 3 3 2 2 3 2" xfId="5787" xr:uid="{00000000-0005-0000-0000-000032360000}"/>
    <cellStyle name="20% - Accent5 3 3 2 2 3 2 2" xfId="11437" xr:uid="{00000000-0005-0000-0000-000033360000}"/>
    <cellStyle name="20% - Accent5 3 3 2 2 3 2 2 2" xfId="22738" xr:uid="{00000000-0005-0000-0000-000034360000}"/>
    <cellStyle name="20% - Accent5 3 3 2 2 3 2 2 2 2" xfId="45340" xr:uid="{00000000-0005-0000-0000-000035360000}"/>
    <cellStyle name="20% - Accent5 3 3 2 2 3 2 2 3" xfId="34039" xr:uid="{00000000-0005-0000-0000-000036360000}"/>
    <cellStyle name="20% - Accent5 3 3 2 2 3 2 3" xfId="17088" xr:uid="{00000000-0005-0000-0000-000037360000}"/>
    <cellStyle name="20% - Accent5 3 3 2 2 3 2 3 2" xfId="39690" xr:uid="{00000000-0005-0000-0000-000038360000}"/>
    <cellStyle name="20% - Accent5 3 3 2 2 3 2 4" xfId="28389" xr:uid="{00000000-0005-0000-0000-000039360000}"/>
    <cellStyle name="20% - Accent5 3 3 2 2 3 3" xfId="8604" xr:uid="{00000000-0005-0000-0000-00003A360000}"/>
    <cellStyle name="20% - Accent5 3 3 2 2 3 3 2" xfId="19905" xr:uid="{00000000-0005-0000-0000-00003B360000}"/>
    <cellStyle name="20% - Accent5 3 3 2 2 3 3 2 2" xfId="42507" xr:uid="{00000000-0005-0000-0000-00003C360000}"/>
    <cellStyle name="20% - Accent5 3 3 2 2 3 3 3" xfId="31206" xr:uid="{00000000-0005-0000-0000-00003D360000}"/>
    <cellStyle name="20% - Accent5 3 3 2 2 3 4" xfId="14255" xr:uid="{00000000-0005-0000-0000-00003E360000}"/>
    <cellStyle name="20% - Accent5 3 3 2 2 3 4 2" xfId="36857" xr:uid="{00000000-0005-0000-0000-00003F360000}"/>
    <cellStyle name="20% - Accent5 3 3 2 2 3 5" xfId="25556" xr:uid="{00000000-0005-0000-0000-000040360000}"/>
    <cellStyle name="20% - Accent5 3 3 2 2 4" xfId="4553" xr:uid="{00000000-0005-0000-0000-000041360000}"/>
    <cellStyle name="20% - Accent5 3 3 2 2 4 2" xfId="10203" xr:uid="{00000000-0005-0000-0000-000042360000}"/>
    <cellStyle name="20% - Accent5 3 3 2 2 4 2 2" xfId="21504" xr:uid="{00000000-0005-0000-0000-000043360000}"/>
    <cellStyle name="20% - Accent5 3 3 2 2 4 2 2 2" xfId="44106" xr:uid="{00000000-0005-0000-0000-000044360000}"/>
    <cellStyle name="20% - Accent5 3 3 2 2 4 2 3" xfId="32805" xr:uid="{00000000-0005-0000-0000-000045360000}"/>
    <cellStyle name="20% - Accent5 3 3 2 2 4 3" xfId="15854" xr:uid="{00000000-0005-0000-0000-000046360000}"/>
    <cellStyle name="20% - Accent5 3 3 2 2 4 3 2" xfId="38456" xr:uid="{00000000-0005-0000-0000-000047360000}"/>
    <cellStyle name="20% - Accent5 3 3 2 2 4 4" xfId="27155" xr:uid="{00000000-0005-0000-0000-000048360000}"/>
    <cellStyle name="20% - Accent5 3 3 2 2 5" xfId="7349" xr:uid="{00000000-0005-0000-0000-000049360000}"/>
    <cellStyle name="20% - Accent5 3 3 2 2 5 2" xfId="18650" xr:uid="{00000000-0005-0000-0000-00004A360000}"/>
    <cellStyle name="20% - Accent5 3 3 2 2 5 2 2" xfId="41252" xr:uid="{00000000-0005-0000-0000-00004B360000}"/>
    <cellStyle name="20% - Accent5 3 3 2 2 5 3" xfId="29951" xr:uid="{00000000-0005-0000-0000-00004C360000}"/>
    <cellStyle name="20% - Accent5 3 3 2 2 6" xfId="13000" xr:uid="{00000000-0005-0000-0000-00004D360000}"/>
    <cellStyle name="20% - Accent5 3 3 2 2 6 2" xfId="35602" xr:uid="{00000000-0005-0000-0000-00004E360000}"/>
    <cellStyle name="20% - Accent5 3 3 2 2 7" xfId="24301" xr:uid="{00000000-0005-0000-0000-00004F360000}"/>
    <cellStyle name="20% - Accent5 3 3 2 3" xfId="1068" xr:uid="{00000000-0005-0000-0000-000050360000}"/>
    <cellStyle name="20% - Accent5 3 3 2 3 2" xfId="3131" xr:uid="{00000000-0005-0000-0000-000051360000}"/>
    <cellStyle name="20% - Accent5 3 3 2 3 2 2" xfId="6103" xr:uid="{00000000-0005-0000-0000-000052360000}"/>
    <cellStyle name="20% - Accent5 3 3 2 3 2 2 2" xfId="11753" xr:uid="{00000000-0005-0000-0000-000053360000}"/>
    <cellStyle name="20% - Accent5 3 3 2 3 2 2 2 2" xfId="23054" xr:uid="{00000000-0005-0000-0000-000054360000}"/>
    <cellStyle name="20% - Accent5 3 3 2 3 2 2 2 2 2" xfId="45656" xr:uid="{00000000-0005-0000-0000-000055360000}"/>
    <cellStyle name="20% - Accent5 3 3 2 3 2 2 2 3" xfId="34355" xr:uid="{00000000-0005-0000-0000-000056360000}"/>
    <cellStyle name="20% - Accent5 3 3 2 3 2 2 3" xfId="17404" xr:uid="{00000000-0005-0000-0000-000057360000}"/>
    <cellStyle name="20% - Accent5 3 3 2 3 2 2 3 2" xfId="40006" xr:uid="{00000000-0005-0000-0000-000058360000}"/>
    <cellStyle name="20% - Accent5 3 3 2 3 2 2 4" xfId="28705" xr:uid="{00000000-0005-0000-0000-000059360000}"/>
    <cellStyle name="20% - Accent5 3 3 2 3 2 3" xfId="8921" xr:uid="{00000000-0005-0000-0000-00005A360000}"/>
    <cellStyle name="20% - Accent5 3 3 2 3 2 3 2" xfId="20222" xr:uid="{00000000-0005-0000-0000-00005B360000}"/>
    <cellStyle name="20% - Accent5 3 3 2 3 2 3 2 2" xfId="42824" xr:uid="{00000000-0005-0000-0000-00005C360000}"/>
    <cellStyle name="20% - Accent5 3 3 2 3 2 3 3" xfId="31523" xr:uid="{00000000-0005-0000-0000-00005D360000}"/>
    <cellStyle name="20% - Accent5 3 3 2 3 2 4" xfId="14572" xr:uid="{00000000-0005-0000-0000-00005E360000}"/>
    <cellStyle name="20% - Accent5 3 3 2 3 2 4 2" xfId="37174" xr:uid="{00000000-0005-0000-0000-00005F360000}"/>
    <cellStyle name="20% - Accent5 3 3 2 3 2 5" xfId="25873" xr:uid="{00000000-0005-0000-0000-000060360000}"/>
    <cellStyle name="20% - Accent5 3 3 2 3 3" xfId="4869" xr:uid="{00000000-0005-0000-0000-000061360000}"/>
    <cellStyle name="20% - Accent5 3 3 2 3 3 2" xfId="10519" xr:uid="{00000000-0005-0000-0000-000062360000}"/>
    <cellStyle name="20% - Accent5 3 3 2 3 3 2 2" xfId="21820" xr:uid="{00000000-0005-0000-0000-000063360000}"/>
    <cellStyle name="20% - Accent5 3 3 2 3 3 2 2 2" xfId="44422" xr:uid="{00000000-0005-0000-0000-000064360000}"/>
    <cellStyle name="20% - Accent5 3 3 2 3 3 2 3" xfId="33121" xr:uid="{00000000-0005-0000-0000-000065360000}"/>
    <cellStyle name="20% - Accent5 3 3 2 3 3 3" xfId="16170" xr:uid="{00000000-0005-0000-0000-000066360000}"/>
    <cellStyle name="20% - Accent5 3 3 2 3 3 3 2" xfId="38772" xr:uid="{00000000-0005-0000-0000-000067360000}"/>
    <cellStyle name="20% - Accent5 3 3 2 3 3 4" xfId="27471" xr:uid="{00000000-0005-0000-0000-000068360000}"/>
    <cellStyle name="20% - Accent5 3 3 2 3 4" xfId="7056" xr:uid="{00000000-0005-0000-0000-000069360000}"/>
    <cellStyle name="20% - Accent5 3 3 2 3 4 2" xfId="18357" xr:uid="{00000000-0005-0000-0000-00006A360000}"/>
    <cellStyle name="20% - Accent5 3 3 2 3 4 2 2" xfId="40959" xr:uid="{00000000-0005-0000-0000-00006B360000}"/>
    <cellStyle name="20% - Accent5 3 3 2 3 4 3" xfId="29658" xr:uid="{00000000-0005-0000-0000-00006C360000}"/>
    <cellStyle name="20% - Accent5 3 3 2 3 5" xfId="12707" xr:uid="{00000000-0005-0000-0000-00006D360000}"/>
    <cellStyle name="20% - Accent5 3 3 2 3 5 2" xfId="35309" xr:uid="{00000000-0005-0000-0000-00006E360000}"/>
    <cellStyle name="20% - Accent5 3 3 2 3 6" xfId="24008" xr:uid="{00000000-0005-0000-0000-00006F360000}"/>
    <cellStyle name="20% - Accent5 3 3 2 4" xfId="1731" xr:uid="{00000000-0005-0000-0000-000070360000}"/>
    <cellStyle name="20% - Accent5 3 3 2 4 2" xfId="3662" xr:uid="{00000000-0005-0000-0000-000071360000}"/>
    <cellStyle name="20% - Accent5 3 3 2 4 2 2" xfId="9374" xr:uid="{00000000-0005-0000-0000-000072360000}"/>
    <cellStyle name="20% - Accent5 3 3 2 4 2 2 2" xfId="20675" xr:uid="{00000000-0005-0000-0000-000073360000}"/>
    <cellStyle name="20% - Accent5 3 3 2 4 2 2 2 2" xfId="43277" xr:uid="{00000000-0005-0000-0000-000074360000}"/>
    <cellStyle name="20% - Accent5 3 3 2 4 2 2 3" xfId="31976" xr:uid="{00000000-0005-0000-0000-000075360000}"/>
    <cellStyle name="20% - Accent5 3 3 2 4 2 3" xfId="15025" xr:uid="{00000000-0005-0000-0000-000076360000}"/>
    <cellStyle name="20% - Accent5 3 3 2 4 2 3 2" xfId="37627" xr:uid="{00000000-0005-0000-0000-000077360000}"/>
    <cellStyle name="20% - Accent5 3 3 2 4 2 4" xfId="26326" xr:uid="{00000000-0005-0000-0000-000078360000}"/>
    <cellStyle name="20% - Accent5 3 3 2 4 3" xfId="5479" xr:uid="{00000000-0005-0000-0000-000079360000}"/>
    <cellStyle name="20% - Accent5 3 3 2 4 3 2" xfId="11129" xr:uid="{00000000-0005-0000-0000-00007A360000}"/>
    <cellStyle name="20% - Accent5 3 3 2 4 3 2 2" xfId="22430" xr:uid="{00000000-0005-0000-0000-00007B360000}"/>
    <cellStyle name="20% - Accent5 3 3 2 4 3 2 2 2" xfId="45032" xr:uid="{00000000-0005-0000-0000-00007C360000}"/>
    <cellStyle name="20% - Accent5 3 3 2 4 3 2 3" xfId="33731" xr:uid="{00000000-0005-0000-0000-00007D360000}"/>
    <cellStyle name="20% - Accent5 3 3 2 4 3 3" xfId="16780" xr:uid="{00000000-0005-0000-0000-00007E360000}"/>
    <cellStyle name="20% - Accent5 3 3 2 4 3 3 2" xfId="39382" xr:uid="{00000000-0005-0000-0000-00007F360000}"/>
    <cellStyle name="20% - Accent5 3 3 2 4 3 4" xfId="28081" xr:uid="{00000000-0005-0000-0000-000080360000}"/>
    <cellStyle name="20% - Accent5 3 3 2 4 4" xfId="7587" xr:uid="{00000000-0005-0000-0000-000081360000}"/>
    <cellStyle name="20% - Accent5 3 3 2 4 4 2" xfId="18888" xr:uid="{00000000-0005-0000-0000-000082360000}"/>
    <cellStyle name="20% - Accent5 3 3 2 4 4 2 2" xfId="41490" xr:uid="{00000000-0005-0000-0000-000083360000}"/>
    <cellStyle name="20% - Accent5 3 3 2 4 4 3" xfId="30189" xr:uid="{00000000-0005-0000-0000-000084360000}"/>
    <cellStyle name="20% - Accent5 3 3 2 4 5" xfId="13238" xr:uid="{00000000-0005-0000-0000-000085360000}"/>
    <cellStyle name="20% - Accent5 3 3 2 4 5 2" xfId="35840" xr:uid="{00000000-0005-0000-0000-000086360000}"/>
    <cellStyle name="20% - Accent5 3 3 2 4 6" xfId="24539" xr:uid="{00000000-0005-0000-0000-000087360000}"/>
    <cellStyle name="20% - Accent5 3 3 2 5" xfId="2460" xr:uid="{00000000-0005-0000-0000-000088360000}"/>
    <cellStyle name="20% - Accent5 3 3 2 5 2" xfId="8296" xr:uid="{00000000-0005-0000-0000-000089360000}"/>
    <cellStyle name="20% - Accent5 3 3 2 5 2 2" xfId="19597" xr:uid="{00000000-0005-0000-0000-00008A360000}"/>
    <cellStyle name="20% - Accent5 3 3 2 5 2 2 2" xfId="42199" xr:uid="{00000000-0005-0000-0000-00008B360000}"/>
    <cellStyle name="20% - Accent5 3 3 2 5 2 3" xfId="30898" xr:uid="{00000000-0005-0000-0000-00008C360000}"/>
    <cellStyle name="20% - Accent5 3 3 2 5 3" xfId="13947" xr:uid="{00000000-0005-0000-0000-00008D360000}"/>
    <cellStyle name="20% - Accent5 3 3 2 5 3 2" xfId="36549" xr:uid="{00000000-0005-0000-0000-00008E360000}"/>
    <cellStyle name="20% - Accent5 3 3 2 5 4" xfId="25248" xr:uid="{00000000-0005-0000-0000-00008F360000}"/>
    <cellStyle name="20% - Accent5 3 3 2 6" xfId="4245" xr:uid="{00000000-0005-0000-0000-000090360000}"/>
    <cellStyle name="20% - Accent5 3 3 2 6 2" xfId="9895" xr:uid="{00000000-0005-0000-0000-000091360000}"/>
    <cellStyle name="20% - Accent5 3 3 2 6 2 2" xfId="21196" xr:uid="{00000000-0005-0000-0000-000092360000}"/>
    <cellStyle name="20% - Accent5 3 3 2 6 2 2 2" xfId="43798" xr:uid="{00000000-0005-0000-0000-000093360000}"/>
    <cellStyle name="20% - Accent5 3 3 2 6 2 3" xfId="32497" xr:uid="{00000000-0005-0000-0000-000094360000}"/>
    <cellStyle name="20% - Accent5 3 3 2 6 3" xfId="15546" xr:uid="{00000000-0005-0000-0000-000095360000}"/>
    <cellStyle name="20% - Accent5 3 3 2 6 3 2" xfId="38148" xr:uid="{00000000-0005-0000-0000-000096360000}"/>
    <cellStyle name="20% - Accent5 3 3 2 6 4" xfId="26847" xr:uid="{00000000-0005-0000-0000-000097360000}"/>
    <cellStyle name="20% - Accent5 3 3 2 7" xfId="6725" xr:uid="{00000000-0005-0000-0000-000098360000}"/>
    <cellStyle name="20% - Accent5 3 3 2 7 2" xfId="18026" xr:uid="{00000000-0005-0000-0000-000099360000}"/>
    <cellStyle name="20% - Accent5 3 3 2 7 2 2" xfId="40628" xr:uid="{00000000-0005-0000-0000-00009A360000}"/>
    <cellStyle name="20% - Accent5 3 3 2 7 3" xfId="29327" xr:uid="{00000000-0005-0000-0000-00009B360000}"/>
    <cellStyle name="20% - Accent5 3 3 2 8" xfId="12376" xr:uid="{00000000-0005-0000-0000-00009C360000}"/>
    <cellStyle name="20% - Accent5 3 3 2 8 2" xfId="34978" xr:uid="{00000000-0005-0000-0000-00009D360000}"/>
    <cellStyle name="20% - Accent5 3 3 2 9" xfId="23677" xr:uid="{00000000-0005-0000-0000-00009E360000}"/>
    <cellStyle name="20% - Accent5 3 3 3" xfId="1232" xr:uid="{00000000-0005-0000-0000-00009F360000}"/>
    <cellStyle name="20% - Accent5 3 3 3 2" xfId="1733" xr:uid="{00000000-0005-0000-0000-0000A0360000}"/>
    <cellStyle name="20% - Accent5 3 3 3 2 2" xfId="3300" xr:uid="{00000000-0005-0000-0000-0000A1360000}"/>
    <cellStyle name="20% - Accent5 3 3 3 2 2 2" xfId="6272" xr:uid="{00000000-0005-0000-0000-0000A2360000}"/>
    <cellStyle name="20% - Accent5 3 3 3 2 2 2 2" xfId="11922" xr:uid="{00000000-0005-0000-0000-0000A3360000}"/>
    <cellStyle name="20% - Accent5 3 3 3 2 2 2 2 2" xfId="23223" xr:uid="{00000000-0005-0000-0000-0000A4360000}"/>
    <cellStyle name="20% - Accent5 3 3 3 2 2 2 2 2 2" xfId="45825" xr:uid="{00000000-0005-0000-0000-0000A5360000}"/>
    <cellStyle name="20% - Accent5 3 3 3 2 2 2 2 3" xfId="34524" xr:uid="{00000000-0005-0000-0000-0000A6360000}"/>
    <cellStyle name="20% - Accent5 3 3 3 2 2 2 3" xfId="17573" xr:uid="{00000000-0005-0000-0000-0000A7360000}"/>
    <cellStyle name="20% - Accent5 3 3 3 2 2 2 3 2" xfId="40175" xr:uid="{00000000-0005-0000-0000-0000A8360000}"/>
    <cellStyle name="20% - Accent5 3 3 3 2 2 2 4" xfId="28874" xr:uid="{00000000-0005-0000-0000-0000A9360000}"/>
    <cellStyle name="20% - Accent5 3 3 3 2 2 3" xfId="9090" xr:uid="{00000000-0005-0000-0000-0000AA360000}"/>
    <cellStyle name="20% - Accent5 3 3 3 2 2 3 2" xfId="20391" xr:uid="{00000000-0005-0000-0000-0000AB360000}"/>
    <cellStyle name="20% - Accent5 3 3 3 2 2 3 2 2" xfId="42993" xr:uid="{00000000-0005-0000-0000-0000AC360000}"/>
    <cellStyle name="20% - Accent5 3 3 3 2 2 3 3" xfId="31692" xr:uid="{00000000-0005-0000-0000-0000AD360000}"/>
    <cellStyle name="20% - Accent5 3 3 3 2 2 4" xfId="14741" xr:uid="{00000000-0005-0000-0000-0000AE360000}"/>
    <cellStyle name="20% - Accent5 3 3 3 2 2 4 2" xfId="37343" xr:uid="{00000000-0005-0000-0000-0000AF360000}"/>
    <cellStyle name="20% - Accent5 3 3 3 2 2 5" xfId="26042" xr:uid="{00000000-0005-0000-0000-0000B0360000}"/>
    <cellStyle name="20% - Accent5 3 3 3 2 3" xfId="5038" xr:uid="{00000000-0005-0000-0000-0000B1360000}"/>
    <cellStyle name="20% - Accent5 3 3 3 2 3 2" xfId="10688" xr:uid="{00000000-0005-0000-0000-0000B2360000}"/>
    <cellStyle name="20% - Accent5 3 3 3 2 3 2 2" xfId="21989" xr:uid="{00000000-0005-0000-0000-0000B3360000}"/>
    <cellStyle name="20% - Accent5 3 3 3 2 3 2 2 2" xfId="44591" xr:uid="{00000000-0005-0000-0000-0000B4360000}"/>
    <cellStyle name="20% - Accent5 3 3 3 2 3 2 3" xfId="33290" xr:uid="{00000000-0005-0000-0000-0000B5360000}"/>
    <cellStyle name="20% - Accent5 3 3 3 2 3 3" xfId="16339" xr:uid="{00000000-0005-0000-0000-0000B6360000}"/>
    <cellStyle name="20% - Accent5 3 3 3 2 3 3 2" xfId="38941" xr:uid="{00000000-0005-0000-0000-0000B7360000}"/>
    <cellStyle name="20% - Accent5 3 3 3 2 3 4" xfId="27640" xr:uid="{00000000-0005-0000-0000-0000B8360000}"/>
    <cellStyle name="20% - Accent5 3 3 3 2 4" xfId="7589" xr:uid="{00000000-0005-0000-0000-0000B9360000}"/>
    <cellStyle name="20% - Accent5 3 3 3 2 4 2" xfId="18890" xr:uid="{00000000-0005-0000-0000-0000BA360000}"/>
    <cellStyle name="20% - Accent5 3 3 3 2 4 2 2" xfId="41492" xr:uid="{00000000-0005-0000-0000-0000BB360000}"/>
    <cellStyle name="20% - Accent5 3 3 3 2 4 3" xfId="30191" xr:uid="{00000000-0005-0000-0000-0000BC360000}"/>
    <cellStyle name="20% - Accent5 3 3 3 2 5" xfId="13240" xr:uid="{00000000-0005-0000-0000-0000BD360000}"/>
    <cellStyle name="20% - Accent5 3 3 3 2 5 2" xfId="35842" xr:uid="{00000000-0005-0000-0000-0000BE360000}"/>
    <cellStyle name="20% - Accent5 3 3 3 2 6" xfId="24541" xr:uid="{00000000-0005-0000-0000-0000BF360000}"/>
    <cellStyle name="20% - Accent5 3 3 3 3" xfId="2629" xr:uid="{00000000-0005-0000-0000-0000C0360000}"/>
    <cellStyle name="20% - Accent5 3 3 3 3 2" xfId="5648" xr:uid="{00000000-0005-0000-0000-0000C1360000}"/>
    <cellStyle name="20% - Accent5 3 3 3 3 2 2" xfId="11298" xr:uid="{00000000-0005-0000-0000-0000C2360000}"/>
    <cellStyle name="20% - Accent5 3 3 3 3 2 2 2" xfId="22599" xr:uid="{00000000-0005-0000-0000-0000C3360000}"/>
    <cellStyle name="20% - Accent5 3 3 3 3 2 2 2 2" xfId="45201" xr:uid="{00000000-0005-0000-0000-0000C4360000}"/>
    <cellStyle name="20% - Accent5 3 3 3 3 2 2 3" xfId="33900" xr:uid="{00000000-0005-0000-0000-0000C5360000}"/>
    <cellStyle name="20% - Accent5 3 3 3 3 2 3" xfId="16949" xr:uid="{00000000-0005-0000-0000-0000C6360000}"/>
    <cellStyle name="20% - Accent5 3 3 3 3 2 3 2" xfId="39551" xr:uid="{00000000-0005-0000-0000-0000C7360000}"/>
    <cellStyle name="20% - Accent5 3 3 3 3 2 4" xfId="28250" xr:uid="{00000000-0005-0000-0000-0000C8360000}"/>
    <cellStyle name="20% - Accent5 3 3 3 3 3" xfId="8465" xr:uid="{00000000-0005-0000-0000-0000C9360000}"/>
    <cellStyle name="20% - Accent5 3 3 3 3 3 2" xfId="19766" xr:uid="{00000000-0005-0000-0000-0000CA360000}"/>
    <cellStyle name="20% - Accent5 3 3 3 3 3 2 2" xfId="42368" xr:uid="{00000000-0005-0000-0000-0000CB360000}"/>
    <cellStyle name="20% - Accent5 3 3 3 3 3 3" xfId="31067" xr:uid="{00000000-0005-0000-0000-0000CC360000}"/>
    <cellStyle name="20% - Accent5 3 3 3 3 4" xfId="14116" xr:uid="{00000000-0005-0000-0000-0000CD360000}"/>
    <cellStyle name="20% - Accent5 3 3 3 3 4 2" xfId="36718" xr:uid="{00000000-0005-0000-0000-0000CE360000}"/>
    <cellStyle name="20% - Accent5 3 3 3 3 5" xfId="25417" xr:uid="{00000000-0005-0000-0000-0000CF360000}"/>
    <cellStyle name="20% - Accent5 3 3 3 4" xfId="4414" xr:uid="{00000000-0005-0000-0000-0000D0360000}"/>
    <cellStyle name="20% - Accent5 3 3 3 4 2" xfId="10064" xr:uid="{00000000-0005-0000-0000-0000D1360000}"/>
    <cellStyle name="20% - Accent5 3 3 3 4 2 2" xfId="21365" xr:uid="{00000000-0005-0000-0000-0000D2360000}"/>
    <cellStyle name="20% - Accent5 3 3 3 4 2 2 2" xfId="43967" xr:uid="{00000000-0005-0000-0000-0000D3360000}"/>
    <cellStyle name="20% - Accent5 3 3 3 4 2 3" xfId="32666" xr:uid="{00000000-0005-0000-0000-0000D4360000}"/>
    <cellStyle name="20% - Accent5 3 3 3 4 3" xfId="15715" xr:uid="{00000000-0005-0000-0000-0000D5360000}"/>
    <cellStyle name="20% - Accent5 3 3 3 4 3 2" xfId="38317" xr:uid="{00000000-0005-0000-0000-0000D6360000}"/>
    <cellStyle name="20% - Accent5 3 3 3 4 4" xfId="27016" xr:uid="{00000000-0005-0000-0000-0000D7360000}"/>
    <cellStyle name="20% - Accent5 3 3 3 5" xfId="7211" xr:uid="{00000000-0005-0000-0000-0000D8360000}"/>
    <cellStyle name="20% - Accent5 3 3 3 5 2" xfId="18512" xr:uid="{00000000-0005-0000-0000-0000D9360000}"/>
    <cellStyle name="20% - Accent5 3 3 3 5 2 2" xfId="41114" xr:uid="{00000000-0005-0000-0000-0000DA360000}"/>
    <cellStyle name="20% - Accent5 3 3 3 5 3" xfId="29813" xr:uid="{00000000-0005-0000-0000-0000DB360000}"/>
    <cellStyle name="20% - Accent5 3 3 3 6" xfId="12862" xr:uid="{00000000-0005-0000-0000-0000DC360000}"/>
    <cellStyle name="20% - Accent5 3 3 3 6 2" xfId="35464" xr:uid="{00000000-0005-0000-0000-0000DD360000}"/>
    <cellStyle name="20% - Accent5 3 3 3 7" xfId="24163" xr:uid="{00000000-0005-0000-0000-0000DE360000}"/>
    <cellStyle name="20% - Accent5 3 3 4" xfId="923" xr:uid="{00000000-0005-0000-0000-0000DF360000}"/>
    <cellStyle name="20% - Accent5 3 3 4 2" xfId="2993" xr:uid="{00000000-0005-0000-0000-0000E0360000}"/>
    <cellStyle name="20% - Accent5 3 3 4 2 2" xfId="5965" xr:uid="{00000000-0005-0000-0000-0000E1360000}"/>
    <cellStyle name="20% - Accent5 3 3 4 2 2 2" xfId="11615" xr:uid="{00000000-0005-0000-0000-0000E2360000}"/>
    <cellStyle name="20% - Accent5 3 3 4 2 2 2 2" xfId="22916" xr:uid="{00000000-0005-0000-0000-0000E3360000}"/>
    <cellStyle name="20% - Accent5 3 3 4 2 2 2 2 2" xfId="45518" xr:uid="{00000000-0005-0000-0000-0000E4360000}"/>
    <cellStyle name="20% - Accent5 3 3 4 2 2 2 3" xfId="34217" xr:uid="{00000000-0005-0000-0000-0000E5360000}"/>
    <cellStyle name="20% - Accent5 3 3 4 2 2 3" xfId="17266" xr:uid="{00000000-0005-0000-0000-0000E6360000}"/>
    <cellStyle name="20% - Accent5 3 3 4 2 2 3 2" xfId="39868" xr:uid="{00000000-0005-0000-0000-0000E7360000}"/>
    <cellStyle name="20% - Accent5 3 3 4 2 2 4" xfId="28567" xr:uid="{00000000-0005-0000-0000-0000E8360000}"/>
    <cellStyle name="20% - Accent5 3 3 4 2 3" xfId="8783" xr:uid="{00000000-0005-0000-0000-0000E9360000}"/>
    <cellStyle name="20% - Accent5 3 3 4 2 3 2" xfId="20084" xr:uid="{00000000-0005-0000-0000-0000EA360000}"/>
    <cellStyle name="20% - Accent5 3 3 4 2 3 2 2" xfId="42686" xr:uid="{00000000-0005-0000-0000-0000EB360000}"/>
    <cellStyle name="20% - Accent5 3 3 4 2 3 3" xfId="31385" xr:uid="{00000000-0005-0000-0000-0000EC360000}"/>
    <cellStyle name="20% - Accent5 3 3 4 2 4" xfId="14434" xr:uid="{00000000-0005-0000-0000-0000ED360000}"/>
    <cellStyle name="20% - Accent5 3 3 4 2 4 2" xfId="37036" xr:uid="{00000000-0005-0000-0000-0000EE360000}"/>
    <cellStyle name="20% - Accent5 3 3 4 2 5" xfId="25735" xr:uid="{00000000-0005-0000-0000-0000EF360000}"/>
    <cellStyle name="20% - Accent5 3 3 4 3" xfId="4731" xr:uid="{00000000-0005-0000-0000-0000F0360000}"/>
    <cellStyle name="20% - Accent5 3 3 4 3 2" xfId="10381" xr:uid="{00000000-0005-0000-0000-0000F1360000}"/>
    <cellStyle name="20% - Accent5 3 3 4 3 2 2" xfId="21682" xr:uid="{00000000-0005-0000-0000-0000F2360000}"/>
    <cellStyle name="20% - Accent5 3 3 4 3 2 2 2" xfId="44284" xr:uid="{00000000-0005-0000-0000-0000F3360000}"/>
    <cellStyle name="20% - Accent5 3 3 4 3 2 3" xfId="32983" xr:uid="{00000000-0005-0000-0000-0000F4360000}"/>
    <cellStyle name="20% - Accent5 3 3 4 3 3" xfId="16032" xr:uid="{00000000-0005-0000-0000-0000F5360000}"/>
    <cellStyle name="20% - Accent5 3 3 4 3 3 2" xfId="38634" xr:uid="{00000000-0005-0000-0000-0000F6360000}"/>
    <cellStyle name="20% - Accent5 3 3 4 3 4" xfId="27333" xr:uid="{00000000-0005-0000-0000-0000F7360000}"/>
    <cellStyle name="20% - Accent5 3 3 4 4" xfId="6918" xr:uid="{00000000-0005-0000-0000-0000F8360000}"/>
    <cellStyle name="20% - Accent5 3 3 4 4 2" xfId="18219" xr:uid="{00000000-0005-0000-0000-0000F9360000}"/>
    <cellStyle name="20% - Accent5 3 3 4 4 2 2" xfId="40821" xr:uid="{00000000-0005-0000-0000-0000FA360000}"/>
    <cellStyle name="20% - Accent5 3 3 4 4 3" xfId="29520" xr:uid="{00000000-0005-0000-0000-0000FB360000}"/>
    <cellStyle name="20% - Accent5 3 3 4 5" xfId="12569" xr:uid="{00000000-0005-0000-0000-0000FC360000}"/>
    <cellStyle name="20% - Accent5 3 3 4 5 2" xfId="35171" xr:uid="{00000000-0005-0000-0000-0000FD360000}"/>
    <cellStyle name="20% - Accent5 3 3 4 6" xfId="23870" xr:uid="{00000000-0005-0000-0000-0000FE360000}"/>
    <cellStyle name="20% - Accent5 3 3 5" xfId="1730" xr:uid="{00000000-0005-0000-0000-0000FF360000}"/>
    <cellStyle name="20% - Accent5 3 3 5 2" xfId="3661" xr:uid="{00000000-0005-0000-0000-000000370000}"/>
    <cellStyle name="20% - Accent5 3 3 5 2 2" xfId="9373" xr:uid="{00000000-0005-0000-0000-000001370000}"/>
    <cellStyle name="20% - Accent5 3 3 5 2 2 2" xfId="20674" xr:uid="{00000000-0005-0000-0000-000002370000}"/>
    <cellStyle name="20% - Accent5 3 3 5 2 2 2 2" xfId="43276" xr:uid="{00000000-0005-0000-0000-000003370000}"/>
    <cellStyle name="20% - Accent5 3 3 5 2 2 3" xfId="31975" xr:uid="{00000000-0005-0000-0000-000004370000}"/>
    <cellStyle name="20% - Accent5 3 3 5 2 3" xfId="15024" xr:uid="{00000000-0005-0000-0000-000005370000}"/>
    <cellStyle name="20% - Accent5 3 3 5 2 3 2" xfId="37626" xr:uid="{00000000-0005-0000-0000-000006370000}"/>
    <cellStyle name="20% - Accent5 3 3 5 2 4" xfId="26325" xr:uid="{00000000-0005-0000-0000-000007370000}"/>
    <cellStyle name="20% - Accent5 3 3 5 3" xfId="5341" xr:uid="{00000000-0005-0000-0000-000008370000}"/>
    <cellStyle name="20% - Accent5 3 3 5 3 2" xfId="10991" xr:uid="{00000000-0005-0000-0000-000009370000}"/>
    <cellStyle name="20% - Accent5 3 3 5 3 2 2" xfId="22292" xr:uid="{00000000-0005-0000-0000-00000A370000}"/>
    <cellStyle name="20% - Accent5 3 3 5 3 2 2 2" xfId="44894" xr:uid="{00000000-0005-0000-0000-00000B370000}"/>
    <cellStyle name="20% - Accent5 3 3 5 3 2 3" xfId="33593" xr:uid="{00000000-0005-0000-0000-00000C370000}"/>
    <cellStyle name="20% - Accent5 3 3 5 3 3" xfId="16642" xr:uid="{00000000-0005-0000-0000-00000D370000}"/>
    <cellStyle name="20% - Accent5 3 3 5 3 3 2" xfId="39244" xr:uid="{00000000-0005-0000-0000-00000E370000}"/>
    <cellStyle name="20% - Accent5 3 3 5 3 4" xfId="27943" xr:uid="{00000000-0005-0000-0000-00000F370000}"/>
    <cellStyle name="20% - Accent5 3 3 5 4" xfId="7586" xr:uid="{00000000-0005-0000-0000-000010370000}"/>
    <cellStyle name="20% - Accent5 3 3 5 4 2" xfId="18887" xr:uid="{00000000-0005-0000-0000-000011370000}"/>
    <cellStyle name="20% - Accent5 3 3 5 4 2 2" xfId="41489" xr:uid="{00000000-0005-0000-0000-000012370000}"/>
    <cellStyle name="20% - Accent5 3 3 5 4 3" xfId="30188" xr:uid="{00000000-0005-0000-0000-000013370000}"/>
    <cellStyle name="20% - Accent5 3 3 5 5" xfId="13237" xr:uid="{00000000-0005-0000-0000-000014370000}"/>
    <cellStyle name="20% - Accent5 3 3 5 5 2" xfId="35839" xr:uid="{00000000-0005-0000-0000-000015370000}"/>
    <cellStyle name="20% - Accent5 3 3 5 6" xfId="24538" xr:uid="{00000000-0005-0000-0000-000016370000}"/>
    <cellStyle name="20% - Accent5 3 3 6" xfId="2320" xr:uid="{00000000-0005-0000-0000-000017370000}"/>
    <cellStyle name="20% - Accent5 3 3 6 2" xfId="8156" xr:uid="{00000000-0005-0000-0000-000018370000}"/>
    <cellStyle name="20% - Accent5 3 3 6 2 2" xfId="19457" xr:uid="{00000000-0005-0000-0000-000019370000}"/>
    <cellStyle name="20% - Accent5 3 3 6 2 2 2" xfId="42059" xr:uid="{00000000-0005-0000-0000-00001A370000}"/>
    <cellStyle name="20% - Accent5 3 3 6 2 3" xfId="30758" xr:uid="{00000000-0005-0000-0000-00001B370000}"/>
    <cellStyle name="20% - Accent5 3 3 6 3" xfId="13807" xr:uid="{00000000-0005-0000-0000-00001C370000}"/>
    <cellStyle name="20% - Accent5 3 3 6 3 2" xfId="36409" xr:uid="{00000000-0005-0000-0000-00001D370000}"/>
    <cellStyle name="20% - Accent5 3 3 6 4" xfId="25108" xr:uid="{00000000-0005-0000-0000-00001E370000}"/>
    <cellStyle name="20% - Accent5 3 3 7" xfId="4107" xr:uid="{00000000-0005-0000-0000-00001F370000}"/>
    <cellStyle name="20% - Accent5 3 3 7 2" xfId="9757" xr:uid="{00000000-0005-0000-0000-000020370000}"/>
    <cellStyle name="20% - Accent5 3 3 7 2 2" xfId="21058" xr:uid="{00000000-0005-0000-0000-000021370000}"/>
    <cellStyle name="20% - Accent5 3 3 7 2 2 2" xfId="43660" xr:uid="{00000000-0005-0000-0000-000022370000}"/>
    <cellStyle name="20% - Accent5 3 3 7 2 3" xfId="32359" xr:uid="{00000000-0005-0000-0000-000023370000}"/>
    <cellStyle name="20% - Accent5 3 3 7 3" xfId="15408" xr:uid="{00000000-0005-0000-0000-000024370000}"/>
    <cellStyle name="20% - Accent5 3 3 7 3 2" xfId="38010" xr:uid="{00000000-0005-0000-0000-000025370000}"/>
    <cellStyle name="20% - Accent5 3 3 7 4" xfId="26709" xr:uid="{00000000-0005-0000-0000-000026370000}"/>
    <cellStyle name="20% - Accent5 3 3 8" xfId="6558" xr:uid="{00000000-0005-0000-0000-000027370000}"/>
    <cellStyle name="20% - Accent5 3 3 8 2" xfId="17859" xr:uid="{00000000-0005-0000-0000-000028370000}"/>
    <cellStyle name="20% - Accent5 3 3 8 2 2" xfId="40461" xr:uid="{00000000-0005-0000-0000-000029370000}"/>
    <cellStyle name="20% - Accent5 3 3 8 3" xfId="29160" xr:uid="{00000000-0005-0000-0000-00002A370000}"/>
    <cellStyle name="20% - Accent5 3 3 9" xfId="12209" xr:uid="{00000000-0005-0000-0000-00002B370000}"/>
    <cellStyle name="20% - Accent5 3 3 9 2" xfId="34811" xr:uid="{00000000-0005-0000-0000-00002C370000}"/>
    <cellStyle name="20% - Accent5 3 4" xfId="559" xr:uid="{00000000-0005-0000-0000-00002D370000}"/>
    <cellStyle name="20% - Accent5 3 4 2" xfId="1136" xr:uid="{00000000-0005-0000-0000-00002E370000}"/>
    <cellStyle name="20% - Accent5 3 4 2 2" xfId="1735" xr:uid="{00000000-0005-0000-0000-00002F370000}"/>
    <cellStyle name="20% - Accent5 3 4 2 2 2" xfId="3203" xr:uid="{00000000-0005-0000-0000-000030370000}"/>
    <cellStyle name="20% - Accent5 3 4 2 2 2 2" xfId="6175" xr:uid="{00000000-0005-0000-0000-000031370000}"/>
    <cellStyle name="20% - Accent5 3 4 2 2 2 2 2" xfId="11825" xr:uid="{00000000-0005-0000-0000-000032370000}"/>
    <cellStyle name="20% - Accent5 3 4 2 2 2 2 2 2" xfId="23126" xr:uid="{00000000-0005-0000-0000-000033370000}"/>
    <cellStyle name="20% - Accent5 3 4 2 2 2 2 2 2 2" xfId="45728" xr:uid="{00000000-0005-0000-0000-000034370000}"/>
    <cellStyle name="20% - Accent5 3 4 2 2 2 2 2 3" xfId="34427" xr:uid="{00000000-0005-0000-0000-000035370000}"/>
    <cellStyle name="20% - Accent5 3 4 2 2 2 2 3" xfId="17476" xr:uid="{00000000-0005-0000-0000-000036370000}"/>
    <cellStyle name="20% - Accent5 3 4 2 2 2 2 3 2" xfId="40078" xr:uid="{00000000-0005-0000-0000-000037370000}"/>
    <cellStyle name="20% - Accent5 3 4 2 2 2 2 4" xfId="28777" xr:uid="{00000000-0005-0000-0000-000038370000}"/>
    <cellStyle name="20% - Accent5 3 4 2 2 2 3" xfId="8993" xr:uid="{00000000-0005-0000-0000-000039370000}"/>
    <cellStyle name="20% - Accent5 3 4 2 2 2 3 2" xfId="20294" xr:uid="{00000000-0005-0000-0000-00003A370000}"/>
    <cellStyle name="20% - Accent5 3 4 2 2 2 3 2 2" xfId="42896" xr:uid="{00000000-0005-0000-0000-00003B370000}"/>
    <cellStyle name="20% - Accent5 3 4 2 2 2 3 3" xfId="31595" xr:uid="{00000000-0005-0000-0000-00003C370000}"/>
    <cellStyle name="20% - Accent5 3 4 2 2 2 4" xfId="14644" xr:uid="{00000000-0005-0000-0000-00003D370000}"/>
    <cellStyle name="20% - Accent5 3 4 2 2 2 4 2" xfId="37246" xr:uid="{00000000-0005-0000-0000-00003E370000}"/>
    <cellStyle name="20% - Accent5 3 4 2 2 2 5" xfId="25945" xr:uid="{00000000-0005-0000-0000-00003F370000}"/>
    <cellStyle name="20% - Accent5 3 4 2 2 3" xfId="4941" xr:uid="{00000000-0005-0000-0000-000040370000}"/>
    <cellStyle name="20% - Accent5 3 4 2 2 3 2" xfId="10591" xr:uid="{00000000-0005-0000-0000-000041370000}"/>
    <cellStyle name="20% - Accent5 3 4 2 2 3 2 2" xfId="21892" xr:uid="{00000000-0005-0000-0000-000042370000}"/>
    <cellStyle name="20% - Accent5 3 4 2 2 3 2 2 2" xfId="44494" xr:uid="{00000000-0005-0000-0000-000043370000}"/>
    <cellStyle name="20% - Accent5 3 4 2 2 3 2 3" xfId="33193" xr:uid="{00000000-0005-0000-0000-000044370000}"/>
    <cellStyle name="20% - Accent5 3 4 2 2 3 3" xfId="16242" xr:uid="{00000000-0005-0000-0000-000045370000}"/>
    <cellStyle name="20% - Accent5 3 4 2 2 3 3 2" xfId="38844" xr:uid="{00000000-0005-0000-0000-000046370000}"/>
    <cellStyle name="20% - Accent5 3 4 2 2 3 4" xfId="27543" xr:uid="{00000000-0005-0000-0000-000047370000}"/>
    <cellStyle name="20% - Accent5 3 4 2 2 4" xfId="7591" xr:uid="{00000000-0005-0000-0000-000048370000}"/>
    <cellStyle name="20% - Accent5 3 4 2 2 4 2" xfId="18892" xr:uid="{00000000-0005-0000-0000-000049370000}"/>
    <cellStyle name="20% - Accent5 3 4 2 2 4 2 2" xfId="41494" xr:uid="{00000000-0005-0000-0000-00004A370000}"/>
    <cellStyle name="20% - Accent5 3 4 2 2 4 3" xfId="30193" xr:uid="{00000000-0005-0000-0000-00004B370000}"/>
    <cellStyle name="20% - Accent5 3 4 2 2 5" xfId="13242" xr:uid="{00000000-0005-0000-0000-00004C370000}"/>
    <cellStyle name="20% - Accent5 3 4 2 2 5 2" xfId="35844" xr:uid="{00000000-0005-0000-0000-00004D370000}"/>
    <cellStyle name="20% - Accent5 3 4 2 2 6" xfId="24543" xr:uid="{00000000-0005-0000-0000-00004E370000}"/>
    <cellStyle name="20% - Accent5 3 4 2 3" xfId="2532" xr:uid="{00000000-0005-0000-0000-00004F370000}"/>
    <cellStyle name="20% - Accent5 3 4 2 3 2" xfId="5551" xr:uid="{00000000-0005-0000-0000-000050370000}"/>
    <cellStyle name="20% - Accent5 3 4 2 3 2 2" xfId="11201" xr:uid="{00000000-0005-0000-0000-000051370000}"/>
    <cellStyle name="20% - Accent5 3 4 2 3 2 2 2" xfId="22502" xr:uid="{00000000-0005-0000-0000-000052370000}"/>
    <cellStyle name="20% - Accent5 3 4 2 3 2 2 2 2" xfId="45104" xr:uid="{00000000-0005-0000-0000-000053370000}"/>
    <cellStyle name="20% - Accent5 3 4 2 3 2 2 3" xfId="33803" xr:uid="{00000000-0005-0000-0000-000054370000}"/>
    <cellStyle name="20% - Accent5 3 4 2 3 2 3" xfId="16852" xr:uid="{00000000-0005-0000-0000-000055370000}"/>
    <cellStyle name="20% - Accent5 3 4 2 3 2 3 2" xfId="39454" xr:uid="{00000000-0005-0000-0000-000056370000}"/>
    <cellStyle name="20% - Accent5 3 4 2 3 2 4" xfId="28153" xr:uid="{00000000-0005-0000-0000-000057370000}"/>
    <cellStyle name="20% - Accent5 3 4 2 3 3" xfId="8368" xr:uid="{00000000-0005-0000-0000-000058370000}"/>
    <cellStyle name="20% - Accent5 3 4 2 3 3 2" xfId="19669" xr:uid="{00000000-0005-0000-0000-000059370000}"/>
    <cellStyle name="20% - Accent5 3 4 2 3 3 2 2" xfId="42271" xr:uid="{00000000-0005-0000-0000-00005A370000}"/>
    <cellStyle name="20% - Accent5 3 4 2 3 3 3" xfId="30970" xr:uid="{00000000-0005-0000-0000-00005B370000}"/>
    <cellStyle name="20% - Accent5 3 4 2 3 4" xfId="14019" xr:uid="{00000000-0005-0000-0000-00005C370000}"/>
    <cellStyle name="20% - Accent5 3 4 2 3 4 2" xfId="36621" xr:uid="{00000000-0005-0000-0000-00005D370000}"/>
    <cellStyle name="20% - Accent5 3 4 2 3 5" xfId="25320" xr:uid="{00000000-0005-0000-0000-00005E370000}"/>
    <cellStyle name="20% - Accent5 3 4 2 4" xfId="4317" xr:uid="{00000000-0005-0000-0000-00005F370000}"/>
    <cellStyle name="20% - Accent5 3 4 2 4 2" xfId="9967" xr:uid="{00000000-0005-0000-0000-000060370000}"/>
    <cellStyle name="20% - Accent5 3 4 2 4 2 2" xfId="21268" xr:uid="{00000000-0005-0000-0000-000061370000}"/>
    <cellStyle name="20% - Accent5 3 4 2 4 2 2 2" xfId="43870" xr:uid="{00000000-0005-0000-0000-000062370000}"/>
    <cellStyle name="20% - Accent5 3 4 2 4 2 3" xfId="32569" xr:uid="{00000000-0005-0000-0000-000063370000}"/>
    <cellStyle name="20% - Accent5 3 4 2 4 3" xfId="15618" xr:uid="{00000000-0005-0000-0000-000064370000}"/>
    <cellStyle name="20% - Accent5 3 4 2 4 3 2" xfId="38220" xr:uid="{00000000-0005-0000-0000-000065370000}"/>
    <cellStyle name="20% - Accent5 3 4 2 4 4" xfId="26919" xr:uid="{00000000-0005-0000-0000-000066370000}"/>
    <cellStyle name="20% - Accent5 3 4 2 5" xfId="7115" xr:uid="{00000000-0005-0000-0000-000067370000}"/>
    <cellStyle name="20% - Accent5 3 4 2 5 2" xfId="18416" xr:uid="{00000000-0005-0000-0000-000068370000}"/>
    <cellStyle name="20% - Accent5 3 4 2 5 2 2" xfId="41018" xr:uid="{00000000-0005-0000-0000-000069370000}"/>
    <cellStyle name="20% - Accent5 3 4 2 5 3" xfId="29717" xr:uid="{00000000-0005-0000-0000-00006A370000}"/>
    <cellStyle name="20% - Accent5 3 4 2 6" xfId="12766" xr:uid="{00000000-0005-0000-0000-00006B370000}"/>
    <cellStyle name="20% - Accent5 3 4 2 6 2" xfId="35368" xr:uid="{00000000-0005-0000-0000-00006C370000}"/>
    <cellStyle name="20% - Accent5 3 4 2 7" xfId="24067" xr:uid="{00000000-0005-0000-0000-00006D370000}"/>
    <cellStyle name="20% - Accent5 3 4 3" xfId="809" xr:uid="{00000000-0005-0000-0000-00006E370000}"/>
    <cellStyle name="20% - Accent5 3 4 3 2" xfId="2897" xr:uid="{00000000-0005-0000-0000-00006F370000}"/>
    <cellStyle name="20% - Accent5 3 4 3 2 2" xfId="5869" xr:uid="{00000000-0005-0000-0000-000070370000}"/>
    <cellStyle name="20% - Accent5 3 4 3 2 2 2" xfId="11519" xr:uid="{00000000-0005-0000-0000-000071370000}"/>
    <cellStyle name="20% - Accent5 3 4 3 2 2 2 2" xfId="22820" xr:uid="{00000000-0005-0000-0000-000072370000}"/>
    <cellStyle name="20% - Accent5 3 4 3 2 2 2 2 2" xfId="45422" xr:uid="{00000000-0005-0000-0000-000073370000}"/>
    <cellStyle name="20% - Accent5 3 4 3 2 2 2 3" xfId="34121" xr:uid="{00000000-0005-0000-0000-000074370000}"/>
    <cellStyle name="20% - Accent5 3 4 3 2 2 3" xfId="17170" xr:uid="{00000000-0005-0000-0000-000075370000}"/>
    <cellStyle name="20% - Accent5 3 4 3 2 2 3 2" xfId="39772" xr:uid="{00000000-0005-0000-0000-000076370000}"/>
    <cellStyle name="20% - Accent5 3 4 3 2 2 4" xfId="28471" xr:uid="{00000000-0005-0000-0000-000077370000}"/>
    <cellStyle name="20% - Accent5 3 4 3 2 3" xfId="8687" xr:uid="{00000000-0005-0000-0000-000078370000}"/>
    <cellStyle name="20% - Accent5 3 4 3 2 3 2" xfId="19988" xr:uid="{00000000-0005-0000-0000-000079370000}"/>
    <cellStyle name="20% - Accent5 3 4 3 2 3 2 2" xfId="42590" xr:uid="{00000000-0005-0000-0000-00007A370000}"/>
    <cellStyle name="20% - Accent5 3 4 3 2 3 3" xfId="31289" xr:uid="{00000000-0005-0000-0000-00007B370000}"/>
    <cellStyle name="20% - Accent5 3 4 3 2 4" xfId="14338" xr:uid="{00000000-0005-0000-0000-00007C370000}"/>
    <cellStyle name="20% - Accent5 3 4 3 2 4 2" xfId="36940" xr:uid="{00000000-0005-0000-0000-00007D370000}"/>
    <cellStyle name="20% - Accent5 3 4 3 2 5" xfId="25639" xr:uid="{00000000-0005-0000-0000-00007E370000}"/>
    <cellStyle name="20% - Accent5 3 4 3 3" xfId="4635" xr:uid="{00000000-0005-0000-0000-00007F370000}"/>
    <cellStyle name="20% - Accent5 3 4 3 3 2" xfId="10285" xr:uid="{00000000-0005-0000-0000-000080370000}"/>
    <cellStyle name="20% - Accent5 3 4 3 3 2 2" xfId="21586" xr:uid="{00000000-0005-0000-0000-000081370000}"/>
    <cellStyle name="20% - Accent5 3 4 3 3 2 2 2" xfId="44188" xr:uid="{00000000-0005-0000-0000-000082370000}"/>
    <cellStyle name="20% - Accent5 3 4 3 3 2 3" xfId="32887" xr:uid="{00000000-0005-0000-0000-000083370000}"/>
    <cellStyle name="20% - Accent5 3 4 3 3 3" xfId="15936" xr:uid="{00000000-0005-0000-0000-000084370000}"/>
    <cellStyle name="20% - Accent5 3 4 3 3 3 2" xfId="38538" xr:uid="{00000000-0005-0000-0000-000085370000}"/>
    <cellStyle name="20% - Accent5 3 4 3 3 4" xfId="27237" xr:uid="{00000000-0005-0000-0000-000086370000}"/>
    <cellStyle name="20% - Accent5 3 4 3 4" xfId="6818" xr:uid="{00000000-0005-0000-0000-000087370000}"/>
    <cellStyle name="20% - Accent5 3 4 3 4 2" xfId="18119" xr:uid="{00000000-0005-0000-0000-000088370000}"/>
    <cellStyle name="20% - Accent5 3 4 3 4 2 2" xfId="40721" xr:uid="{00000000-0005-0000-0000-000089370000}"/>
    <cellStyle name="20% - Accent5 3 4 3 4 3" xfId="29420" xr:uid="{00000000-0005-0000-0000-00008A370000}"/>
    <cellStyle name="20% - Accent5 3 4 3 5" xfId="12469" xr:uid="{00000000-0005-0000-0000-00008B370000}"/>
    <cellStyle name="20% - Accent5 3 4 3 5 2" xfId="35071" xr:uid="{00000000-0005-0000-0000-00008C370000}"/>
    <cellStyle name="20% - Accent5 3 4 3 6" xfId="23770" xr:uid="{00000000-0005-0000-0000-00008D370000}"/>
    <cellStyle name="20% - Accent5 3 4 4" xfId="1734" xr:uid="{00000000-0005-0000-0000-00008E370000}"/>
    <cellStyle name="20% - Accent5 3 4 4 2" xfId="3664" xr:uid="{00000000-0005-0000-0000-00008F370000}"/>
    <cellStyle name="20% - Accent5 3 4 4 2 2" xfId="9375" xr:uid="{00000000-0005-0000-0000-000090370000}"/>
    <cellStyle name="20% - Accent5 3 4 4 2 2 2" xfId="20676" xr:uid="{00000000-0005-0000-0000-000091370000}"/>
    <cellStyle name="20% - Accent5 3 4 4 2 2 2 2" xfId="43278" xr:uid="{00000000-0005-0000-0000-000092370000}"/>
    <cellStyle name="20% - Accent5 3 4 4 2 2 3" xfId="31977" xr:uid="{00000000-0005-0000-0000-000093370000}"/>
    <cellStyle name="20% - Accent5 3 4 4 2 3" xfId="15026" xr:uid="{00000000-0005-0000-0000-000094370000}"/>
    <cellStyle name="20% - Accent5 3 4 4 2 3 2" xfId="37628" xr:uid="{00000000-0005-0000-0000-000095370000}"/>
    <cellStyle name="20% - Accent5 3 4 4 2 4" xfId="26327" xr:uid="{00000000-0005-0000-0000-000096370000}"/>
    <cellStyle name="20% - Accent5 3 4 4 3" xfId="5245" xr:uid="{00000000-0005-0000-0000-000097370000}"/>
    <cellStyle name="20% - Accent5 3 4 4 3 2" xfId="10895" xr:uid="{00000000-0005-0000-0000-000098370000}"/>
    <cellStyle name="20% - Accent5 3 4 4 3 2 2" xfId="22196" xr:uid="{00000000-0005-0000-0000-000099370000}"/>
    <cellStyle name="20% - Accent5 3 4 4 3 2 2 2" xfId="44798" xr:uid="{00000000-0005-0000-0000-00009A370000}"/>
    <cellStyle name="20% - Accent5 3 4 4 3 2 3" xfId="33497" xr:uid="{00000000-0005-0000-0000-00009B370000}"/>
    <cellStyle name="20% - Accent5 3 4 4 3 3" xfId="16546" xr:uid="{00000000-0005-0000-0000-00009C370000}"/>
    <cellStyle name="20% - Accent5 3 4 4 3 3 2" xfId="39148" xr:uid="{00000000-0005-0000-0000-00009D370000}"/>
    <cellStyle name="20% - Accent5 3 4 4 3 4" xfId="27847" xr:uid="{00000000-0005-0000-0000-00009E370000}"/>
    <cellStyle name="20% - Accent5 3 4 4 4" xfId="7590" xr:uid="{00000000-0005-0000-0000-00009F370000}"/>
    <cellStyle name="20% - Accent5 3 4 4 4 2" xfId="18891" xr:uid="{00000000-0005-0000-0000-0000A0370000}"/>
    <cellStyle name="20% - Accent5 3 4 4 4 2 2" xfId="41493" xr:uid="{00000000-0005-0000-0000-0000A1370000}"/>
    <cellStyle name="20% - Accent5 3 4 4 4 3" xfId="30192" xr:uid="{00000000-0005-0000-0000-0000A2370000}"/>
    <cellStyle name="20% - Accent5 3 4 4 5" xfId="13241" xr:uid="{00000000-0005-0000-0000-0000A3370000}"/>
    <cellStyle name="20% - Accent5 3 4 4 5 2" xfId="35843" xr:uid="{00000000-0005-0000-0000-0000A4370000}"/>
    <cellStyle name="20% - Accent5 3 4 4 6" xfId="24542" xr:uid="{00000000-0005-0000-0000-0000A5370000}"/>
    <cellStyle name="20% - Accent5 3 4 5" xfId="2217" xr:uid="{00000000-0005-0000-0000-0000A6370000}"/>
    <cellStyle name="20% - Accent5 3 4 5 2" xfId="8059" xr:uid="{00000000-0005-0000-0000-0000A7370000}"/>
    <cellStyle name="20% - Accent5 3 4 5 2 2" xfId="19360" xr:uid="{00000000-0005-0000-0000-0000A8370000}"/>
    <cellStyle name="20% - Accent5 3 4 5 2 2 2" xfId="41962" xr:uid="{00000000-0005-0000-0000-0000A9370000}"/>
    <cellStyle name="20% - Accent5 3 4 5 2 3" xfId="30661" xr:uid="{00000000-0005-0000-0000-0000AA370000}"/>
    <cellStyle name="20% - Accent5 3 4 5 3" xfId="13710" xr:uid="{00000000-0005-0000-0000-0000AB370000}"/>
    <cellStyle name="20% - Accent5 3 4 5 3 2" xfId="36312" xr:uid="{00000000-0005-0000-0000-0000AC370000}"/>
    <cellStyle name="20% - Accent5 3 4 5 4" xfId="25011" xr:uid="{00000000-0005-0000-0000-0000AD370000}"/>
    <cellStyle name="20% - Accent5 3 4 6" xfId="4011" xr:uid="{00000000-0005-0000-0000-0000AE370000}"/>
    <cellStyle name="20% - Accent5 3 4 6 2" xfId="9661" xr:uid="{00000000-0005-0000-0000-0000AF370000}"/>
    <cellStyle name="20% - Accent5 3 4 6 2 2" xfId="20962" xr:uid="{00000000-0005-0000-0000-0000B0370000}"/>
    <cellStyle name="20% - Accent5 3 4 6 2 2 2" xfId="43564" xr:uid="{00000000-0005-0000-0000-0000B1370000}"/>
    <cellStyle name="20% - Accent5 3 4 6 2 3" xfId="32263" xr:uid="{00000000-0005-0000-0000-0000B2370000}"/>
    <cellStyle name="20% - Accent5 3 4 6 3" xfId="15312" xr:uid="{00000000-0005-0000-0000-0000B3370000}"/>
    <cellStyle name="20% - Accent5 3 4 6 3 2" xfId="37914" xr:uid="{00000000-0005-0000-0000-0000B4370000}"/>
    <cellStyle name="20% - Accent5 3 4 6 4" xfId="26613" xr:uid="{00000000-0005-0000-0000-0000B5370000}"/>
    <cellStyle name="20% - Accent5 3 4 7" xfId="6629" xr:uid="{00000000-0005-0000-0000-0000B6370000}"/>
    <cellStyle name="20% - Accent5 3 4 7 2" xfId="17930" xr:uid="{00000000-0005-0000-0000-0000B7370000}"/>
    <cellStyle name="20% - Accent5 3 4 7 2 2" xfId="40532" xr:uid="{00000000-0005-0000-0000-0000B8370000}"/>
    <cellStyle name="20% - Accent5 3 4 7 3" xfId="29231" xr:uid="{00000000-0005-0000-0000-0000B9370000}"/>
    <cellStyle name="20% - Accent5 3 4 8" xfId="12280" xr:uid="{00000000-0005-0000-0000-0000BA370000}"/>
    <cellStyle name="20% - Accent5 3 4 8 2" xfId="34882" xr:uid="{00000000-0005-0000-0000-0000BB370000}"/>
    <cellStyle name="20% - Accent5 3 4 9" xfId="23581" xr:uid="{00000000-0005-0000-0000-0000BC370000}"/>
    <cellStyle name="20% - Accent5 3 5" xfId="453" xr:uid="{00000000-0005-0000-0000-0000BD370000}"/>
    <cellStyle name="20% - Accent5 3 6" xfId="1482" xr:uid="{00000000-0005-0000-0000-0000BE370000}"/>
    <cellStyle name="20% - Accent5 3 7" xfId="6462" xr:uid="{00000000-0005-0000-0000-0000BF370000}"/>
    <cellStyle name="20% - Accent5 3 7 2" xfId="17763" xr:uid="{00000000-0005-0000-0000-0000C0370000}"/>
    <cellStyle name="20% - Accent5 3 7 2 2" xfId="40365" xr:uid="{00000000-0005-0000-0000-0000C1370000}"/>
    <cellStyle name="20% - Accent5 3 7 3" xfId="29064" xr:uid="{00000000-0005-0000-0000-0000C2370000}"/>
    <cellStyle name="20% - Accent5 3 8" xfId="12113" xr:uid="{00000000-0005-0000-0000-0000C3370000}"/>
    <cellStyle name="20% - Accent5 3 8 2" xfId="34715" xr:uid="{00000000-0005-0000-0000-0000C4370000}"/>
    <cellStyle name="20% - Accent5 3 9" xfId="23414" xr:uid="{00000000-0005-0000-0000-0000C5370000}"/>
    <cellStyle name="20% - Accent5 4" xfId="244" xr:uid="{00000000-0005-0000-0000-0000C6370000}"/>
    <cellStyle name="20% - Accent5 4 10" xfId="3997" xr:uid="{00000000-0005-0000-0000-0000C7370000}"/>
    <cellStyle name="20% - Accent5 4 10 2" xfId="9647" xr:uid="{00000000-0005-0000-0000-0000C8370000}"/>
    <cellStyle name="20% - Accent5 4 10 2 2" xfId="20948" xr:uid="{00000000-0005-0000-0000-0000C9370000}"/>
    <cellStyle name="20% - Accent5 4 10 2 2 2" xfId="43550" xr:uid="{00000000-0005-0000-0000-0000CA370000}"/>
    <cellStyle name="20% - Accent5 4 10 2 3" xfId="32249" xr:uid="{00000000-0005-0000-0000-0000CB370000}"/>
    <cellStyle name="20% - Accent5 4 10 3" xfId="15298" xr:uid="{00000000-0005-0000-0000-0000CC370000}"/>
    <cellStyle name="20% - Accent5 4 10 3 2" xfId="37900" xr:uid="{00000000-0005-0000-0000-0000CD370000}"/>
    <cellStyle name="20% - Accent5 4 10 4" xfId="26599" xr:uid="{00000000-0005-0000-0000-0000CE370000}"/>
    <cellStyle name="20% - Accent5 4 11" xfId="6476" xr:uid="{00000000-0005-0000-0000-0000CF370000}"/>
    <cellStyle name="20% - Accent5 4 11 2" xfId="17777" xr:uid="{00000000-0005-0000-0000-0000D0370000}"/>
    <cellStyle name="20% - Accent5 4 11 2 2" xfId="40379" xr:uid="{00000000-0005-0000-0000-0000D1370000}"/>
    <cellStyle name="20% - Accent5 4 11 3" xfId="29078" xr:uid="{00000000-0005-0000-0000-0000D2370000}"/>
    <cellStyle name="20% - Accent5 4 12" xfId="12127" xr:uid="{00000000-0005-0000-0000-0000D3370000}"/>
    <cellStyle name="20% - Accent5 4 12 2" xfId="34729" xr:uid="{00000000-0005-0000-0000-0000D4370000}"/>
    <cellStyle name="20% - Accent5 4 13" xfId="23428" xr:uid="{00000000-0005-0000-0000-0000D5370000}"/>
    <cellStyle name="20% - Accent5 4 2" xfId="367" xr:uid="{00000000-0005-0000-0000-0000D6370000}"/>
    <cellStyle name="20% - Accent5 4 2 10" xfId="23475" xr:uid="{00000000-0005-0000-0000-0000D7370000}"/>
    <cellStyle name="20% - Accent5 4 2 2" xfId="625" xr:uid="{00000000-0005-0000-0000-0000D8370000}"/>
    <cellStyle name="20% - Accent5 4 2 2 2" xfId="1335" xr:uid="{00000000-0005-0000-0000-0000D9370000}"/>
    <cellStyle name="20% - Accent5 4 2 2 2 2" xfId="1739" xr:uid="{00000000-0005-0000-0000-0000DA370000}"/>
    <cellStyle name="20% - Accent5 4 2 2 2 2 2" xfId="3404" xr:uid="{00000000-0005-0000-0000-0000DB370000}"/>
    <cellStyle name="20% - Accent5 4 2 2 2 2 2 2" xfId="6376" xr:uid="{00000000-0005-0000-0000-0000DC370000}"/>
    <cellStyle name="20% - Accent5 4 2 2 2 2 2 2 2" xfId="12026" xr:uid="{00000000-0005-0000-0000-0000DD370000}"/>
    <cellStyle name="20% - Accent5 4 2 2 2 2 2 2 2 2" xfId="23327" xr:uid="{00000000-0005-0000-0000-0000DE370000}"/>
    <cellStyle name="20% - Accent5 4 2 2 2 2 2 2 2 2 2" xfId="45929" xr:uid="{00000000-0005-0000-0000-0000DF370000}"/>
    <cellStyle name="20% - Accent5 4 2 2 2 2 2 2 2 3" xfId="34628" xr:uid="{00000000-0005-0000-0000-0000E0370000}"/>
    <cellStyle name="20% - Accent5 4 2 2 2 2 2 2 3" xfId="17677" xr:uid="{00000000-0005-0000-0000-0000E1370000}"/>
    <cellStyle name="20% - Accent5 4 2 2 2 2 2 2 3 2" xfId="40279" xr:uid="{00000000-0005-0000-0000-0000E2370000}"/>
    <cellStyle name="20% - Accent5 4 2 2 2 2 2 2 4" xfId="28978" xr:uid="{00000000-0005-0000-0000-0000E3370000}"/>
    <cellStyle name="20% - Accent5 4 2 2 2 2 2 3" xfId="9194" xr:uid="{00000000-0005-0000-0000-0000E4370000}"/>
    <cellStyle name="20% - Accent5 4 2 2 2 2 2 3 2" xfId="20495" xr:uid="{00000000-0005-0000-0000-0000E5370000}"/>
    <cellStyle name="20% - Accent5 4 2 2 2 2 2 3 2 2" xfId="43097" xr:uid="{00000000-0005-0000-0000-0000E6370000}"/>
    <cellStyle name="20% - Accent5 4 2 2 2 2 2 3 3" xfId="31796" xr:uid="{00000000-0005-0000-0000-0000E7370000}"/>
    <cellStyle name="20% - Accent5 4 2 2 2 2 2 4" xfId="14845" xr:uid="{00000000-0005-0000-0000-0000E8370000}"/>
    <cellStyle name="20% - Accent5 4 2 2 2 2 2 4 2" xfId="37447" xr:uid="{00000000-0005-0000-0000-0000E9370000}"/>
    <cellStyle name="20% - Accent5 4 2 2 2 2 2 5" xfId="26146" xr:uid="{00000000-0005-0000-0000-0000EA370000}"/>
    <cellStyle name="20% - Accent5 4 2 2 2 2 3" xfId="5142" xr:uid="{00000000-0005-0000-0000-0000EB370000}"/>
    <cellStyle name="20% - Accent5 4 2 2 2 2 3 2" xfId="10792" xr:uid="{00000000-0005-0000-0000-0000EC370000}"/>
    <cellStyle name="20% - Accent5 4 2 2 2 2 3 2 2" xfId="22093" xr:uid="{00000000-0005-0000-0000-0000ED370000}"/>
    <cellStyle name="20% - Accent5 4 2 2 2 2 3 2 2 2" xfId="44695" xr:uid="{00000000-0005-0000-0000-0000EE370000}"/>
    <cellStyle name="20% - Accent5 4 2 2 2 2 3 2 3" xfId="33394" xr:uid="{00000000-0005-0000-0000-0000EF370000}"/>
    <cellStyle name="20% - Accent5 4 2 2 2 2 3 3" xfId="16443" xr:uid="{00000000-0005-0000-0000-0000F0370000}"/>
    <cellStyle name="20% - Accent5 4 2 2 2 2 3 3 2" xfId="39045" xr:uid="{00000000-0005-0000-0000-0000F1370000}"/>
    <cellStyle name="20% - Accent5 4 2 2 2 2 3 4" xfId="27744" xr:uid="{00000000-0005-0000-0000-0000F2370000}"/>
    <cellStyle name="20% - Accent5 4 2 2 2 2 4" xfId="7595" xr:uid="{00000000-0005-0000-0000-0000F3370000}"/>
    <cellStyle name="20% - Accent5 4 2 2 2 2 4 2" xfId="18896" xr:uid="{00000000-0005-0000-0000-0000F4370000}"/>
    <cellStyle name="20% - Accent5 4 2 2 2 2 4 2 2" xfId="41498" xr:uid="{00000000-0005-0000-0000-0000F5370000}"/>
    <cellStyle name="20% - Accent5 4 2 2 2 2 4 3" xfId="30197" xr:uid="{00000000-0005-0000-0000-0000F6370000}"/>
    <cellStyle name="20% - Accent5 4 2 2 2 2 5" xfId="13246" xr:uid="{00000000-0005-0000-0000-0000F7370000}"/>
    <cellStyle name="20% - Accent5 4 2 2 2 2 5 2" xfId="35848" xr:uid="{00000000-0005-0000-0000-0000F8370000}"/>
    <cellStyle name="20% - Accent5 4 2 2 2 2 6" xfId="24547" xr:uid="{00000000-0005-0000-0000-0000F9370000}"/>
    <cellStyle name="20% - Accent5 4 2 2 2 3" xfId="2733" xr:uid="{00000000-0005-0000-0000-0000FA370000}"/>
    <cellStyle name="20% - Accent5 4 2 2 2 3 2" xfId="5752" xr:uid="{00000000-0005-0000-0000-0000FB370000}"/>
    <cellStyle name="20% - Accent5 4 2 2 2 3 2 2" xfId="11402" xr:uid="{00000000-0005-0000-0000-0000FC370000}"/>
    <cellStyle name="20% - Accent5 4 2 2 2 3 2 2 2" xfId="22703" xr:uid="{00000000-0005-0000-0000-0000FD370000}"/>
    <cellStyle name="20% - Accent5 4 2 2 2 3 2 2 2 2" xfId="45305" xr:uid="{00000000-0005-0000-0000-0000FE370000}"/>
    <cellStyle name="20% - Accent5 4 2 2 2 3 2 2 3" xfId="34004" xr:uid="{00000000-0005-0000-0000-0000FF370000}"/>
    <cellStyle name="20% - Accent5 4 2 2 2 3 2 3" xfId="17053" xr:uid="{00000000-0005-0000-0000-000000380000}"/>
    <cellStyle name="20% - Accent5 4 2 2 2 3 2 3 2" xfId="39655" xr:uid="{00000000-0005-0000-0000-000001380000}"/>
    <cellStyle name="20% - Accent5 4 2 2 2 3 2 4" xfId="28354" xr:uid="{00000000-0005-0000-0000-000002380000}"/>
    <cellStyle name="20% - Accent5 4 2 2 2 3 3" xfId="8569" xr:uid="{00000000-0005-0000-0000-000003380000}"/>
    <cellStyle name="20% - Accent5 4 2 2 2 3 3 2" xfId="19870" xr:uid="{00000000-0005-0000-0000-000004380000}"/>
    <cellStyle name="20% - Accent5 4 2 2 2 3 3 2 2" xfId="42472" xr:uid="{00000000-0005-0000-0000-000005380000}"/>
    <cellStyle name="20% - Accent5 4 2 2 2 3 3 3" xfId="31171" xr:uid="{00000000-0005-0000-0000-000006380000}"/>
    <cellStyle name="20% - Accent5 4 2 2 2 3 4" xfId="14220" xr:uid="{00000000-0005-0000-0000-000007380000}"/>
    <cellStyle name="20% - Accent5 4 2 2 2 3 4 2" xfId="36822" xr:uid="{00000000-0005-0000-0000-000008380000}"/>
    <cellStyle name="20% - Accent5 4 2 2 2 3 5" xfId="25521" xr:uid="{00000000-0005-0000-0000-000009380000}"/>
    <cellStyle name="20% - Accent5 4 2 2 2 4" xfId="4518" xr:uid="{00000000-0005-0000-0000-00000A380000}"/>
    <cellStyle name="20% - Accent5 4 2 2 2 4 2" xfId="10168" xr:uid="{00000000-0005-0000-0000-00000B380000}"/>
    <cellStyle name="20% - Accent5 4 2 2 2 4 2 2" xfId="21469" xr:uid="{00000000-0005-0000-0000-00000C380000}"/>
    <cellStyle name="20% - Accent5 4 2 2 2 4 2 2 2" xfId="44071" xr:uid="{00000000-0005-0000-0000-00000D380000}"/>
    <cellStyle name="20% - Accent5 4 2 2 2 4 2 3" xfId="32770" xr:uid="{00000000-0005-0000-0000-00000E380000}"/>
    <cellStyle name="20% - Accent5 4 2 2 2 4 3" xfId="15819" xr:uid="{00000000-0005-0000-0000-00000F380000}"/>
    <cellStyle name="20% - Accent5 4 2 2 2 4 3 2" xfId="38421" xr:uid="{00000000-0005-0000-0000-000010380000}"/>
    <cellStyle name="20% - Accent5 4 2 2 2 4 4" xfId="27120" xr:uid="{00000000-0005-0000-0000-000011380000}"/>
    <cellStyle name="20% - Accent5 4 2 2 2 5" xfId="7314" xr:uid="{00000000-0005-0000-0000-000012380000}"/>
    <cellStyle name="20% - Accent5 4 2 2 2 5 2" xfId="18615" xr:uid="{00000000-0005-0000-0000-000013380000}"/>
    <cellStyle name="20% - Accent5 4 2 2 2 5 2 2" xfId="41217" xr:uid="{00000000-0005-0000-0000-000014380000}"/>
    <cellStyle name="20% - Accent5 4 2 2 2 5 3" xfId="29916" xr:uid="{00000000-0005-0000-0000-000015380000}"/>
    <cellStyle name="20% - Accent5 4 2 2 2 6" xfId="12965" xr:uid="{00000000-0005-0000-0000-000016380000}"/>
    <cellStyle name="20% - Accent5 4 2 2 2 6 2" xfId="35567" xr:uid="{00000000-0005-0000-0000-000017380000}"/>
    <cellStyle name="20% - Accent5 4 2 2 2 7" xfId="24266" xr:uid="{00000000-0005-0000-0000-000018380000}"/>
    <cellStyle name="20% - Accent5 4 2 2 3" xfId="1033" xr:uid="{00000000-0005-0000-0000-000019380000}"/>
    <cellStyle name="20% - Accent5 4 2 2 3 2" xfId="3096" xr:uid="{00000000-0005-0000-0000-00001A380000}"/>
    <cellStyle name="20% - Accent5 4 2 2 3 2 2" xfId="6068" xr:uid="{00000000-0005-0000-0000-00001B380000}"/>
    <cellStyle name="20% - Accent5 4 2 2 3 2 2 2" xfId="11718" xr:uid="{00000000-0005-0000-0000-00001C380000}"/>
    <cellStyle name="20% - Accent5 4 2 2 3 2 2 2 2" xfId="23019" xr:uid="{00000000-0005-0000-0000-00001D380000}"/>
    <cellStyle name="20% - Accent5 4 2 2 3 2 2 2 2 2" xfId="45621" xr:uid="{00000000-0005-0000-0000-00001E380000}"/>
    <cellStyle name="20% - Accent5 4 2 2 3 2 2 2 3" xfId="34320" xr:uid="{00000000-0005-0000-0000-00001F380000}"/>
    <cellStyle name="20% - Accent5 4 2 2 3 2 2 3" xfId="17369" xr:uid="{00000000-0005-0000-0000-000020380000}"/>
    <cellStyle name="20% - Accent5 4 2 2 3 2 2 3 2" xfId="39971" xr:uid="{00000000-0005-0000-0000-000021380000}"/>
    <cellStyle name="20% - Accent5 4 2 2 3 2 2 4" xfId="28670" xr:uid="{00000000-0005-0000-0000-000022380000}"/>
    <cellStyle name="20% - Accent5 4 2 2 3 2 3" xfId="8886" xr:uid="{00000000-0005-0000-0000-000023380000}"/>
    <cellStyle name="20% - Accent5 4 2 2 3 2 3 2" xfId="20187" xr:uid="{00000000-0005-0000-0000-000024380000}"/>
    <cellStyle name="20% - Accent5 4 2 2 3 2 3 2 2" xfId="42789" xr:uid="{00000000-0005-0000-0000-000025380000}"/>
    <cellStyle name="20% - Accent5 4 2 2 3 2 3 3" xfId="31488" xr:uid="{00000000-0005-0000-0000-000026380000}"/>
    <cellStyle name="20% - Accent5 4 2 2 3 2 4" xfId="14537" xr:uid="{00000000-0005-0000-0000-000027380000}"/>
    <cellStyle name="20% - Accent5 4 2 2 3 2 4 2" xfId="37139" xr:uid="{00000000-0005-0000-0000-000028380000}"/>
    <cellStyle name="20% - Accent5 4 2 2 3 2 5" xfId="25838" xr:uid="{00000000-0005-0000-0000-000029380000}"/>
    <cellStyle name="20% - Accent5 4 2 2 3 3" xfId="4834" xr:uid="{00000000-0005-0000-0000-00002A380000}"/>
    <cellStyle name="20% - Accent5 4 2 2 3 3 2" xfId="10484" xr:uid="{00000000-0005-0000-0000-00002B380000}"/>
    <cellStyle name="20% - Accent5 4 2 2 3 3 2 2" xfId="21785" xr:uid="{00000000-0005-0000-0000-00002C380000}"/>
    <cellStyle name="20% - Accent5 4 2 2 3 3 2 2 2" xfId="44387" xr:uid="{00000000-0005-0000-0000-00002D380000}"/>
    <cellStyle name="20% - Accent5 4 2 2 3 3 2 3" xfId="33086" xr:uid="{00000000-0005-0000-0000-00002E380000}"/>
    <cellStyle name="20% - Accent5 4 2 2 3 3 3" xfId="16135" xr:uid="{00000000-0005-0000-0000-00002F380000}"/>
    <cellStyle name="20% - Accent5 4 2 2 3 3 3 2" xfId="38737" xr:uid="{00000000-0005-0000-0000-000030380000}"/>
    <cellStyle name="20% - Accent5 4 2 2 3 3 4" xfId="27436" xr:uid="{00000000-0005-0000-0000-000031380000}"/>
    <cellStyle name="20% - Accent5 4 2 2 3 4" xfId="7021" xr:uid="{00000000-0005-0000-0000-000032380000}"/>
    <cellStyle name="20% - Accent5 4 2 2 3 4 2" xfId="18322" xr:uid="{00000000-0005-0000-0000-000033380000}"/>
    <cellStyle name="20% - Accent5 4 2 2 3 4 2 2" xfId="40924" xr:uid="{00000000-0005-0000-0000-000034380000}"/>
    <cellStyle name="20% - Accent5 4 2 2 3 4 3" xfId="29623" xr:uid="{00000000-0005-0000-0000-000035380000}"/>
    <cellStyle name="20% - Accent5 4 2 2 3 5" xfId="12672" xr:uid="{00000000-0005-0000-0000-000036380000}"/>
    <cellStyle name="20% - Accent5 4 2 2 3 5 2" xfId="35274" xr:uid="{00000000-0005-0000-0000-000037380000}"/>
    <cellStyle name="20% - Accent5 4 2 2 3 6" xfId="23973" xr:uid="{00000000-0005-0000-0000-000038380000}"/>
    <cellStyle name="20% - Accent5 4 2 2 4" xfId="1738" xr:uid="{00000000-0005-0000-0000-000039380000}"/>
    <cellStyle name="20% - Accent5 4 2 2 4 2" xfId="3667" xr:uid="{00000000-0005-0000-0000-00003A380000}"/>
    <cellStyle name="20% - Accent5 4 2 2 4 2 2" xfId="9378" xr:uid="{00000000-0005-0000-0000-00003B380000}"/>
    <cellStyle name="20% - Accent5 4 2 2 4 2 2 2" xfId="20679" xr:uid="{00000000-0005-0000-0000-00003C380000}"/>
    <cellStyle name="20% - Accent5 4 2 2 4 2 2 2 2" xfId="43281" xr:uid="{00000000-0005-0000-0000-00003D380000}"/>
    <cellStyle name="20% - Accent5 4 2 2 4 2 2 3" xfId="31980" xr:uid="{00000000-0005-0000-0000-00003E380000}"/>
    <cellStyle name="20% - Accent5 4 2 2 4 2 3" xfId="15029" xr:uid="{00000000-0005-0000-0000-00003F380000}"/>
    <cellStyle name="20% - Accent5 4 2 2 4 2 3 2" xfId="37631" xr:uid="{00000000-0005-0000-0000-000040380000}"/>
    <cellStyle name="20% - Accent5 4 2 2 4 2 4" xfId="26330" xr:uid="{00000000-0005-0000-0000-000041380000}"/>
    <cellStyle name="20% - Accent5 4 2 2 4 3" xfId="5444" xr:uid="{00000000-0005-0000-0000-000042380000}"/>
    <cellStyle name="20% - Accent5 4 2 2 4 3 2" xfId="11094" xr:uid="{00000000-0005-0000-0000-000043380000}"/>
    <cellStyle name="20% - Accent5 4 2 2 4 3 2 2" xfId="22395" xr:uid="{00000000-0005-0000-0000-000044380000}"/>
    <cellStyle name="20% - Accent5 4 2 2 4 3 2 2 2" xfId="44997" xr:uid="{00000000-0005-0000-0000-000045380000}"/>
    <cellStyle name="20% - Accent5 4 2 2 4 3 2 3" xfId="33696" xr:uid="{00000000-0005-0000-0000-000046380000}"/>
    <cellStyle name="20% - Accent5 4 2 2 4 3 3" xfId="16745" xr:uid="{00000000-0005-0000-0000-000047380000}"/>
    <cellStyle name="20% - Accent5 4 2 2 4 3 3 2" xfId="39347" xr:uid="{00000000-0005-0000-0000-000048380000}"/>
    <cellStyle name="20% - Accent5 4 2 2 4 3 4" xfId="28046" xr:uid="{00000000-0005-0000-0000-000049380000}"/>
    <cellStyle name="20% - Accent5 4 2 2 4 4" xfId="7594" xr:uid="{00000000-0005-0000-0000-00004A380000}"/>
    <cellStyle name="20% - Accent5 4 2 2 4 4 2" xfId="18895" xr:uid="{00000000-0005-0000-0000-00004B380000}"/>
    <cellStyle name="20% - Accent5 4 2 2 4 4 2 2" xfId="41497" xr:uid="{00000000-0005-0000-0000-00004C380000}"/>
    <cellStyle name="20% - Accent5 4 2 2 4 4 3" xfId="30196" xr:uid="{00000000-0005-0000-0000-00004D380000}"/>
    <cellStyle name="20% - Accent5 4 2 2 4 5" xfId="13245" xr:uid="{00000000-0005-0000-0000-00004E380000}"/>
    <cellStyle name="20% - Accent5 4 2 2 4 5 2" xfId="35847" xr:uid="{00000000-0005-0000-0000-00004F380000}"/>
    <cellStyle name="20% - Accent5 4 2 2 4 6" xfId="24546" xr:uid="{00000000-0005-0000-0000-000050380000}"/>
    <cellStyle name="20% - Accent5 4 2 2 5" xfId="2425" xr:uid="{00000000-0005-0000-0000-000051380000}"/>
    <cellStyle name="20% - Accent5 4 2 2 5 2" xfId="8261" xr:uid="{00000000-0005-0000-0000-000052380000}"/>
    <cellStyle name="20% - Accent5 4 2 2 5 2 2" xfId="19562" xr:uid="{00000000-0005-0000-0000-000053380000}"/>
    <cellStyle name="20% - Accent5 4 2 2 5 2 2 2" xfId="42164" xr:uid="{00000000-0005-0000-0000-000054380000}"/>
    <cellStyle name="20% - Accent5 4 2 2 5 2 3" xfId="30863" xr:uid="{00000000-0005-0000-0000-000055380000}"/>
    <cellStyle name="20% - Accent5 4 2 2 5 3" xfId="13912" xr:uid="{00000000-0005-0000-0000-000056380000}"/>
    <cellStyle name="20% - Accent5 4 2 2 5 3 2" xfId="36514" xr:uid="{00000000-0005-0000-0000-000057380000}"/>
    <cellStyle name="20% - Accent5 4 2 2 5 4" xfId="25213" xr:uid="{00000000-0005-0000-0000-000058380000}"/>
    <cellStyle name="20% - Accent5 4 2 2 6" xfId="4210" xr:uid="{00000000-0005-0000-0000-000059380000}"/>
    <cellStyle name="20% - Accent5 4 2 2 6 2" xfId="9860" xr:uid="{00000000-0005-0000-0000-00005A380000}"/>
    <cellStyle name="20% - Accent5 4 2 2 6 2 2" xfId="21161" xr:uid="{00000000-0005-0000-0000-00005B380000}"/>
    <cellStyle name="20% - Accent5 4 2 2 6 2 2 2" xfId="43763" xr:uid="{00000000-0005-0000-0000-00005C380000}"/>
    <cellStyle name="20% - Accent5 4 2 2 6 2 3" xfId="32462" xr:uid="{00000000-0005-0000-0000-00005D380000}"/>
    <cellStyle name="20% - Accent5 4 2 2 6 3" xfId="15511" xr:uid="{00000000-0005-0000-0000-00005E380000}"/>
    <cellStyle name="20% - Accent5 4 2 2 6 3 2" xfId="38113" xr:uid="{00000000-0005-0000-0000-00005F380000}"/>
    <cellStyle name="20% - Accent5 4 2 2 6 4" xfId="26812" xr:uid="{00000000-0005-0000-0000-000060380000}"/>
    <cellStyle name="20% - Accent5 4 2 2 7" xfId="6690" xr:uid="{00000000-0005-0000-0000-000061380000}"/>
    <cellStyle name="20% - Accent5 4 2 2 7 2" xfId="17991" xr:uid="{00000000-0005-0000-0000-000062380000}"/>
    <cellStyle name="20% - Accent5 4 2 2 7 2 2" xfId="40593" xr:uid="{00000000-0005-0000-0000-000063380000}"/>
    <cellStyle name="20% - Accent5 4 2 2 7 3" xfId="29292" xr:uid="{00000000-0005-0000-0000-000064380000}"/>
    <cellStyle name="20% - Accent5 4 2 2 8" xfId="12341" xr:uid="{00000000-0005-0000-0000-000065380000}"/>
    <cellStyle name="20% - Accent5 4 2 2 8 2" xfId="34943" xr:uid="{00000000-0005-0000-0000-000066380000}"/>
    <cellStyle name="20% - Accent5 4 2 2 9" xfId="23642" xr:uid="{00000000-0005-0000-0000-000067380000}"/>
    <cellStyle name="20% - Accent5 4 2 3" xfId="1197" xr:uid="{00000000-0005-0000-0000-000068380000}"/>
    <cellStyle name="20% - Accent5 4 2 3 2" xfId="1740" xr:uid="{00000000-0005-0000-0000-000069380000}"/>
    <cellStyle name="20% - Accent5 4 2 3 2 2" xfId="3265" xr:uid="{00000000-0005-0000-0000-00006A380000}"/>
    <cellStyle name="20% - Accent5 4 2 3 2 2 2" xfId="6237" xr:uid="{00000000-0005-0000-0000-00006B380000}"/>
    <cellStyle name="20% - Accent5 4 2 3 2 2 2 2" xfId="11887" xr:uid="{00000000-0005-0000-0000-00006C380000}"/>
    <cellStyle name="20% - Accent5 4 2 3 2 2 2 2 2" xfId="23188" xr:uid="{00000000-0005-0000-0000-00006D380000}"/>
    <cellStyle name="20% - Accent5 4 2 3 2 2 2 2 2 2" xfId="45790" xr:uid="{00000000-0005-0000-0000-00006E380000}"/>
    <cellStyle name="20% - Accent5 4 2 3 2 2 2 2 3" xfId="34489" xr:uid="{00000000-0005-0000-0000-00006F380000}"/>
    <cellStyle name="20% - Accent5 4 2 3 2 2 2 3" xfId="17538" xr:uid="{00000000-0005-0000-0000-000070380000}"/>
    <cellStyle name="20% - Accent5 4 2 3 2 2 2 3 2" xfId="40140" xr:uid="{00000000-0005-0000-0000-000071380000}"/>
    <cellStyle name="20% - Accent5 4 2 3 2 2 2 4" xfId="28839" xr:uid="{00000000-0005-0000-0000-000072380000}"/>
    <cellStyle name="20% - Accent5 4 2 3 2 2 3" xfId="9055" xr:uid="{00000000-0005-0000-0000-000073380000}"/>
    <cellStyle name="20% - Accent5 4 2 3 2 2 3 2" xfId="20356" xr:uid="{00000000-0005-0000-0000-000074380000}"/>
    <cellStyle name="20% - Accent5 4 2 3 2 2 3 2 2" xfId="42958" xr:uid="{00000000-0005-0000-0000-000075380000}"/>
    <cellStyle name="20% - Accent5 4 2 3 2 2 3 3" xfId="31657" xr:uid="{00000000-0005-0000-0000-000076380000}"/>
    <cellStyle name="20% - Accent5 4 2 3 2 2 4" xfId="14706" xr:uid="{00000000-0005-0000-0000-000077380000}"/>
    <cellStyle name="20% - Accent5 4 2 3 2 2 4 2" xfId="37308" xr:uid="{00000000-0005-0000-0000-000078380000}"/>
    <cellStyle name="20% - Accent5 4 2 3 2 2 5" xfId="26007" xr:uid="{00000000-0005-0000-0000-000079380000}"/>
    <cellStyle name="20% - Accent5 4 2 3 2 3" xfId="5003" xr:uid="{00000000-0005-0000-0000-00007A380000}"/>
    <cellStyle name="20% - Accent5 4 2 3 2 3 2" xfId="10653" xr:uid="{00000000-0005-0000-0000-00007B380000}"/>
    <cellStyle name="20% - Accent5 4 2 3 2 3 2 2" xfId="21954" xr:uid="{00000000-0005-0000-0000-00007C380000}"/>
    <cellStyle name="20% - Accent5 4 2 3 2 3 2 2 2" xfId="44556" xr:uid="{00000000-0005-0000-0000-00007D380000}"/>
    <cellStyle name="20% - Accent5 4 2 3 2 3 2 3" xfId="33255" xr:uid="{00000000-0005-0000-0000-00007E380000}"/>
    <cellStyle name="20% - Accent5 4 2 3 2 3 3" xfId="16304" xr:uid="{00000000-0005-0000-0000-00007F380000}"/>
    <cellStyle name="20% - Accent5 4 2 3 2 3 3 2" xfId="38906" xr:uid="{00000000-0005-0000-0000-000080380000}"/>
    <cellStyle name="20% - Accent5 4 2 3 2 3 4" xfId="27605" xr:uid="{00000000-0005-0000-0000-000081380000}"/>
    <cellStyle name="20% - Accent5 4 2 3 2 4" xfId="7596" xr:uid="{00000000-0005-0000-0000-000082380000}"/>
    <cellStyle name="20% - Accent5 4 2 3 2 4 2" xfId="18897" xr:uid="{00000000-0005-0000-0000-000083380000}"/>
    <cellStyle name="20% - Accent5 4 2 3 2 4 2 2" xfId="41499" xr:uid="{00000000-0005-0000-0000-000084380000}"/>
    <cellStyle name="20% - Accent5 4 2 3 2 4 3" xfId="30198" xr:uid="{00000000-0005-0000-0000-000085380000}"/>
    <cellStyle name="20% - Accent5 4 2 3 2 5" xfId="13247" xr:uid="{00000000-0005-0000-0000-000086380000}"/>
    <cellStyle name="20% - Accent5 4 2 3 2 5 2" xfId="35849" xr:uid="{00000000-0005-0000-0000-000087380000}"/>
    <cellStyle name="20% - Accent5 4 2 3 2 6" xfId="24548" xr:uid="{00000000-0005-0000-0000-000088380000}"/>
    <cellStyle name="20% - Accent5 4 2 3 3" xfId="2594" xr:uid="{00000000-0005-0000-0000-000089380000}"/>
    <cellStyle name="20% - Accent5 4 2 3 3 2" xfId="5613" xr:uid="{00000000-0005-0000-0000-00008A380000}"/>
    <cellStyle name="20% - Accent5 4 2 3 3 2 2" xfId="11263" xr:uid="{00000000-0005-0000-0000-00008B380000}"/>
    <cellStyle name="20% - Accent5 4 2 3 3 2 2 2" xfId="22564" xr:uid="{00000000-0005-0000-0000-00008C380000}"/>
    <cellStyle name="20% - Accent5 4 2 3 3 2 2 2 2" xfId="45166" xr:uid="{00000000-0005-0000-0000-00008D380000}"/>
    <cellStyle name="20% - Accent5 4 2 3 3 2 2 3" xfId="33865" xr:uid="{00000000-0005-0000-0000-00008E380000}"/>
    <cellStyle name="20% - Accent5 4 2 3 3 2 3" xfId="16914" xr:uid="{00000000-0005-0000-0000-00008F380000}"/>
    <cellStyle name="20% - Accent5 4 2 3 3 2 3 2" xfId="39516" xr:uid="{00000000-0005-0000-0000-000090380000}"/>
    <cellStyle name="20% - Accent5 4 2 3 3 2 4" xfId="28215" xr:uid="{00000000-0005-0000-0000-000091380000}"/>
    <cellStyle name="20% - Accent5 4 2 3 3 3" xfId="8430" xr:uid="{00000000-0005-0000-0000-000092380000}"/>
    <cellStyle name="20% - Accent5 4 2 3 3 3 2" xfId="19731" xr:uid="{00000000-0005-0000-0000-000093380000}"/>
    <cellStyle name="20% - Accent5 4 2 3 3 3 2 2" xfId="42333" xr:uid="{00000000-0005-0000-0000-000094380000}"/>
    <cellStyle name="20% - Accent5 4 2 3 3 3 3" xfId="31032" xr:uid="{00000000-0005-0000-0000-000095380000}"/>
    <cellStyle name="20% - Accent5 4 2 3 3 4" xfId="14081" xr:uid="{00000000-0005-0000-0000-000096380000}"/>
    <cellStyle name="20% - Accent5 4 2 3 3 4 2" xfId="36683" xr:uid="{00000000-0005-0000-0000-000097380000}"/>
    <cellStyle name="20% - Accent5 4 2 3 3 5" xfId="25382" xr:uid="{00000000-0005-0000-0000-000098380000}"/>
    <cellStyle name="20% - Accent5 4 2 3 4" xfId="4379" xr:uid="{00000000-0005-0000-0000-000099380000}"/>
    <cellStyle name="20% - Accent5 4 2 3 4 2" xfId="10029" xr:uid="{00000000-0005-0000-0000-00009A380000}"/>
    <cellStyle name="20% - Accent5 4 2 3 4 2 2" xfId="21330" xr:uid="{00000000-0005-0000-0000-00009B380000}"/>
    <cellStyle name="20% - Accent5 4 2 3 4 2 2 2" xfId="43932" xr:uid="{00000000-0005-0000-0000-00009C380000}"/>
    <cellStyle name="20% - Accent5 4 2 3 4 2 3" xfId="32631" xr:uid="{00000000-0005-0000-0000-00009D380000}"/>
    <cellStyle name="20% - Accent5 4 2 3 4 3" xfId="15680" xr:uid="{00000000-0005-0000-0000-00009E380000}"/>
    <cellStyle name="20% - Accent5 4 2 3 4 3 2" xfId="38282" xr:uid="{00000000-0005-0000-0000-00009F380000}"/>
    <cellStyle name="20% - Accent5 4 2 3 4 4" xfId="26981" xr:uid="{00000000-0005-0000-0000-0000A0380000}"/>
    <cellStyle name="20% - Accent5 4 2 3 5" xfId="7176" xr:uid="{00000000-0005-0000-0000-0000A1380000}"/>
    <cellStyle name="20% - Accent5 4 2 3 5 2" xfId="18477" xr:uid="{00000000-0005-0000-0000-0000A2380000}"/>
    <cellStyle name="20% - Accent5 4 2 3 5 2 2" xfId="41079" xr:uid="{00000000-0005-0000-0000-0000A3380000}"/>
    <cellStyle name="20% - Accent5 4 2 3 5 3" xfId="29778" xr:uid="{00000000-0005-0000-0000-0000A4380000}"/>
    <cellStyle name="20% - Accent5 4 2 3 6" xfId="12827" xr:uid="{00000000-0005-0000-0000-0000A5380000}"/>
    <cellStyle name="20% - Accent5 4 2 3 6 2" xfId="35429" xr:uid="{00000000-0005-0000-0000-0000A6380000}"/>
    <cellStyle name="20% - Accent5 4 2 3 7" xfId="24128" xr:uid="{00000000-0005-0000-0000-0000A7380000}"/>
    <cellStyle name="20% - Accent5 4 2 4" xfId="887" xr:uid="{00000000-0005-0000-0000-0000A8380000}"/>
    <cellStyle name="20% - Accent5 4 2 4 2" xfId="2958" xr:uid="{00000000-0005-0000-0000-0000A9380000}"/>
    <cellStyle name="20% - Accent5 4 2 4 2 2" xfId="5930" xr:uid="{00000000-0005-0000-0000-0000AA380000}"/>
    <cellStyle name="20% - Accent5 4 2 4 2 2 2" xfId="11580" xr:uid="{00000000-0005-0000-0000-0000AB380000}"/>
    <cellStyle name="20% - Accent5 4 2 4 2 2 2 2" xfId="22881" xr:uid="{00000000-0005-0000-0000-0000AC380000}"/>
    <cellStyle name="20% - Accent5 4 2 4 2 2 2 2 2" xfId="45483" xr:uid="{00000000-0005-0000-0000-0000AD380000}"/>
    <cellStyle name="20% - Accent5 4 2 4 2 2 2 3" xfId="34182" xr:uid="{00000000-0005-0000-0000-0000AE380000}"/>
    <cellStyle name="20% - Accent5 4 2 4 2 2 3" xfId="17231" xr:uid="{00000000-0005-0000-0000-0000AF380000}"/>
    <cellStyle name="20% - Accent5 4 2 4 2 2 3 2" xfId="39833" xr:uid="{00000000-0005-0000-0000-0000B0380000}"/>
    <cellStyle name="20% - Accent5 4 2 4 2 2 4" xfId="28532" xr:uid="{00000000-0005-0000-0000-0000B1380000}"/>
    <cellStyle name="20% - Accent5 4 2 4 2 3" xfId="8748" xr:uid="{00000000-0005-0000-0000-0000B2380000}"/>
    <cellStyle name="20% - Accent5 4 2 4 2 3 2" xfId="20049" xr:uid="{00000000-0005-0000-0000-0000B3380000}"/>
    <cellStyle name="20% - Accent5 4 2 4 2 3 2 2" xfId="42651" xr:uid="{00000000-0005-0000-0000-0000B4380000}"/>
    <cellStyle name="20% - Accent5 4 2 4 2 3 3" xfId="31350" xr:uid="{00000000-0005-0000-0000-0000B5380000}"/>
    <cellStyle name="20% - Accent5 4 2 4 2 4" xfId="14399" xr:uid="{00000000-0005-0000-0000-0000B6380000}"/>
    <cellStyle name="20% - Accent5 4 2 4 2 4 2" xfId="37001" xr:uid="{00000000-0005-0000-0000-0000B7380000}"/>
    <cellStyle name="20% - Accent5 4 2 4 2 5" xfId="25700" xr:uid="{00000000-0005-0000-0000-0000B8380000}"/>
    <cellStyle name="20% - Accent5 4 2 4 3" xfId="4696" xr:uid="{00000000-0005-0000-0000-0000B9380000}"/>
    <cellStyle name="20% - Accent5 4 2 4 3 2" xfId="10346" xr:uid="{00000000-0005-0000-0000-0000BA380000}"/>
    <cellStyle name="20% - Accent5 4 2 4 3 2 2" xfId="21647" xr:uid="{00000000-0005-0000-0000-0000BB380000}"/>
    <cellStyle name="20% - Accent5 4 2 4 3 2 2 2" xfId="44249" xr:uid="{00000000-0005-0000-0000-0000BC380000}"/>
    <cellStyle name="20% - Accent5 4 2 4 3 2 3" xfId="32948" xr:uid="{00000000-0005-0000-0000-0000BD380000}"/>
    <cellStyle name="20% - Accent5 4 2 4 3 3" xfId="15997" xr:uid="{00000000-0005-0000-0000-0000BE380000}"/>
    <cellStyle name="20% - Accent5 4 2 4 3 3 2" xfId="38599" xr:uid="{00000000-0005-0000-0000-0000BF380000}"/>
    <cellStyle name="20% - Accent5 4 2 4 3 4" xfId="27298" xr:uid="{00000000-0005-0000-0000-0000C0380000}"/>
    <cellStyle name="20% - Accent5 4 2 4 4" xfId="6883" xr:uid="{00000000-0005-0000-0000-0000C1380000}"/>
    <cellStyle name="20% - Accent5 4 2 4 4 2" xfId="18184" xr:uid="{00000000-0005-0000-0000-0000C2380000}"/>
    <cellStyle name="20% - Accent5 4 2 4 4 2 2" xfId="40786" xr:uid="{00000000-0005-0000-0000-0000C3380000}"/>
    <cellStyle name="20% - Accent5 4 2 4 4 3" xfId="29485" xr:uid="{00000000-0005-0000-0000-0000C4380000}"/>
    <cellStyle name="20% - Accent5 4 2 4 5" xfId="12534" xr:uid="{00000000-0005-0000-0000-0000C5380000}"/>
    <cellStyle name="20% - Accent5 4 2 4 5 2" xfId="35136" xr:uid="{00000000-0005-0000-0000-0000C6380000}"/>
    <cellStyle name="20% - Accent5 4 2 4 6" xfId="23835" xr:uid="{00000000-0005-0000-0000-0000C7380000}"/>
    <cellStyle name="20% - Accent5 4 2 5" xfId="1737" xr:uid="{00000000-0005-0000-0000-0000C8380000}"/>
    <cellStyle name="20% - Accent5 4 2 5 2" xfId="3666" xr:uid="{00000000-0005-0000-0000-0000C9380000}"/>
    <cellStyle name="20% - Accent5 4 2 5 2 2" xfId="9377" xr:uid="{00000000-0005-0000-0000-0000CA380000}"/>
    <cellStyle name="20% - Accent5 4 2 5 2 2 2" xfId="20678" xr:uid="{00000000-0005-0000-0000-0000CB380000}"/>
    <cellStyle name="20% - Accent5 4 2 5 2 2 2 2" xfId="43280" xr:uid="{00000000-0005-0000-0000-0000CC380000}"/>
    <cellStyle name="20% - Accent5 4 2 5 2 2 3" xfId="31979" xr:uid="{00000000-0005-0000-0000-0000CD380000}"/>
    <cellStyle name="20% - Accent5 4 2 5 2 3" xfId="15028" xr:uid="{00000000-0005-0000-0000-0000CE380000}"/>
    <cellStyle name="20% - Accent5 4 2 5 2 3 2" xfId="37630" xr:uid="{00000000-0005-0000-0000-0000CF380000}"/>
    <cellStyle name="20% - Accent5 4 2 5 2 4" xfId="26329" xr:uid="{00000000-0005-0000-0000-0000D0380000}"/>
    <cellStyle name="20% - Accent5 4 2 5 3" xfId="5306" xr:uid="{00000000-0005-0000-0000-0000D1380000}"/>
    <cellStyle name="20% - Accent5 4 2 5 3 2" xfId="10956" xr:uid="{00000000-0005-0000-0000-0000D2380000}"/>
    <cellStyle name="20% - Accent5 4 2 5 3 2 2" xfId="22257" xr:uid="{00000000-0005-0000-0000-0000D3380000}"/>
    <cellStyle name="20% - Accent5 4 2 5 3 2 2 2" xfId="44859" xr:uid="{00000000-0005-0000-0000-0000D4380000}"/>
    <cellStyle name="20% - Accent5 4 2 5 3 2 3" xfId="33558" xr:uid="{00000000-0005-0000-0000-0000D5380000}"/>
    <cellStyle name="20% - Accent5 4 2 5 3 3" xfId="16607" xr:uid="{00000000-0005-0000-0000-0000D6380000}"/>
    <cellStyle name="20% - Accent5 4 2 5 3 3 2" xfId="39209" xr:uid="{00000000-0005-0000-0000-0000D7380000}"/>
    <cellStyle name="20% - Accent5 4 2 5 3 4" xfId="27908" xr:uid="{00000000-0005-0000-0000-0000D8380000}"/>
    <cellStyle name="20% - Accent5 4 2 5 4" xfId="7593" xr:uid="{00000000-0005-0000-0000-0000D9380000}"/>
    <cellStyle name="20% - Accent5 4 2 5 4 2" xfId="18894" xr:uid="{00000000-0005-0000-0000-0000DA380000}"/>
    <cellStyle name="20% - Accent5 4 2 5 4 2 2" xfId="41496" xr:uid="{00000000-0005-0000-0000-0000DB380000}"/>
    <cellStyle name="20% - Accent5 4 2 5 4 3" xfId="30195" xr:uid="{00000000-0005-0000-0000-0000DC380000}"/>
    <cellStyle name="20% - Accent5 4 2 5 5" xfId="13244" xr:uid="{00000000-0005-0000-0000-0000DD380000}"/>
    <cellStyle name="20% - Accent5 4 2 5 5 2" xfId="35846" xr:uid="{00000000-0005-0000-0000-0000DE380000}"/>
    <cellStyle name="20% - Accent5 4 2 5 6" xfId="24545" xr:uid="{00000000-0005-0000-0000-0000DF380000}"/>
    <cellStyle name="20% - Accent5 4 2 6" xfId="2285" xr:uid="{00000000-0005-0000-0000-0000E0380000}"/>
    <cellStyle name="20% - Accent5 4 2 6 2" xfId="8121" xr:uid="{00000000-0005-0000-0000-0000E1380000}"/>
    <cellStyle name="20% - Accent5 4 2 6 2 2" xfId="19422" xr:uid="{00000000-0005-0000-0000-0000E2380000}"/>
    <cellStyle name="20% - Accent5 4 2 6 2 2 2" xfId="42024" xr:uid="{00000000-0005-0000-0000-0000E3380000}"/>
    <cellStyle name="20% - Accent5 4 2 6 2 3" xfId="30723" xr:uid="{00000000-0005-0000-0000-0000E4380000}"/>
    <cellStyle name="20% - Accent5 4 2 6 3" xfId="13772" xr:uid="{00000000-0005-0000-0000-0000E5380000}"/>
    <cellStyle name="20% - Accent5 4 2 6 3 2" xfId="36374" xr:uid="{00000000-0005-0000-0000-0000E6380000}"/>
    <cellStyle name="20% - Accent5 4 2 6 4" xfId="25073" xr:uid="{00000000-0005-0000-0000-0000E7380000}"/>
    <cellStyle name="20% - Accent5 4 2 7" xfId="4072" xr:uid="{00000000-0005-0000-0000-0000E8380000}"/>
    <cellStyle name="20% - Accent5 4 2 7 2" xfId="9722" xr:uid="{00000000-0005-0000-0000-0000E9380000}"/>
    <cellStyle name="20% - Accent5 4 2 7 2 2" xfId="21023" xr:uid="{00000000-0005-0000-0000-0000EA380000}"/>
    <cellStyle name="20% - Accent5 4 2 7 2 2 2" xfId="43625" xr:uid="{00000000-0005-0000-0000-0000EB380000}"/>
    <cellStyle name="20% - Accent5 4 2 7 2 3" xfId="32324" xr:uid="{00000000-0005-0000-0000-0000EC380000}"/>
    <cellStyle name="20% - Accent5 4 2 7 3" xfId="15373" xr:uid="{00000000-0005-0000-0000-0000ED380000}"/>
    <cellStyle name="20% - Accent5 4 2 7 3 2" xfId="37975" xr:uid="{00000000-0005-0000-0000-0000EE380000}"/>
    <cellStyle name="20% - Accent5 4 2 7 4" xfId="26674" xr:uid="{00000000-0005-0000-0000-0000EF380000}"/>
    <cellStyle name="20% - Accent5 4 2 8" xfId="6523" xr:uid="{00000000-0005-0000-0000-0000F0380000}"/>
    <cellStyle name="20% - Accent5 4 2 8 2" xfId="17824" xr:uid="{00000000-0005-0000-0000-0000F1380000}"/>
    <cellStyle name="20% - Accent5 4 2 8 2 2" xfId="40426" xr:uid="{00000000-0005-0000-0000-0000F2380000}"/>
    <cellStyle name="20% - Accent5 4 2 8 3" xfId="29125" xr:uid="{00000000-0005-0000-0000-0000F3380000}"/>
    <cellStyle name="20% - Accent5 4 2 9" xfId="12174" xr:uid="{00000000-0005-0000-0000-0000F4380000}"/>
    <cellStyle name="20% - Accent5 4 2 9 2" xfId="34776" xr:uid="{00000000-0005-0000-0000-0000F5380000}"/>
    <cellStyle name="20% - Accent5 4 3" xfId="429" xr:uid="{00000000-0005-0000-0000-0000F6380000}"/>
    <cellStyle name="20% - Accent5 4 3 10" xfId="23524" xr:uid="{00000000-0005-0000-0000-0000F7380000}"/>
    <cellStyle name="20% - Accent5 4 3 2" xfId="674" xr:uid="{00000000-0005-0000-0000-0000F8380000}"/>
    <cellStyle name="20% - Accent5 4 3 2 2" xfId="1384" xr:uid="{00000000-0005-0000-0000-0000F9380000}"/>
    <cellStyle name="20% - Accent5 4 3 2 2 2" xfId="1743" xr:uid="{00000000-0005-0000-0000-0000FA380000}"/>
    <cellStyle name="20% - Accent5 4 3 2 2 2 2" xfId="3453" xr:uid="{00000000-0005-0000-0000-0000FB380000}"/>
    <cellStyle name="20% - Accent5 4 3 2 2 2 2 2" xfId="6425" xr:uid="{00000000-0005-0000-0000-0000FC380000}"/>
    <cellStyle name="20% - Accent5 4 3 2 2 2 2 2 2" xfId="12075" xr:uid="{00000000-0005-0000-0000-0000FD380000}"/>
    <cellStyle name="20% - Accent5 4 3 2 2 2 2 2 2 2" xfId="23376" xr:uid="{00000000-0005-0000-0000-0000FE380000}"/>
    <cellStyle name="20% - Accent5 4 3 2 2 2 2 2 2 2 2" xfId="45978" xr:uid="{00000000-0005-0000-0000-0000FF380000}"/>
    <cellStyle name="20% - Accent5 4 3 2 2 2 2 2 2 3" xfId="34677" xr:uid="{00000000-0005-0000-0000-000000390000}"/>
    <cellStyle name="20% - Accent5 4 3 2 2 2 2 2 3" xfId="17726" xr:uid="{00000000-0005-0000-0000-000001390000}"/>
    <cellStyle name="20% - Accent5 4 3 2 2 2 2 2 3 2" xfId="40328" xr:uid="{00000000-0005-0000-0000-000002390000}"/>
    <cellStyle name="20% - Accent5 4 3 2 2 2 2 2 4" xfId="29027" xr:uid="{00000000-0005-0000-0000-000003390000}"/>
    <cellStyle name="20% - Accent5 4 3 2 2 2 2 3" xfId="9243" xr:uid="{00000000-0005-0000-0000-000004390000}"/>
    <cellStyle name="20% - Accent5 4 3 2 2 2 2 3 2" xfId="20544" xr:uid="{00000000-0005-0000-0000-000005390000}"/>
    <cellStyle name="20% - Accent5 4 3 2 2 2 2 3 2 2" xfId="43146" xr:uid="{00000000-0005-0000-0000-000006390000}"/>
    <cellStyle name="20% - Accent5 4 3 2 2 2 2 3 3" xfId="31845" xr:uid="{00000000-0005-0000-0000-000007390000}"/>
    <cellStyle name="20% - Accent5 4 3 2 2 2 2 4" xfId="14894" xr:uid="{00000000-0005-0000-0000-000008390000}"/>
    <cellStyle name="20% - Accent5 4 3 2 2 2 2 4 2" xfId="37496" xr:uid="{00000000-0005-0000-0000-000009390000}"/>
    <cellStyle name="20% - Accent5 4 3 2 2 2 2 5" xfId="26195" xr:uid="{00000000-0005-0000-0000-00000A390000}"/>
    <cellStyle name="20% - Accent5 4 3 2 2 2 3" xfId="5191" xr:uid="{00000000-0005-0000-0000-00000B390000}"/>
    <cellStyle name="20% - Accent5 4 3 2 2 2 3 2" xfId="10841" xr:uid="{00000000-0005-0000-0000-00000C390000}"/>
    <cellStyle name="20% - Accent5 4 3 2 2 2 3 2 2" xfId="22142" xr:uid="{00000000-0005-0000-0000-00000D390000}"/>
    <cellStyle name="20% - Accent5 4 3 2 2 2 3 2 2 2" xfId="44744" xr:uid="{00000000-0005-0000-0000-00000E390000}"/>
    <cellStyle name="20% - Accent5 4 3 2 2 2 3 2 3" xfId="33443" xr:uid="{00000000-0005-0000-0000-00000F390000}"/>
    <cellStyle name="20% - Accent5 4 3 2 2 2 3 3" xfId="16492" xr:uid="{00000000-0005-0000-0000-000010390000}"/>
    <cellStyle name="20% - Accent5 4 3 2 2 2 3 3 2" xfId="39094" xr:uid="{00000000-0005-0000-0000-000011390000}"/>
    <cellStyle name="20% - Accent5 4 3 2 2 2 3 4" xfId="27793" xr:uid="{00000000-0005-0000-0000-000012390000}"/>
    <cellStyle name="20% - Accent5 4 3 2 2 2 4" xfId="7599" xr:uid="{00000000-0005-0000-0000-000013390000}"/>
    <cellStyle name="20% - Accent5 4 3 2 2 2 4 2" xfId="18900" xr:uid="{00000000-0005-0000-0000-000014390000}"/>
    <cellStyle name="20% - Accent5 4 3 2 2 2 4 2 2" xfId="41502" xr:uid="{00000000-0005-0000-0000-000015390000}"/>
    <cellStyle name="20% - Accent5 4 3 2 2 2 4 3" xfId="30201" xr:uid="{00000000-0005-0000-0000-000016390000}"/>
    <cellStyle name="20% - Accent5 4 3 2 2 2 5" xfId="13250" xr:uid="{00000000-0005-0000-0000-000017390000}"/>
    <cellStyle name="20% - Accent5 4 3 2 2 2 5 2" xfId="35852" xr:uid="{00000000-0005-0000-0000-000018390000}"/>
    <cellStyle name="20% - Accent5 4 3 2 2 2 6" xfId="24551" xr:uid="{00000000-0005-0000-0000-000019390000}"/>
    <cellStyle name="20% - Accent5 4 3 2 2 3" xfId="2782" xr:uid="{00000000-0005-0000-0000-00001A390000}"/>
    <cellStyle name="20% - Accent5 4 3 2 2 3 2" xfId="5801" xr:uid="{00000000-0005-0000-0000-00001B390000}"/>
    <cellStyle name="20% - Accent5 4 3 2 2 3 2 2" xfId="11451" xr:uid="{00000000-0005-0000-0000-00001C390000}"/>
    <cellStyle name="20% - Accent5 4 3 2 2 3 2 2 2" xfId="22752" xr:uid="{00000000-0005-0000-0000-00001D390000}"/>
    <cellStyle name="20% - Accent5 4 3 2 2 3 2 2 2 2" xfId="45354" xr:uid="{00000000-0005-0000-0000-00001E390000}"/>
    <cellStyle name="20% - Accent5 4 3 2 2 3 2 2 3" xfId="34053" xr:uid="{00000000-0005-0000-0000-00001F390000}"/>
    <cellStyle name="20% - Accent5 4 3 2 2 3 2 3" xfId="17102" xr:uid="{00000000-0005-0000-0000-000020390000}"/>
    <cellStyle name="20% - Accent5 4 3 2 2 3 2 3 2" xfId="39704" xr:uid="{00000000-0005-0000-0000-000021390000}"/>
    <cellStyle name="20% - Accent5 4 3 2 2 3 2 4" xfId="28403" xr:uid="{00000000-0005-0000-0000-000022390000}"/>
    <cellStyle name="20% - Accent5 4 3 2 2 3 3" xfId="8618" xr:uid="{00000000-0005-0000-0000-000023390000}"/>
    <cellStyle name="20% - Accent5 4 3 2 2 3 3 2" xfId="19919" xr:uid="{00000000-0005-0000-0000-000024390000}"/>
    <cellStyle name="20% - Accent5 4 3 2 2 3 3 2 2" xfId="42521" xr:uid="{00000000-0005-0000-0000-000025390000}"/>
    <cellStyle name="20% - Accent5 4 3 2 2 3 3 3" xfId="31220" xr:uid="{00000000-0005-0000-0000-000026390000}"/>
    <cellStyle name="20% - Accent5 4 3 2 2 3 4" xfId="14269" xr:uid="{00000000-0005-0000-0000-000027390000}"/>
    <cellStyle name="20% - Accent5 4 3 2 2 3 4 2" xfId="36871" xr:uid="{00000000-0005-0000-0000-000028390000}"/>
    <cellStyle name="20% - Accent5 4 3 2 2 3 5" xfId="25570" xr:uid="{00000000-0005-0000-0000-000029390000}"/>
    <cellStyle name="20% - Accent5 4 3 2 2 4" xfId="4567" xr:uid="{00000000-0005-0000-0000-00002A390000}"/>
    <cellStyle name="20% - Accent5 4 3 2 2 4 2" xfId="10217" xr:uid="{00000000-0005-0000-0000-00002B390000}"/>
    <cellStyle name="20% - Accent5 4 3 2 2 4 2 2" xfId="21518" xr:uid="{00000000-0005-0000-0000-00002C390000}"/>
    <cellStyle name="20% - Accent5 4 3 2 2 4 2 2 2" xfId="44120" xr:uid="{00000000-0005-0000-0000-00002D390000}"/>
    <cellStyle name="20% - Accent5 4 3 2 2 4 2 3" xfId="32819" xr:uid="{00000000-0005-0000-0000-00002E390000}"/>
    <cellStyle name="20% - Accent5 4 3 2 2 4 3" xfId="15868" xr:uid="{00000000-0005-0000-0000-00002F390000}"/>
    <cellStyle name="20% - Accent5 4 3 2 2 4 3 2" xfId="38470" xr:uid="{00000000-0005-0000-0000-000030390000}"/>
    <cellStyle name="20% - Accent5 4 3 2 2 4 4" xfId="27169" xr:uid="{00000000-0005-0000-0000-000031390000}"/>
    <cellStyle name="20% - Accent5 4 3 2 2 5" xfId="7363" xr:uid="{00000000-0005-0000-0000-000032390000}"/>
    <cellStyle name="20% - Accent5 4 3 2 2 5 2" xfId="18664" xr:uid="{00000000-0005-0000-0000-000033390000}"/>
    <cellStyle name="20% - Accent5 4 3 2 2 5 2 2" xfId="41266" xr:uid="{00000000-0005-0000-0000-000034390000}"/>
    <cellStyle name="20% - Accent5 4 3 2 2 5 3" xfId="29965" xr:uid="{00000000-0005-0000-0000-000035390000}"/>
    <cellStyle name="20% - Accent5 4 3 2 2 6" xfId="13014" xr:uid="{00000000-0005-0000-0000-000036390000}"/>
    <cellStyle name="20% - Accent5 4 3 2 2 6 2" xfId="35616" xr:uid="{00000000-0005-0000-0000-000037390000}"/>
    <cellStyle name="20% - Accent5 4 3 2 2 7" xfId="24315" xr:uid="{00000000-0005-0000-0000-000038390000}"/>
    <cellStyle name="20% - Accent5 4 3 2 3" xfId="1082" xr:uid="{00000000-0005-0000-0000-000039390000}"/>
    <cellStyle name="20% - Accent5 4 3 2 3 2" xfId="3145" xr:uid="{00000000-0005-0000-0000-00003A390000}"/>
    <cellStyle name="20% - Accent5 4 3 2 3 2 2" xfId="6117" xr:uid="{00000000-0005-0000-0000-00003B390000}"/>
    <cellStyle name="20% - Accent5 4 3 2 3 2 2 2" xfId="11767" xr:uid="{00000000-0005-0000-0000-00003C390000}"/>
    <cellStyle name="20% - Accent5 4 3 2 3 2 2 2 2" xfId="23068" xr:uid="{00000000-0005-0000-0000-00003D390000}"/>
    <cellStyle name="20% - Accent5 4 3 2 3 2 2 2 2 2" xfId="45670" xr:uid="{00000000-0005-0000-0000-00003E390000}"/>
    <cellStyle name="20% - Accent5 4 3 2 3 2 2 2 3" xfId="34369" xr:uid="{00000000-0005-0000-0000-00003F390000}"/>
    <cellStyle name="20% - Accent5 4 3 2 3 2 2 3" xfId="17418" xr:uid="{00000000-0005-0000-0000-000040390000}"/>
    <cellStyle name="20% - Accent5 4 3 2 3 2 2 3 2" xfId="40020" xr:uid="{00000000-0005-0000-0000-000041390000}"/>
    <cellStyle name="20% - Accent5 4 3 2 3 2 2 4" xfId="28719" xr:uid="{00000000-0005-0000-0000-000042390000}"/>
    <cellStyle name="20% - Accent5 4 3 2 3 2 3" xfId="8935" xr:uid="{00000000-0005-0000-0000-000043390000}"/>
    <cellStyle name="20% - Accent5 4 3 2 3 2 3 2" xfId="20236" xr:uid="{00000000-0005-0000-0000-000044390000}"/>
    <cellStyle name="20% - Accent5 4 3 2 3 2 3 2 2" xfId="42838" xr:uid="{00000000-0005-0000-0000-000045390000}"/>
    <cellStyle name="20% - Accent5 4 3 2 3 2 3 3" xfId="31537" xr:uid="{00000000-0005-0000-0000-000046390000}"/>
    <cellStyle name="20% - Accent5 4 3 2 3 2 4" xfId="14586" xr:uid="{00000000-0005-0000-0000-000047390000}"/>
    <cellStyle name="20% - Accent5 4 3 2 3 2 4 2" xfId="37188" xr:uid="{00000000-0005-0000-0000-000048390000}"/>
    <cellStyle name="20% - Accent5 4 3 2 3 2 5" xfId="25887" xr:uid="{00000000-0005-0000-0000-000049390000}"/>
    <cellStyle name="20% - Accent5 4 3 2 3 3" xfId="4883" xr:uid="{00000000-0005-0000-0000-00004A390000}"/>
    <cellStyle name="20% - Accent5 4 3 2 3 3 2" xfId="10533" xr:uid="{00000000-0005-0000-0000-00004B390000}"/>
    <cellStyle name="20% - Accent5 4 3 2 3 3 2 2" xfId="21834" xr:uid="{00000000-0005-0000-0000-00004C390000}"/>
    <cellStyle name="20% - Accent5 4 3 2 3 3 2 2 2" xfId="44436" xr:uid="{00000000-0005-0000-0000-00004D390000}"/>
    <cellStyle name="20% - Accent5 4 3 2 3 3 2 3" xfId="33135" xr:uid="{00000000-0005-0000-0000-00004E390000}"/>
    <cellStyle name="20% - Accent5 4 3 2 3 3 3" xfId="16184" xr:uid="{00000000-0005-0000-0000-00004F390000}"/>
    <cellStyle name="20% - Accent5 4 3 2 3 3 3 2" xfId="38786" xr:uid="{00000000-0005-0000-0000-000050390000}"/>
    <cellStyle name="20% - Accent5 4 3 2 3 3 4" xfId="27485" xr:uid="{00000000-0005-0000-0000-000051390000}"/>
    <cellStyle name="20% - Accent5 4 3 2 3 4" xfId="7070" xr:uid="{00000000-0005-0000-0000-000052390000}"/>
    <cellStyle name="20% - Accent5 4 3 2 3 4 2" xfId="18371" xr:uid="{00000000-0005-0000-0000-000053390000}"/>
    <cellStyle name="20% - Accent5 4 3 2 3 4 2 2" xfId="40973" xr:uid="{00000000-0005-0000-0000-000054390000}"/>
    <cellStyle name="20% - Accent5 4 3 2 3 4 3" xfId="29672" xr:uid="{00000000-0005-0000-0000-000055390000}"/>
    <cellStyle name="20% - Accent5 4 3 2 3 5" xfId="12721" xr:uid="{00000000-0005-0000-0000-000056390000}"/>
    <cellStyle name="20% - Accent5 4 3 2 3 5 2" xfId="35323" xr:uid="{00000000-0005-0000-0000-000057390000}"/>
    <cellStyle name="20% - Accent5 4 3 2 3 6" xfId="24022" xr:uid="{00000000-0005-0000-0000-000058390000}"/>
    <cellStyle name="20% - Accent5 4 3 2 4" xfId="1742" xr:uid="{00000000-0005-0000-0000-000059390000}"/>
    <cellStyle name="20% - Accent5 4 3 2 4 2" xfId="3669" xr:uid="{00000000-0005-0000-0000-00005A390000}"/>
    <cellStyle name="20% - Accent5 4 3 2 4 2 2" xfId="9380" xr:uid="{00000000-0005-0000-0000-00005B390000}"/>
    <cellStyle name="20% - Accent5 4 3 2 4 2 2 2" xfId="20681" xr:uid="{00000000-0005-0000-0000-00005C390000}"/>
    <cellStyle name="20% - Accent5 4 3 2 4 2 2 2 2" xfId="43283" xr:uid="{00000000-0005-0000-0000-00005D390000}"/>
    <cellStyle name="20% - Accent5 4 3 2 4 2 2 3" xfId="31982" xr:uid="{00000000-0005-0000-0000-00005E390000}"/>
    <cellStyle name="20% - Accent5 4 3 2 4 2 3" xfId="15031" xr:uid="{00000000-0005-0000-0000-00005F390000}"/>
    <cellStyle name="20% - Accent5 4 3 2 4 2 3 2" xfId="37633" xr:uid="{00000000-0005-0000-0000-000060390000}"/>
    <cellStyle name="20% - Accent5 4 3 2 4 2 4" xfId="26332" xr:uid="{00000000-0005-0000-0000-000061390000}"/>
    <cellStyle name="20% - Accent5 4 3 2 4 3" xfId="5493" xr:uid="{00000000-0005-0000-0000-000062390000}"/>
    <cellStyle name="20% - Accent5 4 3 2 4 3 2" xfId="11143" xr:uid="{00000000-0005-0000-0000-000063390000}"/>
    <cellStyle name="20% - Accent5 4 3 2 4 3 2 2" xfId="22444" xr:uid="{00000000-0005-0000-0000-000064390000}"/>
    <cellStyle name="20% - Accent5 4 3 2 4 3 2 2 2" xfId="45046" xr:uid="{00000000-0005-0000-0000-000065390000}"/>
    <cellStyle name="20% - Accent5 4 3 2 4 3 2 3" xfId="33745" xr:uid="{00000000-0005-0000-0000-000066390000}"/>
    <cellStyle name="20% - Accent5 4 3 2 4 3 3" xfId="16794" xr:uid="{00000000-0005-0000-0000-000067390000}"/>
    <cellStyle name="20% - Accent5 4 3 2 4 3 3 2" xfId="39396" xr:uid="{00000000-0005-0000-0000-000068390000}"/>
    <cellStyle name="20% - Accent5 4 3 2 4 3 4" xfId="28095" xr:uid="{00000000-0005-0000-0000-000069390000}"/>
    <cellStyle name="20% - Accent5 4 3 2 4 4" xfId="7598" xr:uid="{00000000-0005-0000-0000-00006A390000}"/>
    <cellStyle name="20% - Accent5 4 3 2 4 4 2" xfId="18899" xr:uid="{00000000-0005-0000-0000-00006B390000}"/>
    <cellStyle name="20% - Accent5 4 3 2 4 4 2 2" xfId="41501" xr:uid="{00000000-0005-0000-0000-00006C390000}"/>
    <cellStyle name="20% - Accent5 4 3 2 4 4 3" xfId="30200" xr:uid="{00000000-0005-0000-0000-00006D390000}"/>
    <cellStyle name="20% - Accent5 4 3 2 4 5" xfId="13249" xr:uid="{00000000-0005-0000-0000-00006E390000}"/>
    <cellStyle name="20% - Accent5 4 3 2 4 5 2" xfId="35851" xr:uid="{00000000-0005-0000-0000-00006F390000}"/>
    <cellStyle name="20% - Accent5 4 3 2 4 6" xfId="24550" xr:uid="{00000000-0005-0000-0000-000070390000}"/>
    <cellStyle name="20% - Accent5 4 3 2 5" xfId="2474" xr:uid="{00000000-0005-0000-0000-000071390000}"/>
    <cellStyle name="20% - Accent5 4 3 2 5 2" xfId="8310" xr:uid="{00000000-0005-0000-0000-000072390000}"/>
    <cellStyle name="20% - Accent5 4 3 2 5 2 2" xfId="19611" xr:uid="{00000000-0005-0000-0000-000073390000}"/>
    <cellStyle name="20% - Accent5 4 3 2 5 2 2 2" xfId="42213" xr:uid="{00000000-0005-0000-0000-000074390000}"/>
    <cellStyle name="20% - Accent5 4 3 2 5 2 3" xfId="30912" xr:uid="{00000000-0005-0000-0000-000075390000}"/>
    <cellStyle name="20% - Accent5 4 3 2 5 3" xfId="13961" xr:uid="{00000000-0005-0000-0000-000076390000}"/>
    <cellStyle name="20% - Accent5 4 3 2 5 3 2" xfId="36563" xr:uid="{00000000-0005-0000-0000-000077390000}"/>
    <cellStyle name="20% - Accent5 4 3 2 5 4" xfId="25262" xr:uid="{00000000-0005-0000-0000-000078390000}"/>
    <cellStyle name="20% - Accent5 4 3 2 6" xfId="4259" xr:uid="{00000000-0005-0000-0000-000079390000}"/>
    <cellStyle name="20% - Accent5 4 3 2 6 2" xfId="9909" xr:uid="{00000000-0005-0000-0000-00007A390000}"/>
    <cellStyle name="20% - Accent5 4 3 2 6 2 2" xfId="21210" xr:uid="{00000000-0005-0000-0000-00007B390000}"/>
    <cellStyle name="20% - Accent5 4 3 2 6 2 2 2" xfId="43812" xr:uid="{00000000-0005-0000-0000-00007C390000}"/>
    <cellStyle name="20% - Accent5 4 3 2 6 2 3" xfId="32511" xr:uid="{00000000-0005-0000-0000-00007D390000}"/>
    <cellStyle name="20% - Accent5 4 3 2 6 3" xfId="15560" xr:uid="{00000000-0005-0000-0000-00007E390000}"/>
    <cellStyle name="20% - Accent5 4 3 2 6 3 2" xfId="38162" xr:uid="{00000000-0005-0000-0000-00007F390000}"/>
    <cellStyle name="20% - Accent5 4 3 2 6 4" xfId="26861" xr:uid="{00000000-0005-0000-0000-000080390000}"/>
    <cellStyle name="20% - Accent5 4 3 2 7" xfId="6739" xr:uid="{00000000-0005-0000-0000-000081390000}"/>
    <cellStyle name="20% - Accent5 4 3 2 7 2" xfId="18040" xr:uid="{00000000-0005-0000-0000-000082390000}"/>
    <cellStyle name="20% - Accent5 4 3 2 7 2 2" xfId="40642" xr:uid="{00000000-0005-0000-0000-000083390000}"/>
    <cellStyle name="20% - Accent5 4 3 2 7 3" xfId="29341" xr:uid="{00000000-0005-0000-0000-000084390000}"/>
    <cellStyle name="20% - Accent5 4 3 2 8" xfId="12390" xr:uid="{00000000-0005-0000-0000-000085390000}"/>
    <cellStyle name="20% - Accent5 4 3 2 8 2" xfId="34992" xr:uid="{00000000-0005-0000-0000-000086390000}"/>
    <cellStyle name="20% - Accent5 4 3 2 9" xfId="23691" xr:uid="{00000000-0005-0000-0000-000087390000}"/>
    <cellStyle name="20% - Accent5 4 3 3" xfId="1246" xr:uid="{00000000-0005-0000-0000-000088390000}"/>
    <cellStyle name="20% - Accent5 4 3 3 2" xfId="1744" xr:uid="{00000000-0005-0000-0000-000089390000}"/>
    <cellStyle name="20% - Accent5 4 3 3 2 2" xfId="3314" xr:uid="{00000000-0005-0000-0000-00008A390000}"/>
    <cellStyle name="20% - Accent5 4 3 3 2 2 2" xfId="6286" xr:uid="{00000000-0005-0000-0000-00008B390000}"/>
    <cellStyle name="20% - Accent5 4 3 3 2 2 2 2" xfId="11936" xr:uid="{00000000-0005-0000-0000-00008C390000}"/>
    <cellStyle name="20% - Accent5 4 3 3 2 2 2 2 2" xfId="23237" xr:uid="{00000000-0005-0000-0000-00008D390000}"/>
    <cellStyle name="20% - Accent5 4 3 3 2 2 2 2 2 2" xfId="45839" xr:uid="{00000000-0005-0000-0000-00008E390000}"/>
    <cellStyle name="20% - Accent5 4 3 3 2 2 2 2 3" xfId="34538" xr:uid="{00000000-0005-0000-0000-00008F390000}"/>
    <cellStyle name="20% - Accent5 4 3 3 2 2 2 3" xfId="17587" xr:uid="{00000000-0005-0000-0000-000090390000}"/>
    <cellStyle name="20% - Accent5 4 3 3 2 2 2 3 2" xfId="40189" xr:uid="{00000000-0005-0000-0000-000091390000}"/>
    <cellStyle name="20% - Accent5 4 3 3 2 2 2 4" xfId="28888" xr:uid="{00000000-0005-0000-0000-000092390000}"/>
    <cellStyle name="20% - Accent5 4 3 3 2 2 3" xfId="9104" xr:uid="{00000000-0005-0000-0000-000093390000}"/>
    <cellStyle name="20% - Accent5 4 3 3 2 2 3 2" xfId="20405" xr:uid="{00000000-0005-0000-0000-000094390000}"/>
    <cellStyle name="20% - Accent5 4 3 3 2 2 3 2 2" xfId="43007" xr:uid="{00000000-0005-0000-0000-000095390000}"/>
    <cellStyle name="20% - Accent5 4 3 3 2 2 3 3" xfId="31706" xr:uid="{00000000-0005-0000-0000-000096390000}"/>
    <cellStyle name="20% - Accent5 4 3 3 2 2 4" xfId="14755" xr:uid="{00000000-0005-0000-0000-000097390000}"/>
    <cellStyle name="20% - Accent5 4 3 3 2 2 4 2" xfId="37357" xr:uid="{00000000-0005-0000-0000-000098390000}"/>
    <cellStyle name="20% - Accent5 4 3 3 2 2 5" xfId="26056" xr:uid="{00000000-0005-0000-0000-000099390000}"/>
    <cellStyle name="20% - Accent5 4 3 3 2 3" xfId="5052" xr:uid="{00000000-0005-0000-0000-00009A390000}"/>
    <cellStyle name="20% - Accent5 4 3 3 2 3 2" xfId="10702" xr:uid="{00000000-0005-0000-0000-00009B390000}"/>
    <cellStyle name="20% - Accent5 4 3 3 2 3 2 2" xfId="22003" xr:uid="{00000000-0005-0000-0000-00009C390000}"/>
    <cellStyle name="20% - Accent5 4 3 3 2 3 2 2 2" xfId="44605" xr:uid="{00000000-0005-0000-0000-00009D390000}"/>
    <cellStyle name="20% - Accent5 4 3 3 2 3 2 3" xfId="33304" xr:uid="{00000000-0005-0000-0000-00009E390000}"/>
    <cellStyle name="20% - Accent5 4 3 3 2 3 3" xfId="16353" xr:uid="{00000000-0005-0000-0000-00009F390000}"/>
    <cellStyle name="20% - Accent5 4 3 3 2 3 3 2" xfId="38955" xr:uid="{00000000-0005-0000-0000-0000A0390000}"/>
    <cellStyle name="20% - Accent5 4 3 3 2 3 4" xfId="27654" xr:uid="{00000000-0005-0000-0000-0000A1390000}"/>
    <cellStyle name="20% - Accent5 4 3 3 2 4" xfId="7600" xr:uid="{00000000-0005-0000-0000-0000A2390000}"/>
    <cellStyle name="20% - Accent5 4 3 3 2 4 2" xfId="18901" xr:uid="{00000000-0005-0000-0000-0000A3390000}"/>
    <cellStyle name="20% - Accent5 4 3 3 2 4 2 2" xfId="41503" xr:uid="{00000000-0005-0000-0000-0000A4390000}"/>
    <cellStyle name="20% - Accent5 4 3 3 2 4 3" xfId="30202" xr:uid="{00000000-0005-0000-0000-0000A5390000}"/>
    <cellStyle name="20% - Accent5 4 3 3 2 5" xfId="13251" xr:uid="{00000000-0005-0000-0000-0000A6390000}"/>
    <cellStyle name="20% - Accent5 4 3 3 2 5 2" xfId="35853" xr:uid="{00000000-0005-0000-0000-0000A7390000}"/>
    <cellStyle name="20% - Accent5 4 3 3 2 6" xfId="24552" xr:uid="{00000000-0005-0000-0000-0000A8390000}"/>
    <cellStyle name="20% - Accent5 4 3 3 3" xfId="2643" xr:uid="{00000000-0005-0000-0000-0000A9390000}"/>
    <cellStyle name="20% - Accent5 4 3 3 3 2" xfId="5662" xr:uid="{00000000-0005-0000-0000-0000AA390000}"/>
    <cellStyle name="20% - Accent5 4 3 3 3 2 2" xfId="11312" xr:uid="{00000000-0005-0000-0000-0000AB390000}"/>
    <cellStyle name="20% - Accent5 4 3 3 3 2 2 2" xfId="22613" xr:uid="{00000000-0005-0000-0000-0000AC390000}"/>
    <cellStyle name="20% - Accent5 4 3 3 3 2 2 2 2" xfId="45215" xr:uid="{00000000-0005-0000-0000-0000AD390000}"/>
    <cellStyle name="20% - Accent5 4 3 3 3 2 2 3" xfId="33914" xr:uid="{00000000-0005-0000-0000-0000AE390000}"/>
    <cellStyle name="20% - Accent5 4 3 3 3 2 3" xfId="16963" xr:uid="{00000000-0005-0000-0000-0000AF390000}"/>
    <cellStyle name="20% - Accent5 4 3 3 3 2 3 2" xfId="39565" xr:uid="{00000000-0005-0000-0000-0000B0390000}"/>
    <cellStyle name="20% - Accent5 4 3 3 3 2 4" xfId="28264" xr:uid="{00000000-0005-0000-0000-0000B1390000}"/>
    <cellStyle name="20% - Accent5 4 3 3 3 3" xfId="8479" xr:uid="{00000000-0005-0000-0000-0000B2390000}"/>
    <cellStyle name="20% - Accent5 4 3 3 3 3 2" xfId="19780" xr:uid="{00000000-0005-0000-0000-0000B3390000}"/>
    <cellStyle name="20% - Accent5 4 3 3 3 3 2 2" xfId="42382" xr:uid="{00000000-0005-0000-0000-0000B4390000}"/>
    <cellStyle name="20% - Accent5 4 3 3 3 3 3" xfId="31081" xr:uid="{00000000-0005-0000-0000-0000B5390000}"/>
    <cellStyle name="20% - Accent5 4 3 3 3 4" xfId="14130" xr:uid="{00000000-0005-0000-0000-0000B6390000}"/>
    <cellStyle name="20% - Accent5 4 3 3 3 4 2" xfId="36732" xr:uid="{00000000-0005-0000-0000-0000B7390000}"/>
    <cellStyle name="20% - Accent5 4 3 3 3 5" xfId="25431" xr:uid="{00000000-0005-0000-0000-0000B8390000}"/>
    <cellStyle name="20% - Accent5 4 3 3 4" xfId="4428" xr:uid="{00000000-0005-0000-0000-0000B9390000}"/>
    <cellStyle name="20% - Accent5 4 3 3 4 2" xfId="10078" xr:uid="{00000000-0005-0000-0000-0000BA390000}"/>
    <cellStyle name="20% - Accent5 4 3 3 4 2 2" xfId="21379" xr:uid="{00000000-0005-0000-0000-0000BB390000}"/>
    <cellStyle name="20% - Accent5 4 3 3 4 2 2 2" xfId="43981" xr:uid="{00000000-0005-0000-0000-0000BC390000}"/>
    <cellStyle name="20% - Accent5 4 3 3 4 2 3" xfId="32680" xr:uid="{00000000-0005-0000-0000-0000BD390000}"/>
    <cellStyle name="20% - Accent5 4 3 3 4 3" xfId="15729" xr:uid="{00000000-0005-0000-0000-0000BE390000}"/>
    <cellStyle name="20% - Accent5 4 3 3 4 3 2" xfId="38331" xr:uid="{00000000-0005-0000-0000-0000BF390000}"/>
    <cellStyle name="20% - Accent5 4 3 3 4 4" xfId="27030" xr:uid="{00000000-0005-0000-0000-0000C0390000}"/>
    <cellStyle name="20% - Accent5 4 3 3 5" xfId="7225" xr:uid="{00000000-0005-0000-0000-0000C1390000}"/>
    <cellStyle name="20% - Accent5 4 3 3 5 2" xfId="18526" xr:uid="{00000000-0005-0000-0000-0000C2390000}"/>
    <cellStyle name="20% - Accent5 4 3 3 5 2 2" xfId="41128" xr:uid="{00000000-0005-0000-0000-0000C3390000}"/>
    <cellStyle name="20% - Accent5 4 3 3 5 3" xfId="29827" xr:uid="{00000000-0005-0000-0000-0000C4390000}"/>
    <cellStyle name="20% - Accent5 4 3 3 6" xfId="12876" xr:uid="{00000000-0005-0000-0000-0000C5390000}"/>
    <cellStyle name="20% - Accent5 4 3 3 6 2" xfId="35478" xr:uid="{00000000-0005-0000-0000-0000C6390000}"/>
    <cellStyle name="20% - Accent5 4 3 3 7" xfId="24177" xr:uid="{00000000-0005-0000-0000-0000C7390000}"/>
    <cellStyle name="20% - Accent5 4 3 4" xfId="937" xr:uid="{00000000-0005-0000-0000-0000C8390000}"/>
    <cellStyle name="20% - Accent5 4 3 4 2" xfId="3007" xr:uid="{00000000-0005-0000-0000-0000C9390000}"/>
    <cellStyle name="20% - Accent5 4 3 4 2 2" xfId="5979" xr:uid="{00000000-0005-0000-0000-0000CA390000}"/>
    <cellStyle name="20% - Accent5 4 3 4 2 2 2" xfId="11629" xr:uid="{00000000-0005-0000-0000-0000CB390000}"/>
    <cellStyle name="20% - Accent5 4 3 4 2 2 2 2" xfId="22930" xr:uid="{00000000-0005-0000-0000-0000CC390000}"/>
    <cellStyle name="20% - Accent5 4 3 4 2 2 2 2 2" xfId="45532" xr:uid="{00000000-0005-0000-0000-0000CD390000}"/>
    <cellStyle name="20% - Accent5 4 3 4 2 2 2 3" xfId="34231" xr:uid="{00000000-0005-0000-0000-0000CE390000}"/>
    <cellStyle name="20% - Accent5 4 3 4 2 2 3" xfId="17280" xr:uid="{00000000-0005-0000-0000-0000CF390000}"/>
    <cellStyle name="20% - Accent5 4 3 4 2 2 3 2" xfId="39882" xr:uid="{00000000-0005-0000-0000-0000D0390000}"/>
    <cellStyle name="20% - Accent5 4 3 4 2 2 4" xfId="28581" xr:uid="{00000000-0005-0000-0000-0000D1390000}"/>
    <cellStyle name="20% - Accent5 4 3 4 2 3" xfId="8797" xr:uid="{00000000-0005-0000-0000-0000D2390000}"/>
    <cellStyle name="20% - Accent5 4 3 4 2 3 2" xfId="20098" xr:uid="{00000000-0005-0000-0000-0000D3390000}"/>
    <cellStyle name="20% - Accent5 4 3 4 2 3 2 2" xfId="42700" xr:uid="{00000000-0005-0000-0000-0000D4390000}"/>
    <cellStyle name="20% - Accent5 4 3 4 2 3 3" xfId="31399" xr:uid="{00000000-0005-0000-0000-0000D5390000}"/>
    <cellStyle name="20% - Accent5 4 3 4 2 4" xfId="14448" xr:uid="{00000000-0005-0000-0000-0000D6390000}"/>
    <cellStyle name="20% - Accent5 4 3 4 2 4 2" xfId="37050" xr:uid="{00000000-0005-0000-0000-0000D7390000}"/>
    <cellStyle name="20% - Accent5 4 3 4 2 5" xfId="25749" xr:uid="{00000000-0005-0000-0000-0000D8390000}"/>
    <cellStyle name="20% - Accent5 4 3 4 3" xfId="4745" xr:uid="{00000000-0005-0000-0000-0000D9390000}"/>
    <cellStyle name="20% - Accent5 4 3 4 3 2" xfId="10395" xr:uid="{00000000-0005-0000-0000-0000DA390000}"/>
    <cellStyle name="20% - Accent5 4 3 4 3 2 2" xfId="21696" xr:uid="{00000000-0005-0000-0000-0000DB390000}"/>
    <cellStyle name="20% - Accent5 4 3 4 3 2 2 2" xfId="44298" xr:uid="{00000000-0005-0000-0000-0000DC390000}"/>
    <cellStyle name="20% - Accent5 4 3 4 3 2 3" xfId="32997" xr:uid="{00000000-0005-0000-0000-0000DD390000}"/>
    <cellStyle name="20% - Accent5 4 3 4 3 3" xfId="16046" xr:uid="{00000000-0005-0000-0000-0000DE390000}"/>
    <cellStyle name="20% - Accent5 4 3 4 3 3 2" xfId="38648" xr:uid="{00000000-0005-0000-0000-0000DF390000}"/>
    <cellStyle name="20% - Accent5 4 3 4 3 4" xfId="27347" xr:uid="{00000000-0005-0000-0000-0000E0390000}"/>
    <cellStyle name="20% - Accent5 4 3 4 4" xfId="6932" xr:uid="{00000000-0005-0000-0000-0000E1390000}"/>
    <cellStyle name="20% - Accent5 4 3 4 4 2" xfId="18233" xr:uid="{00000000-0005-0000-0000-0000E2390000}"/>
    <cellStyle name="20% - Accent5 4 3 4 4 2 2" xfId="40835" xr:uid="{00000000-0005-0000-0000-0000E3390000}"/>
    <cellStyle name="20% - Accent5 4 3 4 4 3" xfId="29534" xr:uid="{00000000-0005-0000-0000-0000E4390000}"/>
    <cellStyle name="20% - Accent5 4 3 4 5" xfId="12583" xr:uid="{00000000-0005-0000-0000-0000E5390000}"/>
    <cellStyle name="20% - Accent5 4 3 4 5 2" xfId="35185" xr:uid="{00000000-0005-0000-0000-0000E6390000}"/>
    <cellStyle name="20% - Accent5 4 3 4 6" xfId="23884" xr:uid="{00000000-0005-0000-0000-0000E7390000}"/>
    <cellStyle name="20% - Accent5 4 3 5" xfId="1741" xr:uid="{00000000-0005-0000-0000-0000E8390000}"/>
    <cellStyle name="20% - Accent5 4 3 5 2" xfId="3668" xr:uid="{00000000-0005-0000-0000-0000E9390000}"/>
    <cellStyle name="20% - Accent5 4 3 5 2 2" xfId="9379" xr:uid="{00000000-0005-0000-0000-0000EA390000}"/>
    <cellStyle name="20% - Accent5 4 3 5 2 2 2" xfId="20680" xr:uid="{00000000-0005-0000-0000-0000EB390000}"/>
    <cellStyle name="20% - Accent5 4 3 5 2 2 2 2" xfId="43282" xr:uid="{00000000-0005-0000-0000-0000EC390000}"/>
    <cellStyle name="20% - Accent5 4 3 5 2 2 3" xfId="31981" xr:uid="{00000000-0005-0000-0000-0000ED390000}"/>
    <cellStyle name="20% - Accent5 4 3 5 2 3" xfId="15030" xr:uid="{00000000-0005-0000-0000-0000EE390000}"/>
    <cellStyle name="20% - Accent5 4 3 5 2 3 2" xfId="37632" xr:uid="{00000000-0005-0000-0000-0000EF390000}"/>
    <cellStyle name="20% - Accent5 4 3 5 2 4" xfId="26331" xr:uid="{00000000-0005-0000-0000-0000F0390000}"/>
    <cellStyle name="20% - Accent5 4 3 5 3" xfId="5355" xr:uid="{00000000-0005-0000-0000-0000F1390000}"/>
    <cellStyle name="20% - Accent5 4 3 5 3 2" xfId="11005" xr:uid="{00000000-0005-0000-0000-0000F2390000}"/>
    <cellStyle name="20% - Accent5 4 3 5 3 2 2" xfId="22306" xr:uid="{00000000-0005-0000-0000-0000F3390000}"/>
    <cellStyle name="20% - Accent5 4 3 5 3 2 2 2" xfId="44908" xr:uid="{00000000-0005-0000-0000-0000F4390000}"/>
    <cellStyle name="20% - Accent5 4 3 5 3 2 3" xfId="33607" xr:uid="{00000000-0005-0000-0000-0000F5390000}"/>
    <cellStyle name="20% - Accent5 4 3 5 3 3" xfId="16656" xr:uid="{00000000-0005-0000-0000-0000F6390000}"/>
    <cellStyle name="20% - Accent5 4 3 5 3 3 2" xfId="39258" xr:uid="{00000000-0005-0000-0000-0000F7390000}"/>
    <cellStyle name="20% - Accent5 4 3 5 3 4" xfId="27957" xr:uid="{00000000-0005-0000-0000-0000F8390000}"/>
    <cellStyle name="20% - Accent5 4 3 5 4" xfId="7597" xr:uid="{00000000-0005-0000-0000-0000F9390000}"/>
    <cellStyle name="20% - Accent5 4 3 5 4 2" xfId="18898" xr:uid="{00000000-0005-0000-0000-0000FA390000}"/>
    <cellStyle name="20% - Accent5 4 3 5 4 2 2" xfId="41500" xr:uid="{00000000-0005-0000-0000-0000FB390000}"/>
    <cellStyle name="20% - Accent5 4 3 5 4 3" xfId="30199" xr:uid="{00000000-0005-0000-0000-0000FC390000}"/>
    <cellStyle name="20% - Accent5 4 3 5 5" xfId="13248" xr:uid="{00000000-0005-0000-0000-0000FD390000}"/>
    <cellStyle name="20% - Accent5 4 3 5 5 2" xfId="35850" xr:uid="{00000000-0005-0000-0000-0000FE390000}"/>
    <cellStyle name="20% - Accent5 4 3 5 6" xfId="24549" xr:uid="{00000000-0005-0000-0000-0000FF390000}"/>
    <cellStyle name="20% - Accent5 4 3 6" xfId="2334" xr:uid="{00000000-0005-0000-0000-0000003A0000}"/>
    <cellStyle name="20% - Accent5 4 3 6 2" xfId="8170" xr:uid="{00000000-0005-0000-0000-0000013A0000}"/>
    <cellStyle name="20% - Accent5 4 3 6 2 2" xfId="19471" xr:uid="{00000000-0005-0000-0000-0000023A0000}"/>
    <cellStyle name="20% - Accent5 4 3 6 2 2 2" xfId="42073" xr:uid="{00000000-0005-0000-0000-0000033A0000}"/>
    <cellStyle name="20% - Accent5 4 3 6 2 3" xfId="30772" xr:uid="{00000000-0005-0000-0000-0000043A0000}"/>
    <cellStyle name="20% - Accent5 4 3 6 3" xfId="13821" xr:uid="{00000000-0005-0000-0000-0000053A0000}"/>
    <cellStyle name="20% - Accent5 4 3 6 3 2" xfId="36423" xr:uid="{00000000-0005-0000-0000-0000063A0000}"/>
    <cellStyle name="20% - Accent5 4 3 6 4" xfId="25122" xr:uid="{00000000-0005-0000-0000-0000073A0000}"/>
    <cellStyle name="20% - Accent5 4 3 7" xfId="4121" xr:uid="{00000000-0005-0000-0000-0000083A0000}"/>
    <cellStyle name="20% - Accent5 4 3 7 2" xfId="9771" xr:uid="{00000000-0005-0000-0000-0000093A0000}"/>
    <cellStyle name="20% - Accent5 4 3 7 2 2" xfId="21072" xr:uid="{00000000-0005-0000-0000-00000A3A0000}"/>
    <cellStyle name="20% - Accent5 4 3 7 2 2 2" xfId="43674" xr:uid="{00000000-0005-0000-0000-00000B3A0000}"/>
    <cellStyle name="20% - Accent5 4 3 7 2 3" xfId="32373" xr:uid="{00000000-0005-0000-0000-00000C3A0000}"/>
    <cellStyle name="20% - Accent5 4 3 7 3" xfId="15422" xr:uid="{00000000-0005-0000-0000-00000D3A0000}"/>
    <cellStyle name="20% - Accent5 4 3 7 3 2" xfId="38024" xr:uid="{00000000-0005-0000-0000-00000E3A0000}"/>
    <cellStyle name="20% - Accent5 4 3 7 4" xfId="26723" xr:uid="{00000000-0005-0000-0000-00000F3A0000}"/>
    <cellStyle name="20% - Accent5 4 3 8" xfId="6572" xr:uid="{00000000-0005-0000-0000-0000103A0000}"/>
    <cellStyle name="20% - Accent5 4 3 8 2" xfId="17873" xr:uid="{00000000-0005-0000-0000-0000113A0000}"/>
    <cellStyle name="20% - Accent5 4 3 8 2 2" xfId="40475" xr:uid="{00000000-0005-0000-0000-0000123A0000}"/>
    <cellStyle name="20% - Accent5 4 3 8 3" xfId="29174" xr:uid="{00000000-0005-0000-0000-0000133A0000}"/>
    <cellStyle name="20% - Accent5 4 3 9" xfId="12223" xr:uid="{00000000-0005-0000-0000-0000143A0000}"/>
    <cellStyle name="20% - Accent5 4 3 9 2" xfId="34825" xr:uid="{00000000-0005-0000-0000-0000153A0000}"/>
    <cellStyle name="20% - Accent5 4 4" xfId="576" xr:uid="{00000000-0005-0000-0000-0000163A0000}"/>
    <cellStyle name="20% - Accent5 4 4 2" xfId="1150" xr:uid="{00000000-0005-0000-0000-0000173A0000}"/>
    <cellStyle name="20% - Accent5 4 4 2 2" xfId="1746" xr:uid="{00000000-0005-0000-0000-0000183A0000}"/>
    <cellStyle name="20% - Accent5 4 4 2 2 2" xfId="3218" xr:uid="{00000000-0005-0000-0000-0000193A0000}"/>
    <cellStyle name="20% - Accent5 4 4 2 2 2 2" xfId="6190" xr:uid="{00000000-0005-0000-0000-00001A3A0000}"/>
    <cellStyle name="20% - Accent5 4 4 2 2 2 2 2" xfId="11840" xr:uid="{00000000-0005-0000-0000-00001B3A0000}"/>
    <cellStyle name="20% - Accent5 4 4 2 2 2 2 2 2" xfId="23141" xr:uid="{00000000-0005-0000-0000-00001C3A0000}"/>
    <cellStyle name="20% - Accent5 4 4 2 2 2 2 2 2 2" xfId="45743" xr:uid="{00000000-0005-0000-0000-00001D3A0000}"/>
    <cellStyle name="20% - Accent5 4 4 2 2 2 2 2 3" xfId="34442" xr:uid="{00000000-0005-0000-0000-00001E3A0000}"/>
    <cellStyle name="20% - Accent5 4 4 2 2 2 2 3" xfId="17491" xr:uid="{00000000-0005-0000-0000-00001F3A0000}"/>
    <cellStyle name="20% - Accent5 4 4 2 2 2 2 3 2" xfId="40093" xr:uid="{00000000-0005-0000-0000-0000203A0000}"/>
    <cellStyle name="20% - Accent5 4 4 2 2 2 2 4" xfId="28792" xr:uid="{00000000-0005-0000-0000-0000213A0000}"/>
    <cellStyle name="20% - Accent5 4 4 2 2 2 3" xfId="9008" xr:uid="{00000000-0005-0000-0000-0000223A0000}"/>
    <cellStyle name="20% - Accent5 4 4 2 2 2 3 2" xfId="20309" xr:uid="{00000000-0005-0000-0000-0000233A0000}"/>
    <cellStyle name="20% - Accent5 4 4 2 2 2 3 2 2" xfId="42911" xr:uid="{00000000-0005-0000-0000-0000243A0000}"/>
    <cellStyle name="20% - Accent5 4 4 2 2 2 3 3" xfId="31610" xr:uid="{00000000-0005-0000-0000-0000253A0000}"/>
    <cellStyle name="20% - Accent5 4 4 2 2 2 4" xfId="14659" xr:uid="{00000000-0005-0000-0000-0000263A0000}"/>
    <cellStyle name="20% - Accent5 4 4 2 2 2 4 2" xfId="37261" xr:uid="{00000000-0005-0000-0000-0000273A0000}"/>
    <cellStyle name="20% - Accent5 4 4 2 2 2 5" xfId="25960" xr:uid="{00000000-0005-0000-0000-0000283A0000}"/>
    <cellStyle name="20% - Accent5 4 4 2 2 3" xfId="4956" xr:uid="{00000000-0005-0000-0000-0000293A0000}"/>
    <cellStyle name="20% - Accent5 4 4 2 2 3 2" xfId="10606" xr:uid="{00000000-0005-0000-0000-00002A3A0000}"/>
    <cellStyle name="20% - Accent5 4 4 2 2 3 2 2" xfId="21907" xr:uid="{00000000-0005-0000-0000-00002B3A0000}"/>
    <cellStyle name="20% - Accent5 4 4 2 2 3 2 2 2" xfId="44509" xr:uid="{00000000-0005-0000-0000-00002C3A0000}"/>
    <cellStyle name="20% - Accent5 4 4 2 2 3 2 3" xfId="33208" xr:uid="{00000000-0005-0000-0000-00002D3A0000}"/>
    <cellStyle name="20% - Accent5 4 4 2 2 3 3" xfId="16257" xr:uid="{00000000-0005-0000-0000-00002E3A0000}"/>
    <cellStyle name="20% - Accent5 4 4 2 2 3 3 2" xfId="38859" xr:uid="{00000000-0005-0000-0000-00002F3A0000}"/>
    <cellStyle name="20% - Accent5 4 4 2 2 3 4" xfId="27558" xr:uid="{00000000-0005-0000-0000-0000303A0000}"/>
    <cellStyle name="20% - Accent5 4 4 2 2 4" xfId="7602" xr:uid="{00000000-0005-0000-0000-0000313A0000}"/>
    <cellStyle name="20% - Accent5 4 4 2 2 4 2" xfId="18903" xr:uid="{00000000-0005-0000-0000-0000323A0000}"/>
    <cellStyle name="20% - Accent5 4 4 2 2 4 2 2" xfId="41505" xr:uid="{00000000-0005-0000-0000-0000333A0000}"/>
    <cellStyle name="20% - Accent5 4 4 2 2 4 3" xfId="30204" xr:uid="{00000000-0005-0000-0000-0000343A0000}"/>
    <cellStyle name="20% - Accent5 4 4 2 2 5" xfId="13253" xr:uid="{00000000-0005-0000-0000-0000353A0000}"/>
    <cellStyle name="20% - Accent5 4 4 2 2 5 2" xfId="35855" xr:uid="{00000000-0005-0000-0000-0000363A0000}"/>
    <cellStyle name="20% - Accent5 4 4 2 2 6" xfId="24554" xr:uid="{00000000-0005-0000-0000-0000373A0000}"/>
    <cellStyle name="20% - Accent5 4 4 2 3" xfId="2547" xr:uid="{00000000-0005-0000-0000-0000383A0000}"/>
    <cellStyle name="20% - Accent5 4 4 2 3 2" xfId="5566" xr:uid="{00000000-0005-0000-0000-0000393A0000}"/>
    <cellStyle name="20% - Accent5 4 4 2 3 2 2" xfId="11216" xr:uid="{00000000-0005-0000-0000-00003A3A0000}"/>
    <cellStyle name="20% - Accent5 4 4 2 3 2 2 2" xfId="22517" xr:uid="{00000000-0005-0000-0000-00003B3A0000}"/>
    <cellStyle name="20% - Accent5 4 4 2 3 2 2 2 2" xfId="45119" xr:uid="{00000000-0005-0000-0000-00003C3A0000}"/>
    <cellStyle name="20% - Accent5 4 4 2 3 2 2 3" xfId="33818" xr:uid="{00000000-0005-0000-0000-00003D3A0000}"/>
    <cellStyle name="20% - Accent5 4 4 2 3 2 3" xfId="16867" xr:uid="{00000000-0005-0000-0000-00003E3A0000}"/>
    <cellStyle name="20% - Accent5 4 4 2 3 2 3 2" xfId="39469" xr:uid="{00000000-0005-0000-0000-00003F3A0000}"/>
    <cellStyle name="20% - Accent5 4 4 2 3 2 4" xfId="28168" xr:uid="{00000000-0005-0000-0000-0000403A0000}"/>
    <cellStyle name="20% - Accent5 4 4 2 3 3" xfId="8383" xr:uid="{00000000-0005-0000-0000-0000413A0000}"/>
    <cellStyle name="20% - Accent5 4 4 2 3 3 2" xfId="19684" xr:uid="{00000000-0005-0000-0000-0000423A0000}"/>
    <cellStyle name="20% - Accent5 4 4 2 3 3 2 2" xfId="42286" xr:uid="{00000000-0005-0000-0000-0000433A0000}"/>
    <cellStyle name="20% - Accent5 4 4 2 3 3 3" xfId="30985" xr:uid="{00000000-0005-0000-0000-0000443A0000}"/>
    <cellStyle name="20% - Accent5 4 4 2 3 4" xfId="14034" xr:uid="{00000000-0005-0000-0000-0000453A0000}"/>
    <cellStyle name="20% - Accent5 4 4 2 3 4 2" xfId="36636" xr:uid="{00000000-0005-0000-0000-0000463A0000}"/>
    <cellStyle name="20% - Accent5 4 4 2 3 5" xfId="25335" xr:uid="{00000000-0005-0000-0000-0000473A0000}"/>
    <cellStyle name="20% - Accent5 4 4 2 4" xfId="4332" xr:uid="{00000000-0005-0000-0000-0000483A0000}"/>
    <cellStyle name="20% - Accent5 4 4 2 4 2" xfId="9982" xr:uid="{00000000-0005-0000-0000-0000493A0000}"/>
    <cellStyle name="20% - Accent5 4 4 2 4 2 2" xfId="21283" xr:uid="{00000000-0005-0000-0000-00004A3A0000}"/>
    <cellStyle name="20% - Accent5 4 4 2 4 2 2 2" xfId="43885" xr:uid="{00000000-0005-0000-0000-00004B3A0000}"/>
    <cellStyle name="20% - Accent5 4 4 2 4 2 3" xfId="32584" xr:uid="{00000000-0005-0000-0000-00004C3A0000}"/>
    <cellStyle name="20% - Accent5 4 4 2 4 3" xfId="15633" xr:uid="{00000000-0005-0000-0000-00004D3A0000}"/>
    <cellStyle name="20% - Accent5 4 4 2 4 3 2" xfId="38235" xr:uid="{00000000-0005-0000-0000-00004E3A0000}"/>
    <cellStyle name="20% - Accent5 4 4 2 4 4" xfId="26934" xr:uid="{00000000-0005-0000-0000-00004F3A0000}"/>
    <cellStyle name="20% - Accent5 4 4 2 5" xfId="7129" xr:uid="{00000000-0005-0000-0000-0000503A0000}"/>
    <cellStyle name="20% - Accent5 4 4 2 5 2" xfId="18430" xr:uid="{00000000-0005-0000-0000-0000513A0000}"/>
    <cellStyle name="20% - Accent5 4 4 2 5 2 2" xfId="41032" xr:uid="{00000000-0005-0000-0000-0000523A0000}"/>
    <cellStyle name="20% - Accent5 4 4 2 5 3" xfId="29731" xr:uid="{00000000-0005-0000-0000-0000533A0000}"/>
    <cellStyle name="20% - Accent5 4 4 2 6" xfId="12780" xr:uid="{00000000-0005-0000-0000-0000543A0000}"/>
    <cellStyle name="20% - Accent5 4 4 2 6 2" xfId="35382" xr:uid="{00000000-0005-0000-0000-0000553A0000}"/>
    <cellStyle name="20% - Accent5 4 4 2 7" xfId="24081" xr:uid="{00000000-0005-0000-0000-0000563A0000}"/>
    <cellStyle name="20% - Accent5 4 4 3" xfId="824" xr:uid="{00000000-0005-0000-0000-0000573A0000}"/>
    <cellStyle name="20% - Accent5 4 4 3 2" xfId="2911" xr:uid="{00000000-0005-0000-0000-0000583A0000}"/>
    <cellStyle name="20% - Accent5 4 4 3 2 2" xfId="5883" xr:uid="{00000000-0005-0000-0000-0000593A0000}"/>
    <cellStyle name="20% - Accent5 4 4 3 2 2 2" xfId="11533" xr:uid="{00000000-0005-0000-0000-00005A3A0000}"/>
    <cellStyle name="20% - Accent5 4 4 3 2 2 2 2" xfId="22834" xr:uid="{00000000-0005-0000-0000-00005B3A0000}"/>
    <cellStyle name="20% - Accent5 4 4 3 2 2 2 2 2" xfId="45436" xr:uid="{00000000-0005-0000-0000-00005C3A0000}"/>
    <cellStyle name="20% - Accent5 4 4 3 2 2 2 3" xfId="34135" xr:uid="{00000000-0005-0000-0000-00005D3A0000}"/>
    <cellStyle name="20% - Accent5 4 4 3 2 2 3" xfId="17184" xr:uid="{00000000-0005-0000-0000-00005E3A0000}"/>
    <cellStyle name="20% - Accent5 4 4 3 2 2 3 2" xfId="39786" xr:uid="{00000000-0005-0000-0000-00005F3A0000}"/>
    <cellStyle name="20% - Accent5 4 4 3 2 2 4" xfId="28485" xr:uid="{00000000-0005-0000-0000-0000603A0000}"/>
    <cellStyle name="20% - Accent5 4 4 3 2 3" xfId="8701" xr:uid="{00000000-0005-0000-0000-0000613A0000}"/>
    <cellStyle name="20% - Accent5 4 4 3 2 3 2" xfId="20002" xr:uid="{00000000-0005-0000-0000-0000623A0000}"/>
    <cellStyle name="20% - Accent5 4 4 3 2 3 2 2" xfId="42604" xr:uid="{00000000-0005-0000-0000-0000633A0000}"/>
    <cellStyle name="20% - Accent5 4 4 3 2 3 3" xfId="31303" xr:uid="{00000000-0005-0000-0000-0000643A0000}"/>
    <cellStyle name="20% - Accent5 4 4 3 2 4" xfId="14352" xr:uid="{00000000-0005-0000-0000-0000653A0000}"/>
    <cellStyle name="20% - Accent5 4 4 3 2 4 2" xfId="36954" xr:uid="{00000000-0005-0000-0000-0000663A0000}"/>
    <cellStyle name="20% - Accent5 4 4 3 2 5" xfId="25653" xr:uid="{00000000-0005-0000-0000-0000673A0000}"/>
    <cellStyle name="20% - Accent5 4 4 3 3" xfId="4649" xr:uid="{00000000-0005-0000-0000-0000683A0000}"/>
    <cellStyle name="20% - Accent5 4 4 3 3 2" xfId="10299" xr:uid="{00000000-0005-0000-0000-0000693A0000}"/>
    <cellStyle name="20% - Accent5 4 4 3 3 2 2" xfId="21600" xr:uid="{00000000-0005-0000-0000-00006A3A0000}"/>
    <cellStyle name="20% - Accent5 4 4 3 3 2 2 2" xfId="44202" xr:uid="{00000000-0005-0000-0000-00006B3A0000}"/>
    <cellStyle name="20% - Accent5 4 4 3 3 2 3" xfId="32901" xr:uid="{00000000-0005-0000-0000-00006C3A0000}"/>
    <cellStyle name="20% - Accent5 4 4 3 3 3" xfId="15950" xr:uid="{00000000-0005-0000-0000-00006D3A0000}"/>
    <cellStyle name="20% - Accent5 4 4 3 3 3 2" xfId="38552" xr:uid="{00000000-0005-0000-0000-00006E3A0000}"/>
    <cellStyle name="20% - Accent5 4 4 3 3 4" xfId="27251" xr:uid="{00000000-0005-0000-0000-00006F3A0000}"/>
    <cellStyle name="20% - Accent5 4 4 3 4" xfId="6832" xr:uid="{00000000-0005-0000-0000-0000703A0000}"/>
    <cellStyle name="20% - Accent5 4 4 3 4 2" xfId="18133" xr:uid="{00000000-0005-0000-0000-0000713A0000}"/>
    <cellStyle name="20% - Accent5 4 4 3 4 2 2" xfId="40735" xr:uid="{00000000-0005-0000-0000-0000723A0000}"/>
    <cellStyle name="20% - Accent5 4 4 3 4 3" xfId="29434" xr:uid="{00000000-0005-0000-0000-0000733A0000}"/>
    <cellStyle name="20% - Accent5 4 4 3 5" xfId="12483" xr:uid="{00000000-0005-0000-0000-0000743A0000}"/>
    <cellStyle name="20% - Accent5 4 4 3 5 2" xfId="35085" xr:uid="{00000000-0005-0000-0000-0000753A0000}"/>
    <cellStyle name="20% - Accent5 4 4 3 6" xfId="23784" xr:uid="{00000000-0005-0000-0000-0000763A0000}"/>
    <cellStyle name="20% - Accent5 4 4 4" xfId="1745" xr:uid="{00000000-0005-0000-0000-0000773A0000}"/>
    <cellStyle name="20% - Accent5 4 4 4 2" xfId="3670" xr:uid="{00000000-0005-0000-0000-0000783A0000}"/>
    <cellStyle name="20% - Accent5 4 4 4 2 2" xfId="9381" xr:uid="{00000000-0005-0000-0000-0000793A0000}"/>
    <cellStyle name="20% - Accent5 4 4 4 2 2 2" xfId="20682" xr:uid="{00000000-0005-0000-0000-00007A3A0000}"/>
    <cellStyle name="20% - Accent5 4 4 4 2 2 2 2" xfId="43284" xr:uid="{00000000-0005-0000-0000-00007B3A0000}"/>
    <cellStyle name="20% - Accent5 4 4 4 2 2 3" xfId="31983" xr:uid="{00000000-0005-0000-0000-00007C3A0000}"/>
    <cellStyle name="20% - Accent5 4 4 4 2 3" xfId="15032" xr:uid="{00000000-0005-0000-0000-00007D3A0000}"/>
    <cellStyle name="20% - Accent5 4 4 4 2 3 2" xfId="37634" xr:uid="{00000000-0005-0000-0000-00007E3A0000}"/>
    <cellStyle name="20% - Accent5 4 4 4 2 4" xfId="26333" xr:uid="{00000000-0005-0000-0000-00007F3A0000}"/>
    <cellStyle name="20% - Accent5 4 4 4 3" xfId="5259" xr:uid="{00000000-0005-0000-0000-0000803A0000}"/>
    <cellStyle name="20% - Accent5 4 4 4 3 2" xfId="10909" xr:uid="{00000000-0005-0000-0000-0000813A0000}"/>
    <cellStyle name="20% - Accent5 4 4 4 3 2 2" xfId="22210" xr:uid="{00000000-0005-0000-0000-0000823A0000}"/>
    <cellStyle name="20% - Accent5 4 4 4 3 2 2 2" xfId="44812" xr:uid="{00000000-0005-0000-0000-0000833A0000}"/>
    <cellStyle name="20% - Accent5 4 4 4 3 2 3" xfId="33511" xr:uid="{00000000-0005-0000-0000-0000843A0000}"/>
    <cellStyle name="20% - Accent5 4 4 4 3 3" xfId="16560" xr:uid="{00000000-0005-0000-0000-0000853A0000}"/>
    <cellStyle name="20% - Accent5 4 4 4 3 3 2" xfId="39162" xr:uid="{00000000-0005-0000-0000-0000863A0000}"/>
    <cellStyle name="20% - Accent5 4 4 4 3 4" xfId="27861" xr:uid="{00000000-0005-0000-0000-0000873A0000}"/>
    <cellStyle name="20% - Accent5 4 4 4 4" xfId="7601" xr:uid="{00000000-0005-0000-0000-0000883A0000}"/>
    <cellStyle name="20% - Accent5 4 4 4 4 2" xfId="18902" xr:uid="{00000000-0005-0000-0000-0000893A0000}"/>
    <cellStyle name="20% - Accent5 4 4 4 4 2 2" xfId="41504" xr:uid="{00000000-0005-0000-0000-00008A3A0000}"/>
    <cellStyle name="20% - Accent5 4 4 4 4 3" xfId="30203" xr:uid="{00000000-0005-0000-0000-00008B3A0000}"/>
    <cellStyle name="20% - Accent5 4 4 4 5" xfId="13252" xr:uid="{00000000-0005-0000-0000-00008C3A0000}"/>
    <cellStyle name="20% - Accent5 4 4 4 5 2" xfId="35854" xr:uid="{00000000-0005-0000-0000-00008D3A0000}"/>
    <cellStyle name="20% - Accent5 4 4 4 6" xfId="24553" xr:uid="{00000000-0005-0000-0000-00008E3A0000}"/>
    <cellStyle name="20% - Accent5 4 4 5" xfId="2231" xr:uid="{00000000-0005-0000-0000-00008F3A0000}"/>
    <cellStyle name="20% - Accent5 4 4 5 2" xfId="8073" xr:uid="{00000000-0005-0000-0000-0000903A0000}"/>
    <cellStyle name="20% - Accent5 4 4 5 2 2" xfId="19374" xr:uid="{00000000-0005-0000-0000-0000913A0000}"/>
    <cellStyle name="20% - Accent5 4 4 5 2 2 2" xfId="41976" xr:uid="{00000000-0005-0000-0000-0000923A0000}"/>
    <cellStyle name="20% - Accent5 4 4 5 2 3" xfId="30675" xr:uid="{00000000-0005-0000-0000-0000933A0000}"/>
    <cellStyle name="20% - Accent5 4 4 5 3" xfId="13724" xr:uid="{00000000-0005-0000-0000-0000943A0000}"/>
    <cellStyle name="20% - Accent5 4 4 5 3 2" xfId="36326" xr:uid="{00000000-0005-0000-0000-0000953A0000}"/>
    <cellStyle name="20% - Accent5 4 4 5 4" xfId="25025" xr:uid="{00000000-0005-0000-0000-0000963A0000}"/>
    <cellStyle name="20% - Accent5 4 4 6" xfId="4025" xr:uid="{00000000-0005-0000-0000-0000973A0000}"/>
    <cellStyle name="20% - Accent5 4 4 6 2" xfId="9675" xr:uid="{00000000-0005-0000-0000-0000983A0000}"/>
    <cellStyle name="20% - Accent5 4 4 6 2 2" xfId="20976" xr:uid="{00000000-0005-0000-0000-0000993A0000}"/>
    <cellStyle name="20% - Accent5 4 4 6 2 2 2" xfId="43578" xr:uid="{00000000-0005-0000-0000-00009A3A0000}"/>
    <cellStyle name="20% - Accent5 4 4 6 2 3" xfId="32277" xr:uid="{00000000-0005-0000-0000-00009B3A0000}"/>
    <cellStyle name="20% - Accent5 4 4 6 3" xfId="15326" xr:uid="{00000000-0005-0000-0000-00009C3A0000}"/>
    <cellStyle name="20% - Accent5 4 4 6 3 2" xfId="37928" xr:uid="{00000000-0005-0000-0000-00009D3A0000}"/>
    <cellStyle name="20% - Accent5 4 4 6 4" xfId="26627" xr:uid="{00000000-0005-0000-0000-00009E3A0000}"/>
    <cellStyle name="20% - Accent5 4 4 7" xfId="6643" xr:uid="{00000000-0005-0000-0000-00009F3A0000}"/>
    <cellStyle name="20% - Accent5 4 4 7 2" xfId="17944" xr:uid="{00000000-0005-0000-0000-0000A03A0000}"/>
    <cellStyle name="20% - Accent5 4 4 7 2 2" xfId="40546" xr:uid="{00000000-0005-0000-0000-0000A13A0000}"/>
    <cellStyle name="20% - Accent5 4 4 7 3" xfId="29245" xr:uid="{00000000-0005-0000-0000-0000A23A0000}"/>
    <cellStyle name="20% - Accent5 4 4 8" xfId="12294" xr:uid="{00000000-0005-0000-0000-0000A33A0000}"/>
    <cellStyle name="20% - Accent5 4 4 8 2" xfId="34896" xr:uid="{00000000-0005-0000-0000-0000A43A0000}"/>
    <cellStyle name="20% - Accent5 4 4 9" xfId="23595" xr:uid="{00000000-0005-0000-0000-0000A53A0000}"/>
    <cellStyle name="20% - Accent5 4 5" xfId="520" xr:uid="{00000000-0005-0000-0000-0000A63A0000}"/>
    <cellStyle name="20% - Accent5 4 5 2" xfId="1289" xr:uid="{00000000-0005-0000-0000-0000A73A0000}"/>
    <cellStyle name="20% - Accent5 4 5 2 2" xfId="1748" xr:uid="{00000000-0005-0000-0000-0000A83A0000}"/>
    <cellStyle name="20% - Accent5 4 5 2 2 2" xfId="3358" xr:uid="{00000000-0005-0000-0000-0000A93A0000}"/>
    <cellStyle name="20% - Accent5 4 5 2 2 2 2" xfId="6330" xr:uid="{00000000-0005-0000-0000-0000AA3A0000}"/>
    <cellStyle name="20% - Accent5 4 5 2 2 2 2 2" xfId="11980" xr:uid="{00000000-0005-0000-0000-0000AB3A0000}"/>
    <cellStyle name="20% - Accent5 4 5 2 2 2 2 2 2" xfId="23281" xr:uid="{00000000-0005-0000-0000-0000AC3A0000}"/>
    <cellStyle name="20% - Accent5 4 5 2 2 2 2 2 2 2" xfId="45883" xr:uid="{00000000-0005-0000-0000-0000AD3A0000}"/>
    <cellStyle name="20% - Accent5 4 5 2 2 2 2 2 3" xfId="34582" xr:uid="{00000000-0005-0000-0000-0000AE3A0000}"/>
    <cellStyle name="20% - Accent5 4 5 2 2 2 2 3" xfId="17631" xr:uid="{00000000-0005-0000-0000-0000AF3A0000}"/>
    <cellStyle name="20% - Accent5 4 5 2 2 2 2 3 2" xfId="40233" xr:uid="{00000000-0005-0000-0000-0000B03A0000}"/>
    <cellStyle name="20% - Accent5 4 5 2 2 2 2 4" xfId="28932" xr:uid="{00000000-0005-0000-0000-0000B13A0000}"/>
    <cellStyle name="20% - Accent5 4 5 2 2 2 3" xfId="9148" xr:uid="{00000000-0005-0000-0000-0000B23A0000}"/>
    <cellStyle name="20% - Accent5 4 5 2 2 2 3 2" xfId="20449" xr:uid="{00000000-0005-0000-0000-0000B33A0000}"/>
    <cellStyle name="20% - Accent5 4 5 2 2 2 3 2 2" xfId="43051" xr:uid="{00000000-0005-0000-0000-0000B43A0000}"/>
    <cellStyle name="20% - Accent5 4 5 2 2 2 3 3" xfId="31750" xr:uid="{00000000-0005-0000-0000-0000B53A0000}"/>
    <cellStyle name="20% - Accent5 4 5 2 2 2 4" xfId="14799" xr:uid="{00000000-0005-0000-0000-0000B63A0000}"/>
    <cellStyle name="20% - Accent5 4 5 2 2 2 4 2" xfId="37401" xr:uid="{00000000-0005-0000-0000-0000B73A0000}"/>
    <cellStyle name="20% - Accent5 4 5 2 2 2 5" xfId="26100" xr:uid="{00000000-0005-0000-0000-0000B83A0000}"/>
    <cellStyle name="20% - Accent5 4 5 2 2 3" xfId="5096" xr:uid="{00000000-0005-0000-0000-0000B93A0000}"/>
    <cellStyle name="20% - Accent5 4 5 2 2 3 2" xfId="10746" xr:uid="{00000000-0005-0000-0000-0000BA3A0000}"/>
    <cellStyle name="20% - Accent5 4 5 2 2 3 2 2" xfId="22047" xr:uid="{00000000-0005-0000-0000-0000BB3A0000}"/>
    <cellStyle name="20% - Accent5 4 5 2 2 3 2 2 2" xfId="44649" xr:uid="{00000000-0005-0000-0000-0000BC3A0000}"/>
    <cellStyle name="20% - Accent5 4 5 2 2 3 2 3" xfId="33348" xr:uid="{00000000-0005-0000-0000-0000BD3A0000}"/>
    <cellStyle name="20% - Accent5 4 5 2 2 3 3" xfId="16397" xr:uid="{00000000-0005-0000-0000-0000BE3A0000}"/>
    <cellStyle name="20% - Accent5 4 5 2 2 3 3 2" xfId="38999" xr:uid="{00000000-0005-0000-0000-0000BF3A0000}"/>
    <cellStyle name="20% - Accent5 4 5 2 2 3 4" xfId="27698" xr:uid="{00000000-0005-0000-0000-0000C03A0000}"/>
    <cellStyle name="20% - Accent5 4 5 2 2 4" xfId="7604" xr:uid="{00000000-0005-0000-0000-0000C13A0000}"/>
    <cellStyle name="20% - Accent5 4 5 2 2 4 2" xfId="18905" xr:uid="{00000000-0005-0000-0000-0000C23A0000}"/>
    <cellStyle name="20% - Accent5 4 5 2 2 4 2 2" xfId="41507" xr:uid="{00000000-0005-0000-0000-0000C33A0000}"/>
    <cellStyle name="20% - Accent5 4 5 2 2 4 3" xfId="30206" xr:uid="{00000000-0005-0000-0000-0000C43A0000}"/>
    <cellStyle name="20% - Accent5 4 5 2 2 5" xfId="13255" xr:uid="{00000000-0005-0000-0000-0000C53A0000}"/>
    <cellStyle name="20% - Accent5 4 5 2 2 5 2" xfId="35857" xr:uid="{00000000-0005-0000-0000-0000C63A0000}"/>
    <cellStyle name="20% - Accent5 4 5 2 2 6" xfId="24556" xr:uid="{00000000-0005-0000-0000-0000C73A0000}"/>
    <cellStyle name="20% - Accent5 4 5 2 3" xfId="2687" xr:uid="{00000000-0005-0000-0000-0000C83A0000}"/>
    <cellStyle name="20% - Accent5 4 5 2 3 2" xfId="5706" xr:uid="{00000000-0005-0000-0000-0000C93A0000}"/>
    <cellStyle name="20% - Accent5 4 5 2 3 2 2" xfId="11356" xr:uid="{00000000-0005-0000-0000-0000CA3A0000}"/>
    <cellStyle name="20% - Accent5 4 5 2 3 2 2 2" xfId="22657" xr:uid="{00000000-0005-0000-0000-0000CB3A0000}"/>
    <cellStyle name="20% - Accent5 4 5 2 3 2 2 2 2" xfId="45259" xr:uid="{00000000-0005-0000-0000-0000CC3A0000}"/>
    <cellStyle name="20% - Accent5 4 5 2 3 2 2 3" xfId="33958" xr:uid="{00000000-0005-0000-0000-0000CD3A0000}"/>
    <cellStyle name="20% - Accent5 4 5 2 3 2 3" xfId="17007" xr:uid="{00000000-0005-0000-0000-0000CE3A0000}"/>
    <cellStyle name="20% - Accent5 4 5 2 3 2 3 2" xfId="39609" xr:uid="{00000000-0005-0000-0000-0000CF3A0000}"/>
    <cellStyle name="20% - Accent5 4 5 2 3 2 4" xfId="28308" xr:uid="{00000000-0005-0000-0000-0000D03A0000}"/>
    <cellStyle name="20% - Accent5 4 5 2 3 3" xfId="8523" xr:uid="{00000000-0005-0000-0000-0000D13A0000}"/>
    <cellStyle name="20% - Accent5 4 5 2 3 3 2" xfId="19824" xr:uid="{00000000-0005-0000-0000-0000D23A0000}"/>
    <cellStyle name="20% - Accent5 4 5 2 3 3 2 2" xfId="42426" xr:uid="{00000000-0005-0000-0000-0000D33A0000}"/>
    <cellStyle name="20% - Accent5 4 5 2 3 3 3" xfId="31125" xr:uid="{00000000-0005-0000-0000-0000D43A0000}"/>
    <cellStyle name="20% - Accent5 4 5 2 3 4" xfId="14174" xr:uid="{00000000-0005-0000-0000-0000D53A0000}"/>
    <cellStyle name="20% - Accent5 4 5 2 3 4 2" xfId="36776" xr:uid="{00000000-0005-0000-0000-0000D63A0000}"/>
    <cellStyle name="20% - Accent5 4 5 2 3 5" xfId="25475" xr:uid="{00000000-0005-0000-0000-0000D73A0000}"/>
    <cellStyle name="20% - Accent5 4 5 2 4" xfId="4472" xr:uid="{00000000-0005-0000-0000-0000D83A0000}"/>
    <cellStyle name="20% - Accent5 4 5 2 4 2" xfId="10122" xr:uid="{00000000-0005-0000-0000-0000D93A0000}"/>
    <cellStyle name="20% - Accent5 4 5 2 4 2 2" xfId="21423" xr:uid="{00000000-0005-0000-0000-0000DA3A0000}"/>
    <cellStyle name="20% - Accent5 4 5 2 4 2 2 2" xfId="44025" xr:uid="{00000000-0005-0000-0000-0000DB3A0000}"/>
    <cellStyle name="20% - Accent5 4 5 2 4 2 3" xfId="32724" xr:uid="{00000000-0005-0000-0000-0000DC3A0000}"/>
    <cellStyle name="20% - Accent5 4 5 2 4 3" xfId="15773" xr:uid="{00000000-0005-0000-0000-0000DD3A0000}"/>
    <cellStyle name="20% - Accent5 4 5 2 4 3 2" xfId="38375" xr:uid="{00000000-0005-0000-0000-0000DE3A0000}"/>
    <cellStyle name="20% - Accent5 4 5 2 4 4" xfId="27074" xr:uid="{00000000-0005-0000-0000-0000DF3A0000}"/>
    <cellStyle name="20% - Accent5 4 5 2 5" xfId="7268" xr:uid="{00000000-0005-0000-0000-0000E03A0000}"/>
    <cellStyle name="20% - Accent5 4 5 2 5 2" xfId="18569" xr:uid="{00000000-0005-0000-0000-0000E13A0000}"/>
    <cellStyle name="20% - Accent5 4 5 2 5 2 2" xfId="41171" xr:uid="{00000000-0005-0000-0000-0000E23A0000}"/>
    <cellStyle name="20% - Accent5 4 5 2 5 3" xfId="29870" xr:uid="{00000000-0005-0000-0000-0000E33A0000}"/>
    <cellStyle name="20% - Accent5 4 5 2 6" xfId="12919" xr:uid="{00000000-0005-0000-0000-0000E43A0000}"/>
    <cellStyle name="20% - Accent5 4 5 2 6 2" xfId="35521" xr:uid="{00000000-0005-0000-0000-0000E53A0000}"/>
    <cellStyle name="20% - Accent5 4 5 2 7" xfId="24220" xr:uid="{00000000-0005-0000-0000-0000E63A0000}"/>
    <cellStyle name="20% - Accent5 4 5 3" xfId="987" xr:uid="{00000000-0005-0000-0000-0000E73A0000}"/>
    <cellStyle name="20% - Accent5 4 5 3 2" xfId="3050" xr:uid="{00000000-0005-0000-0000-0000E83A0000}"/>
    <cellStyle name="20% - Accent5 4 5 3 2 2" xfId="6022" xr:uid="{00000000-0005-0000-0000-0000E93A0000}"/>
    <cellStyle name="20% - Accent5 4 5 3 2 2 2" xfId="11672" xr:uid="{00000000-0005-0000-0000-0000EA3A0000}"/>
    <cellStyle name="20% - Accent5 4 5 3 2 2 2 2" xfId="22973" xr:uid="{00000000-0005-0000-0000-0000EB3A0000}"/>
    <cellStyle name="20% - Accent5 4 5 3 2 2 2 2 2" xfId="45575" xr:uid="{00000000-0005-0000-0000-0000EC3A0000}"/>
    <cellStyle name="20% - Accent5 4 5 3 2 2 2 3" xfId="34274" xr:uid="{00000000-0005-0000-0000-0000ED3A0000}"/>
    <cellStyle name="20% - Accent5 4 5 3 2 2 3" xfId="17323" xr:uid="{00000000-0005-0000-0000-0000EE3A0000}"/>
    <cellStyle name="20% - Accent5 4 5 3 2 2 3 2" xfId="39925" xr:uid="{00000000-0005-0000-0000-0000EF3A0000}"/>
    <cellStyle name="20% - Accent5 4 5 3 2 2 4" xfId="28624" xr:uid="{00000000-0005-0000-0000-0000F03A0000}"/>
    <cellStyle name="20% - Accent5 4 5 3 2 3" xfId="8840" xr:uid="{00000000-0005-0000-0000-0000F13A0000}"/>
    <cellStyle name="20% - Accent5 4 5 3 2 3 2" xfId="20141" xr:uid="{00000000-0005-0000-0000-0000F23A0000}"/>
    <cellStyle name="20% - Accent5 4 5 3 2 3 2 2" xfId="42743" xr:uid="{00000000-0005-0000-0000-0000F33A0000}"/>
    <cellStyle name="20% - Accent5 4 5 3 2 3 3" xfId="31442" xr:uid="{00000000-0005-0000-0000-0000F43A0000}"/>
    <cellStyle name="20% - Accent5 4 5 3 2 4" xfId="14491" xr:uid="{00000000-0005-0000-0000-0000F53A0000}"/>
    <cellStyle name="20% - Accent5 4 5 3 2 4 2" xfId="37093" xr:uid="{00000000-0005-0000-0000-0000F63A0000}"/>
    <cellStyle name="20% - Accent5 4 5 3 2 5" xfId="25792" xr:uid="{00000000-0005-0000-0000-0000F73A0000}"/>
    <cellStyle name="20% - Accent5 4 5 3 3" xfId="4788" xr:uid="{00000000-0005-0000-0000-0000F83A0000}"/>
    <cellStyle name="20% - Accent5 4 5 3 3 2" xfId="10438" xr:uid="{00000000-0005-0000-0000-0000F93A0000}"/>
    <cellStyle name="20% - Accent5 4 5 3 3 2 2" xfId="21739" xr:uid="{00000000-0005-0000-0000-0000FA3A0000}"/>
    <cellStyle name="20% - Accent5 4 5 3 3 2 2 2" xfId="44341" xr:uid="{00000000-0005-0000-0000-0000FB3A0000}"/>
    <cellStyle name="20% - Accent5 4 5 3 3 2 3" xfId="33040" xr:uid="{00000000-0005-0000-0000-0000FC3A0000}"/>
    <cellStyle name="20% - Accent5 4 5 3 3 3" xfId="16089" xr:uid="{00000000-0005-0000-0000-0000FD3A0000}"/>
    <cellStyle name="20% - Accent5 4 5 3 3 3 2" xfId="38691" xr:uid="{00000000-0005-0000-0000-0000FE3A0000}"/>
    <cellStyle name="20% - Accent5 4 5 3 3 4" xfId="27390" xr:uid="{00000000-0005-0000-0000-0000FF3A0000}"/>
    <cellStyle name="20% - Accent5 4 5 3 4" xfId="6975" xr:uid="{00000000-0005-0000-0000-0000003B0000}"/>
    <cellStyle name="20% - Accent5 4 5 3 4 2" xfId="18276" xr:uid="{00000000-0005-0000-0000-0000013B0000}"/>
    <cellStyle name="20% - Accent5 4 5 3 4 2 2" xfId="40878" xr:uid="{00000000-0005-0000-0000-0000023B0000}"/>
    <cellStyle name="20% - Accent5 4 5 3 4 3" xfId="29577" xr:uid="{00000000-0005-0000-0000-0000033B0000}"/>
    <cellStyle name="20% - Accent5 4 5 3 5" xfId="12626" xr:uid="{00000000-0005-0000-0000-0000043B0000}"/>
    <cellStyle name="20% - Accent5 4 5 3 5 2" xfId="35228" xr:uid="{00000000-0005-0000-0000-0000053B0000}"/>
    <cellStyle name="20% - Accent5 4 5 3 6" xfId="23927" xr:uid="{00000000-0005-0000-0000-0000063B0000}"/>
    <cellStyle name="20% - Accent5 4 5 4" xfId="1747" xr:uid="{00000000-0005-0000-0000-0000073B0000}"/>
    <cellStyle name="20% - Accent5 4 5 4 2" xfId="3671" xr:uid="{00000000-0005-0000-0000-0000083B0000}"/>
    <cellStyle name="20% - Accent5 4 5 4 2 2" xfId="9382" xr:uid="{00000000-0005-0000-0000-0000093B0000}"/>
    <cellStyle name="20% - Accent5 4 5 4 2 2 2" xfId="20683" xr:uid="{00000000-0005-0000-0000-00000A3B0000}"/>
    <cellStyle name="20% - Accent5 4 5 4 2 2 2 2" xfId="43285" xr:uid="{00000000-0005-0000-0000-00000B3B0000}"/>
    <cellStyle name="20% - Accent5 4 5 4 2 2 3" xfId="31984" xr:uid="{00000000-0005-0000-0000-00000C3B0000}"/>
    <cellStyle name="20% - Accent5 4 5 4 2 3" xfId="15033" xr:uid="{00000000-0005-0000-0000-00000D3B0000}"/>
    <cellStyle name="20% - Accent5 4 5 4 2 3 2" xfId="37635" xr:uid="{00000000-0005-0000-0000-00000E3B0000}"/>
    <cellStyle name="20% - Accent5 4 5 4 2 4" xfId="26334" xr:uid="{00000000-0005-0000-0000-00000F3B0000}"/>
    <cellStyle name="20% - Accent5 4 5 4 3" xfId="5398" xr:uid="{00000000-0005-0000-0000-0000103B0000}"/>
    <cellStyle name="20% - Accent5 4 5 4 3 2" xfId="11048" xr:uid="{00000000-0005-0000-0000-0000113B0000}"/>
    <cellStyle name="20% - Accent5 4 5 4 3 2 2" xfId="22349" xr:uid="{00000000-0005-0000-0000-0000123B0000}"/>
    <cellStyle name="20% - Accent5 4 5 4 3 2 2 2" xfId="44951" xr:uid="{00000000-0005-0000-0000-0000133B0000}"/>
    <cellStyle name="20% - Accent5 4 5 4 3 2 3" xfId="33650" xr:uid="{00000000-0005-0000-0000-0000143B0000}"/>
    <cellStyle name="20% - Accent5 4 5 4 3 3" xfId="16699" xr:uid="{00000000-0005-0000-0000-0000153B0000}"/>
    <cellStyle name="20% - Accent5 4 5 4 3 3 2" xfId="39301" xr:uid="{00000000-0005-0000-0000-0000163B0000}"/>
    <cellStyle name="20% - Accent5 4 5 4 3 4" xfId="28000" xr:uid="{00000000-0005-0000-0000-0000173B0000}"/>
    <cellStyle name="20% - Accent5 4 5 4 4" xfId="7603" xr:uid="{00000000-0005-0000-0000-0000183B0000}"/>
    <cellStyle name="20% - Accent5 4 5 4 4 2" xfId="18904" xr:uid="{00000000-0005-0000-0000-0000193B0000}"/>
    <cellStyle name="20% - Accent5 4 5 4 4 2 2" xfId="41506" xr:uid="{00000000-0005-0000-0000-00001A3B0000}"/>
    <cellStyle name="20% - Accent5 4 5 4 4 3" xfId="30205" xr:uid="{00000000-0005-0000-0000-00001B3B0000}"/>
    <cellStyle name="20% - Accent5 4 5 4 5" xfId="13254" xr:uid="{00000000-0005-0000-0000-00001C3B0000}"/>
    <cellStyle name="20% - Accent5 4 5 4 5 2" xfId="35856" xr:uid="{00000000-0005-0000-0000-00001D3B0000}"/>
    <cellStyle name="20% - Accent5 4 5 4 6" xfId="24555" xr:uid="{00000000-0005-0000-0000-00001E3B0000}"/>
    <cellStyle name="20% - Accent5 4 5 5" xfId="2379" xr:uid="{00000000-0005-0000-0000-00001F3B0000}"/>
    <cellStyle name="20% - Accent5 4 5 5 2" xfId="8215" xr:uid="{00000000-0005-0000-0000-0000203B0000}"/>
    <cellStyle name="20% - Accent5 4 5 5 2 2" xfId="19516" xr:uid="{00000000-0005-0000-0000-0000213B0000}"/>
    <cellStyle name="20% - Accent5 4 5 5 2 2 2" xfId="42118" xr:uid="{00000000-0005-0000-0000-0000223B0000}"/>
    <cellStyle name="20% - Accent5 4 5 5 2 3" xfId="30817" xr:uid="{00000000-0005-0000-0000-0000233B0000}"/>
    <cellStyle name="20% - Accent5 4 5 5 3" xfId="13866" xr:uid="{00000000-0005-0000-0000-0000243B0000}"/>
    <cellStyle name="20% - Accent5 4 5 5 3 2" xfId="36468" xr:uid="{00000000-0005-0000-0000-0000253B0000}"/>
    <cellStyle name="20% - Accent5 4 5 5 4" xfId="25167" xr:uid="{00000000-0005-0000-0000-0000263B0000}"/>
    <cellStyle name="20% - Accent5 4 5 6" xfId="4164" xr:uid="{00000000-0005-0000-0000-0000273B0000}"/>
    <cellStyle name="20% - Accent5 4 5 6 2" xfId="9814" xr:uid="{00000000-0005-0000-0000-0000283B0000}"/>
    <cellStyle name="20% - Accent5 4 5 6 2 2" xfId="21115" xr:uid="{00000000-0005-0000-0000-0000293B0000}"/>
    <cellStyle name="20% - Accent5 4 5 6 2 2 2" xfId="43717" xr:uid="{00000000-0005-0000-0000-00002A3B0000}"/>
    <cellStyle name="20% - Accent5 4 5 6 2 3" xfId="32416" xr:uid="{00000000-0005-0000-0000-00002B3B0000}"/>
    <cellStyle name="20% - Accent5 4 5 6 3" xfId="15465" xr:uid="{00000000-0005-0000-0000-00002C3B0000}"/>
    <cellStyle name="20% - Accent5 4 5 6 3 2" xfId="38067" xr:uid="{00000000-0005-0000-0000-00002D3B0000}"/>
    <cellStyle name="20% - Accent5 4 5 6 4" xfId="26766" xr:uid="{00000000-0005-0000-0000-00002E3B0000}"/>
    <cellStyle name="20% - Accent5 4 5 7" xfId="6615" xr:uid="{00000000-0005-0000-0000-00002F3B0000}"/>
    <cellStyle name="20% - Accent5 4 5 7 2" xfId="17916" xr:uid="{00000000-0005-0000-0000-0000303B0000}"/>
    <cellStyle name="20% - Accent5 4 5 7 2 2" xfId="40518" xr:uid="{00000000-0005-0000-0000-0000313B0000}"/>
    <cellStyle name="20% - Accent5 4 5 7 3" xfId="29217" xr:uid="{00000000-0005-0000-0000-0000323B0000}"/>
    <cellStyle name="20% - Accent5 4 5 8" xfId="12266" xr:uid="{00000000-0005-0000-0000-0000333B0000}"/>
    <cellStyle name="20% - Accent5 4 5 8 2" xfId="34868" xr:uid="{00000000-0005-0000-0000-0000343B0000}"/>
    <cellStyle name="20% - Accent5 4 5 9" xfId="23567" xr:uid="{00000000-0005-0000-0000-0000353B0000}"/>
    <cellStyle name="20% - Accent5 4 6" xfId="1122" xr:uid="{00000000-0005-0000-0000-0000363B0000}"/>
    <cellStyle name="20% - Accent5 4 6 2" xfId="1749" xr:uid="{00000000-0005-0000-0000-0000373B0000}"/>
    <cellStyle name="20% - Accent5 4 6 2 2" xfId="3189" xr:uid="{00000000-0005-0000-0000-0000383B0000}"/>
    <cellStyle name="20% - Accent5 4 6 2 2 2" xfId="6161" xr:uid="{00000000-0005-0000-0000-0000393B0000}"/>
    <cellStyle name="20% - Accent5 4 6 2 2 2 2" xfId="11811" xr:uid="{00000000-0005-0000-0000-00003A3B0000}"/>
    <cellStyle name="20% - Accent5 4 6 2 2 2 2 2" xfId="23112" xr:uid="{00000000-0005-0000-0000-00003B3B0000}"/>
    <cellStyle name="20% - Accent5 4 6 2 2 2 2 2 2" xfId="45714" xr:uid="{00000000-0005-0000-0000-00003C3B0000}"/>
    <cellStyle name="20% - Accent5 4 6 2 2 2 2 3" xfId="34413" xr:uid="{00000000-0005-0000-0000-00003D3B0000}"/>
    <cellStyle name="20% - Accent5 4 6 2 2 2 3" xfId="17462" xr:uid="{00000000-0005-0000-0000-00003E3B0000}"/>
    <cellStyle name="20% - Accent5 4 6 2 2 2 3 2" xfId="40064" xr:uid="{00000000-0005-0000-0000-00003F3B0000}"/>
    <cellStyle name="20% - Accent5 4 6 2 2 2 4" xfId="28763" xr:uid="{00000000-0005-0000-0000-0000403B0000}"/>
    <cellStyle name="20% - Accent5 4 6 2 2 3" xfId="8979" xr:uid="{00000000-0005-0000-0000-0000413B0000}"/>
    <cellStyle name="20% - Accent5 4 6 2 2 3 2" xfId="20280" xr:uid="{00000000-0005-0000-0000-0000423B0000}"/>
    <cellStyle name="20% - Accent5 4 6 2 2 3 2 2" xfId="42882" xr:uid="{00000000-0005-0000-0000-0000433B0000}"/>
    <cellStyle name="20% - Accent5 4 6 2 2 3 3" xfId="31581" xr:uid="{00000000-0005-0000-0000-0000443B0000}"/>
    <cellStyle name="20% - Accent5 4 6 2 2 4" xfId="14630" xr:uid="{00000000-0005-0000-0000-0000453B0000}"/>
    <cellStyle name="20% - Accent5 4 6 2 2 4 2" xfId="37232" xr:uid="{00000000-0005-0000-0000-0000463B0000}"/>
    <cellStyle name="20% - Accent5 4 6 2 2 5" xfId="25931" xr:uid="{00000000-0005-0000-0000-0000473B0000}"/>
    <cellStyle name="20% - Accent5 4 6 2 3" xfId="4927" xr:uid="{00000000-0005-0000-0000-0000483B0000}"/>
    <cellStyle name="20% - Accent5 4 6 2 3 2" xfId="10577" xr:uid="{00000000-0005-0000-0000-0000493B0000}"/>
    <cellStyle name="20% - Accent5 4 6 2 3 2 2" xfId="21878" xr:uid="{00000000-0005-0000-0000-00004A3B0000}"/>
    <cellStyle name="20% - Accent5 4 6 2 3 2 2 2" xfId="44480" xr:uid="{00000000-0005-0000-0000-00004B3B0000}"/>
    <cellStyle name="20% - Accent5 4 6 2 3 2 3" xfId="33179" xr:uid="{00000000-0005-0000-0000-00004C3B0000}"/>
    <cellStyle name="20% - Accent5 4 6 2 3 3" xfId="16228" xr:uid="{00000000-0005-0000-0000-00004D3B0000}"/>
    <cellStyle name="20% - Accent5 4 6 2 3 3 2" xfId="38830" xr:uid="{00000000-0005-0000-0000-00004E3B0000}"/>
    <cellStyle name="20% - Accent5 4 6 2 3 4" xfId="27529" xr:uid="{00000000-0005-0000-0000-00004F3B0000}"/>
    <cellStyle name="20% - Accent5 4 6 2 4" xfId="7605" xr:uid="{00000000-0005-0000-0000-0000503B0000}"/>
    <cellStyle name="20% - Accent5 4 6 2 4 2" xfId="18906" xr:uid="{00000000-0005-0000-0000-0000513B0000}"/>
    <cellStyle name="20% - Accent5 4 6 2 4 2 2" xfId="41508" xr:uid="{00000000-0005-0000-0000-0000523B0000}"/>
    <cellStyle name="20% - Accent5 4 6 2 4 3" xfId="30207" xr:uid="{00000000-0005-0000-0000-0000533B0000}"/>
    <cellStyle name="20% - Accent5 4 6 2 5" xfId="13256" xr:uid="{00000000-0005-0000-0000-0000543B0000}"/>
    <cellStyle name="20% - Accent5 4 6 2 5 2" xfId="35858" xr:uid="{00000000-0005-0000-0000-0000553B0000}"/>
    <cellStyle name="20% - Accent5 4 6 2 6" xfId="24557" xr:uid="{00000000-0005-0000-0000-0000563B0000}"/>
    <cellStyle name="20% - Accent5 4 6 3" xfId="2518" xr:uid="{00000000-0005-0000-0000-0000573B0000}"/>
    <cellStyle name="20% - Accent5 4 6 3 2" xfId="5537" xr:uid="{00000000-0005-0000-0000-0000583B0000}"/>
    <cellStyle name="20% - Accent5 4 6 3 2 2" xfId="11187" xr:uid="{00000000-0005-0000-0000-0000593B0000}"/>
    <cellStyle name="20% - Accent5 4 6 3 2 2 2" xfId="22488" xr:uid="{00000000-0005-0000-0000-00005A3B0000}"/>
    <cellStyle name="20% - Accent5 4 6 3 2 2 2 2" xfId="45090" xr:uid="{00000000-0005-0000-0000-00005B3B0000}"/>
    <cellStyle name="20% - Accent5 4 6 3 2 2 3" xfId="33789" xr:uid="{00000000-0005-0000-0000-00005C3B0000}"/>
    <cellStyle name="20% - Accent5 4 6 3 2 3" xfId="16838" xr:uid="{00000000-0005-0000-0000-00005D3B0000}"/>
    <cellStyle name="20% - Accent5 4 6 3 2 3 2" xfId="39440" xr:uid="{00000000-0005-0000-0000-00005E3B0000}"/>
    <cellStyle name="20% - Accent5 4 6 3 2 4" xfId="28139" xr:uid="{00000000-0005-0000-0000-00005F3B0000}"/>
    <cellStyle name="20% - Accent5 4 6 3 3" xfId="8354" xr:uid="{00000000-0005-0000-0000-0000603B0000}"/>
    <cellStyle name="20% - Accent5 4 6 3 3 2" xfId="19655" xr:uid="{00000000-0005-0000-0000-0000613B0000}"/>
    <cellStyle name="20% - Accent5 4 6 3 3 2 2" xfId="42257" xr:uid="{00000000-0005-0000-0000-0000623B0000}"/>
    <cellStyle name="20% - Accent5 4 6 3 3 3" xfId="30956" xr:uid="{00000000-0005-0000-0000-0000633B0000}"/>
    <cellStyle name="20% - Accent5 4 6 3 4" xfId="14005" xr:uid="{00000000-0005-0000-0000-0000643B0000}"/>
    <cellStyle name="20% - Accent5 4 6 3 4 2" xfId="36607" xr:uid="{00000000-0005-0000-0000-0000653B0000}"/>
    <cellStyle name="20% - Accent5 4 6 3 5" xfId="25306" xr:uid="{00000000-0005-0000-0000-0000663B0000}"/>
    <cellStyle name="20% - Accent5 4 6 4" xfId="4303" xr:uid="{00000000-0005-0000-0000-0000673B0000}"/>
    <cellStyle name="20% - Accent5 4 6 4 2" xfId="9953" xr:uid="{00000000-0005-0000-0000-0000683B0000}"/>
    <cellStyle name="20% - Accent5 4 6 4 2 2" xfId="21254" xr:uid="{00000000-0005-0000-0000-0000693B0000}"/>
    <cellStyle name="20% - Accent5 4 6 4 2 2 2" xfId="43856" xr:uid="{00000000-0005-0000-0000-00006A3B0000}"/>
    <cellStyle name="20% - Accent5 4 6 4 2 3" xfId="32555" xr:uid="{00000000-0005-0000-0000-00006B3B0000}"/>
    <cellStyle name="20% - Accent5 4 6 4 3" xfId="15604" xr:uid="{00000000-0005-0000-0000-00006C3B0000}"/>
    <cellStyle name="20% - Accent5 4 6 4 3 2" xfId="38206" xr:uid="{00000000-0005-0000-0000-00006D3B0000}"/>
    <cellStyle name="20% - Accent5 4 6 4 4" xfId="26905" xr:uid="{00000000-0005-0000-0000-00006E3B0000}"/>
    <cellStyle name="20% - Accent5 4 6 5" xfId="7101" xr:uid="{00000000-0005-0000-0000-00006F3B0000}"/>
    <cellStyle name="20% - Accent5 4 6 5 2" xfId="18402" xr:uid="{00000000-0005-0000-0000-0000703B0000}"/>
    <cellStyle name="20% - Accent5 4 6 5 2 2" xfId="41004" xr:uid="{00000000-0005-0000-0000-0000713B0000}"/>
    <cellStyle name="20% - Accent5 4 6 5 3" xfId="29703" xr:uid="{00000000-0005-0000-0000-0000723B0000}"/>
    <cellStyle name="20% - Accent5 4 6 6" xfId="12752" xr:uid="{00000000-0005-0000-0000-0000733B0000}"/>
    <cellStyle name="20% - Accent5 4 6 6 2" xfId="35354" xr:uid="{00000000-0005-0000-0000-0000743B0000}"/>
    <cellStyle name="20% - Accent5 4 6 7" xfId="24053" xr:uid="{00000000-0005-0000-0000-0000753B0000}"/>
    <cellStyle name="20% - Accent5 4 7" xfId="786" xr:uid="{00000000-0005-0000-0000-0000763B0000}"/>
    <cellStyle name="20% - Accent5 4 7 2" xfId="2883" xr:uid="{00000000-0005-0000-0000-0000773B0000}"/>
    <cellStyle name="20% - Accent5 4 7 2 2" xfId="5855" xr:uid="{00000000-0005-0000-0000-0000783B0000}"/>
    <cellStyle name="20% - Accent5 4 7 2 2 2" xfId="11505" xr:uid="{00000000-0005-0000-0000-0000793B0000}"/>
    <cellStyle name="20% - Accent5 4 7 2 2 2 2" xfId="22806" xr:uid="{00000000-0005-0000-0000-00007A3B0000}"/>
    <cellStyle name="20% - Accent5 4 7 2 2 2 2 2" xfId="45408" xr:uid="{00000000-0005-0000-0000-00007B3B0000}"/>
    <cellStyle name="20% - Accent5 4 7 2 2 2 3" xfId="34107" xr:uid="{00000000-0005-0000-0000-00007C3B0000}"/>
    <cellStyle name="20% - Accent5 4 7 2 2 3" xfId="17156" xr:uid="{00000000-0005-0000-0000-00007D3B0000}"/>
    <cellStyle name="20% - Accent5 4 7 2 2 3 2" xfId="39758" xr:uid="{00000000-0005-0000-0000-00007E3B0000}"/>
    <cellStyle name="20% - Accent5 4 7 2 2 4" xfId="28457" xr:uid="{00000000-0005-0000-0000-00007F3B0000}"/>
    <cellStyle name="20% - Accent5 4 7 2 3" xfId="8673" xr:uid="{00000000-0005-0000-0000-0000803B0000}"/>
    <cellStyle name="20% - Accent5 4 7 2 3 2" xfId="19974" xr:uid="{00000000-0005-0000-0000-0000813B0000}"/>
    <cellStyle name="20% - Accent5 4 7 2 3 2 2" xfId="42576" xr:uid="{00000000-0005-0000-0000-0000823B0000}"/>
    <cellStyle name="20% - Accent5 4 7 2 3 3" xfId="31275" xr:uid="{00000000-0005-0000-0000-0000833B0000}"/>
    <cellStyle name="20% - Accent5 4 7 2 4" xfId="14324" xr:uid="{00000000-0005-0000-0000-0000843B0000}"/>
    <cellStyle name="20% - Accent5 4 7 2 4 2" xfId="36926" xr:uid="{00000000-0005-0000-0000-0000853B0000}"/>
    <cellStyle name="20% - Accent5 4 7 2 5" xfId="25625" xr:uid="{00000000-0005-0000-0000-0000863B0000}"/>
    <cellStyle name="20% - Accent5 4 7 3" xfId="4621" xr:uid="{00000000-0005-0000-0000-0000873B0000}"/>
    <cellStyle name="20% - Accent5 4 7 3 2" xfId="10271" xr:uid="{00000000-0005-0000-0000-0000883B0000}"/>
    <cellStyle name="20% - Accent5 4 7 3 2 2" xfId="21572" xr:uid="{00000000-0005-0000-0000-0000893B0000}"/>
    <cellStyle name="20% - Accent5 4 7 3 2 2 2" xfId="44174" xr:uid="{00000000-0005-0000-0000-00008A3B0000}"/>
    <cellStyle name="20% - Accent5 4 7 3 2 3" xfId="32873" xr:uid="{00000000-0005-0000-0000-00008B3B0000}"/>
    <cellStyle name="20% - Accent5 4 7 3 3" xfId="15922" xr:uid="{00000000-0005-0000-0000-00008C3B0000}"/>
    <cellStyle name="20% - Accent5 4 7 3 3 2" xfId="38524" xr:uid="{00000000-0005-0000-0000-00008D3B0000}"/>
    <cellStyle name="20% - Accent5 4 7 3 4" xfId="27223" xr:uid="{00000000-0005-0000-0000-00008E3B0000}"/>
    <cellStyle name="20% - Accent5 4 7 4" xfId="6803" xr:uid="{00000000-0005-0000-0000-00008F3B0000}"/>
    <cellStyle name="20% - Accent5 4 7 4 2" xfId="18104" xr:uid="{00000000-0005-0000-0000-0000903B0000}"/>
    <cellStyle name="20% - Accent5 4 7 4 2 2" xfId="40706" xr:uid="{00000000-0005-0000-0000-0000913B0000}"/>
    <cellStyle name="20% - Accent5 4 7 4 3" xfId="29405" xr:uid="{00000000-0005-0000-0000-0000923B0000}"/>
    <cellStyle name="20% - Accent5 4 7 5" xfId="12454" xr:uid="{00000000-0005-0000-0000-0000933B0000}"/>
    <cellStyle name="20% - Accent5 4 7 5 2" xfId="35056" xr:uid="{00000000-0005-0000-0000-0000943B0000}"/>
    <cellStyle name="20% - Accent5 4 7 6" xfId="23755" xr:uid="{00000000-0005-0000-0000-0000953B0000}"/>
    <cellStyle name="20% - Accent5 4 8" xfId="1736" xr:uid="{00000000-0005-0000-0000-0000963B0000}"/>
    <cellStyle name="20% - Accent5 4 8 2" xfId="3665" xr:uid="{00000000-0005-0000-0000-0000973B0000}"/>
    <cellStyle name="20% - Accent5 4 8 2 2" xfId="9376" xr:uid="{00000000-0005-0000-0000-0000983B0000}"/>
    <cellStyle name="20% - Accent5 4 8 2 2 2" xfId="20677" xr:uid="{00000000-0005-0000-0000-0000993B0000}"/>
    <cellStyle name="20% - Accent5 4 8 2 2 2 2" xfId="43279" xr:uid="{00000000-0005-0000-0000-00009A3B0000}"/>
    <cellStyle name="20% - Accent5 4 8 2 2 3" xfId="31978" xr:uid="{00000000-0005-0000-0000-00009B3B0000}"/>
    <cellStyle name="20% - Accent5 4 8 2 3" xfId="15027" xr:uid="{00000000-0005-0000-0000-00009C3B0000}"/>
    <cellStyle name="20% - Accent5 4 8 2 3 2" xfId="37629" xr:uid="{00000000-0005-0000-0000-00009D3B0000}"/>
    <cellStyle name="20% - Accent5 4 8 2 4" xfId="26328" xr:uid="{00000000-0005-0000-0000-00009E3B0000}"/>
    <cellStyle name="20% - Accent5 4 8 3" xfId="5231" xr:uid="{00000000-0005-0000-0000-00009F3B0000}"/>
    <cellStyle name="20% - Accent5 4 8 3 2" xfId="10881" xr:uid="{00000000-0005-0000-0000-0000A03B0000}"/>
    <cellStyle name="20% - Accent5 4 8 3 2 2" xfId="22182" xr:uid="{00000000-0005-0000-0000-0000A13B0000}"/>
    <cellStyle name="20% - Accent5 4 8 3 2 2 2" xfId="44784" xr:uid="{00000000-0005-0000-0000-0000A23B0000}"/>
    <cellStyle name="20% - Accent5 4 8 3 2 3" xfId="33483" xr:uid="{00000000-0005-0000-0000-0000A33B0000}"/>
    <cellStyle name="20% - Accent5 4 8 3 3" xfId="16532" xr:uid="{00000000-0005-0000-0000-0000A43B0000}"/>
    <cellStyle name="20% - Accent5 4 8 3 3 2" xfId="39134" xr:uid="{00000000-0005-0000-0000-0000A53B0000}"/>
    <cellStyle name="20% - Accent5 4 8 3 4" xfId="27833" xr:uid="{00000000-0005-0000-0000-0000A63B0000}"/>
    <cellStyle name="20% - Accent5 4 8 4" xfId="7592" xr:uid="{00000000-0005-0000-0000-0000A73B0000}"/>
    <cellStyle name="20% - Accent5 4 8 4 2" xfId="18893" xr:uid="{00000000-0005-0000-0000-0000A83B0000}"/>
    <cellStyle name="20% - Accent5 4 8 4 2 2" xfId="41495" xr:uid="{00000000-0005-0000-0000-0000A93B0000}"/>
    <cellStyle name="20% - Accent5 4 8 4 3" xfId="30194" xr:uid="{00000000-0005-0000-0000-0000AA3B0000}"/>
    <cellStyle name="20% - Accent5 4 8 5" xfId="13243" xr:uid="{00000000-0005-0000-0000-0000AB3B0000}"/>
    <cellStyle name="20% - Accent5 4 8 5 2" xfId="35845" xr:uid="{00000000-0005-0000-0000-0000AC3B0000}"/>
    <cellStyle name="20% - Accent5 4 8 6" xfId="24544" xr:uid="{00000000-0005-0000-0000-0000AD3B0000}"/>
    <cellStyle name="20% - Accent5 4 9" xfId="2202" xr:uid="{00000000-0005-0000-0000-0000AE3B0000}"/>
    <cellStyle name="20% - Accent5 4 9 2" xfId="8045" xr:uid="{00000000-0005-0000-0000-0000AF3B0000}"/>
    <cellStyle name="20% - Accent5 4 9 2 2" xfId="19346" xr:uid="{00000000-0005-0000-0000-0000B03B0000}"/>
    <cellStyle name="20% - Accent5 4 9 2 2 2" xfId="41948" xr:uid="{00000000-0005-0000-0000-0000B13B0000}"/>
    <cellStyle name="20% - Accent5 4 9 2 3" xfId="30647" xr:uid="{00000000-0005-0000-0000-0000B23B0000}"/>
    <cellStyle name="20% - Accent5 4 9 3" xfId="13696" xr:uid="{00000000-0005-0000-0000-0000B33B0000}"/>
    <cellStyle name="20% - Accent5 4 9 3 2" xfId="36298" xr:uid="{00000000-0005-0000-0000-0000B43B0000}"/>
    <cellStyle name="20% - Accent5 4 9 4" xfId="24997" xr:uid="{00000000-0005-0000-0000-0000B53B0000}"/>
    <cellStyle name="20% - Accent5 5" xfId="275" xr:uid="{00000000-0005-0000-0000-0000B63B0000}"/>
    <cellStyle name="20% - Accent5 5 10" xfId="12140" xr:uid="{00000000-0005-0000-0000-0000B73B0000}"/>
    <cellStyle name="20% - Accent5 5 10 2" xfId="34742" xr:uid="{00000000-0005-0000-0000-0000B83B0000}"/>
    <cellStyle name="20% - Accent5 5 11" xfId="23441" xr:uid="{00000000-0005-0000-0000-0000B93B0000}"/>
    <cellStyle name="20% - Accent5 5 2" xfId="441" xr:uid="{00000000-0005-0000-0000-0000BA3B0000}"/>
    <cellStyle name="20% - Accent5 5 2 10" xfId="23536" xr:uid="{00000000-0005-0000-0000-0000BB3B0000}"/>
    <cellStyle name="20% - Accent5 5 2 2" xfId="686" xr:uid="{00000000-0005-0000-0000-0000BC3B0000}"/>
    <cellStyle name="20% - Accent5 5 2 2 2" xfId="1396" xr:uid="{00000000-0005-0000-0000-0000BD3B0000}"/>
    <cellStyle name="20% - Accent5 5 2 2 2 2" xfId="1753" xr:uid="{00000000-0005-0000-0000-0000BE3B0000}"/>
    <cellStyle name="20% - Accent5 5 2 2 2 2 2" xfId="3465" xr:uid="{00000000-0005-0000-0000-0000BF3B0000}"/>
    <cellStyle name="20% - Accent5 5 2 2 2 2 2 2" xfId="6437" xr:uid="{00000000-0005-0000-0000-0000C03B0000}"/>
    <cellStyle name="20% - Accent5 5 2 2 2 2 2 2 2" xfId="12087" xr:uid="{00000000-0005-0000-0000-0000C13B0000}"/>
    <cellStyle name="20% - Accent5 5 2 2 2 2 2 2 2 2" xfId="23388" xr:uid="{00000000-0005-0000-0000-0000C23B0000}"/>
    <cellStyle name="20% - Accent5 5 2 2 2 2 2 2 2 2 2" xfId="45990" xr:uid="{00000000-0005-0000-0000-0000C33B0000}"/>
    <cellStyle name="20% - Accent5 5 2 2 2 2 2 2 2 3" xfId="34689" xr:uid="{00000000-0005-0000-0000-0000C43B0000}"/>
    <cellStyle name="20% - Accent5 5 2 2 2 2 2 2 3" xfId="17738" xr:uid="{00000000-0005-0000-0000-0000C53B0000}"/>
    <cellStyle name="20% - Accent5 5 2 2 2 2 2 2 3 2" xfId="40340" xr:uid="{00000000-0005-0000-0000-0000C63B0000}"/>
    <cellStyle name="20% - Accent5 5 2 2 2 2 2 2 4" xfId="29039" xr:uid="{00000000-0005-0000-0000-0000C73B0000}"/>
    <cellStyle name="20% - Accent5 5 2 2 2 2 2 3" xfId="9255" xr:uid="{00000000-0005-0000-0000-0000C83B0000}"/>
    <cellStyle name="20% - Accent5 5 2 2 2 2 2 3 2" xfId="20556" xr:uid="{00000000-0005-0000-0000-0000C93B0000}"/>
    <cellStyle name="20% - Accent5 5 2 2 2 2 2 3 2 2" xfId="43158" xr:uid="{00000000-0005-0000-0000-0000CA3B0000}"/>
    <cellStyle name="20% - Accent5 5 2 2 2 2 2 3 3" xfId="31857" xr:uid="{00000000-0005-0000-0000-0000CB3B0000}"/>
    <cellStyle name="20% - Accent5 5 2 2 2 2 2 4" xfId="14906" xr:uid="{00000000-0005-0000-0000-0000CC3B0000}"/>
    <cellStyle name="20% - Accent5 5 2 2 2 2 2 4 2" xfId="37508" xr:uid="{00000000-0005-0000-0000-0000CD3B0000}"/>
    <cellStyle name="20% - Accent5 5 2 2 2 2 2 5" xfId="26207" xr:uid="{00000000-0005-0000-0000-0000CE3B0000}"/>
    <cellStyle name="20% - Accent5 5 2 2 2 2 3" xfId="5203" xr:uid="{00000000-0005-0000-0000-0000CF3B0000}"/>
    <cellStyle name="20% - Accent5 5 2 2 2 2 3 2" xfId="10853" xr:uid="{00000000-0005-0000-0000-0000D03B0000}"/>
    <cellStyle name="20% - Accent5 5 2 2 2 2 3 2 2" xfId="22154" xr:uid="{00000000-0005-0000-0000-0000D13B0000}"/>
    <cellStyle name="20% - Accent5 5 2 2 2 2 3 2 2 2" xfId="44756" xr:uid="{00000000-0005-0000-0000-0000D23B0000}"/>
    <cellStyle name="20% - Accent5 5 2 2 2 2 3 2 3" xfId="33455" xr:uid="{00000000-0005-0000-0000-0000D33B0000}"/>
    <cellStyle name="20% - Accent5 5 2 2 2 2 3 3" xfId="16504" xr:uid="{00000000-0005-0000-0000-0000D43B0000}"/>
    <cellStyle name="20% - Accent5 5 2 2 2 2 3 3 2" xfId="39106" xr:uid="{00000000-0005-0000-0000-0000D53B0000}"/>
    <cellStyle name="20% - Accent5 5 2 2 2 2 3 4" xfId="27805" xr:uid="{00000000-0005-0000-0000-0000D63B0000}"/>
    <cellStyle name="20% - Accent5 5 2 2 2 2 4" xfId="7609" xr:uid="{00000000-0005-0000-0000-0000D73B0000}"/>
    <cellStyle name="20% - Accent5 5 2 2 2 2 4 2" xfId="18910" xr:uid="{00000000-0005-0000-0000-0000D83B0000}"/>
    <cellStyle name="20% - Accent5 5 2 2 2 2 4 2 2" xfId="41512" xr:uid="{00000000-0005-0000-0000-0000D93B0000}"/>
    <cellStyle name="20% - Accent5 5 2 2 2 2 4 3" xfId="30211" xr:uid="{00000000-0005-0000-0000-0000DA3B0000}"/>
    <cellStyle name="20% - Accent5 5 2 2 2 2 5" xfId="13260" xr:uid="{00000000-0005-0000-0000-0000DB3B0000}"/>
    <cellStyle name="20% - Accent5 5 2 2 2 2 5 2" xfId="35862" xr:uid="{00000000-0005-0000-0000-0000DC3B0000}"/>
    <cellStyle name="20% - Accent5 5 2 2 2 2 6" xfId="24561" xr:uid="{00000000-0005-0000-0000-0000DD3B0000}"/>
    <cellStyle name="20% - Accent5 5 2 2 2 3" xfId="2794" xr:uid="{00000000-0005-0000-0000-0000DE3B0000}"/>
    <cellStyle name="20% - Accent5 5 2 2 2 3 2" xfId="5813" xr:uid="{00000000-0005-0000-0000-0000DF3B0000}"/>
    <cellStyle name="20% - Accent5 5 2 2 2 3 2 2" xfId="11463" xr:uid="{00000000-0005-0000-0000-0000E03B0000}"/>
    <cellStyle name="20% - Accent5 5 2 2 2 3 2 2 2" xfId="22764" xr:uid="{00000000-0005-0000-0000-0000E13B0000}"/>
    <cellStyle name="20% - Accent5 5 2 2 2 3 2 2 2 2" xfId="45366" xr:uid="{00000000-0005-0000-0000-0000E23B0000}"/>
    <cellStyle name="20% - Accent5 5 2 2 2 3 2 2 3" xfId="34065" xr:uid="{00000000-0005-0000-0000-0000E33B0000}"/>
    <cellStyle name="20% - Accent5 5 2 2 2 3 2 3" xfId="17114" xr:uid="{00000000-0005-0000-0000-0000E43B0000}"/>
    <cellStyle name="20% - Accent5 5 2 2 2 3 2 3 2" xfId="39716" xr:uid="{00000000-0005-0000-0000-0000E53B0000}"/>
    <cellStyle name="20% - Accent5 5 2 2 2 3 2 4" xfId="28415" xr:uid="{00000000-0005-0000-0000-0000E63B0000}"/>
    <cellStyle name="20% - Accent5 5 2 2 2 3 3" xfId="8630" xr:uid="{00000000-0005-0000-0000-0000E73B0000}"/>
    <cellStyle name="20% - Accent5 5 2 2 2 3 3 2" xfId="19931" xr:uid="{00000000-0005-0000-0000-0000E83B0000}"/>
    <cellStyle name="20% - Accent5 5 2 2 2 3 3 2 2" xfId="42533" xr:uid="{00000000-0005-0000-0000-0000E93B0000}"/>
    <cellStyle name="20% - Accent5 5 2 2 2 3 3 3" xfId="31232" xr:uid="{00000000-0005-0000-0000-0000EA3B0000}"/>
    <cellStyle name="20% - Accent5 5 2 2 2 3 4" xfId="14281" xr:uid="{00000000-0005-0000-0000-0000EB3B0000}"/>
    <cellStyle name="20% - Accent5 5 2 2 2 3 4 2" xfId="36883" xr:uid="{00000000-0005-0000-0000-0000EC3B0000}"/>
    <cellStyle name="20% - Accent5 5 2 2 2 3 5" xfId="25582" xr:uid="{00000000-0005-0000-0000-0000ED3B0000}"/>
    <cellStyle name="20% - Accent5 5 2 2 2 4" xfId="4579" xr:uid="{00000000-0005-0000-0000-0000EE3B0000}"/>
    <cellStyle name="20% - Accent5 5 2 2 2 4 2" xfId="10229" xr:uid="{00000000-0005-0000-0000-0000EF3B0000}"/>
    <cellStyle name="20% - Accent5 5 2 2 2 4 2 2" xfId="21530" xr:uid="{00000000-0005-0000-0000-0000F03B0000}"/>
    <cellStyle name="20% - Accent5 5 2 2 2 4 2 2 2" xfId="44132" xr:uid="{00000000-0005-0000-0000-0000F13B0000}"/>
    <cellStyle name="20% - Accent5 5 2 2 2 4 2 3" xfId="32831" xr:uid="{00000000-0005-0000-0000-0000F23B0000}"/>
    <cellStyle name="20% - Accent5 5 2 2 2 4 3" xfId="15880" xr:uid="{00000000-0005-0000-0000-0000F33B0000}"/>
    <cellStyle name="20% - Accent5 5 2 2 2 4 3 2" xfId="38482" xr:uid="{00000000-0005-0000-0000-0000F43B0000}"/>
    <cellStyle name="20% - Accent5 5 2 2 2 4 4" xfId="27181" xr:uid="{00000000-0005-0000-0000-0000F53B0000}"/>
    <cellStyle name="20% - Accent5 5 2 2 2 5" xfId="7375" xr:uid="{00000000-0005-0000-0000-0000F63B0000}"/>
    <cellStyle name="20% - Accent5 5 2 2 2 5 2" xfId="18676" xr:uid="{00000000-0005-0000-0000-0000F73B0000}"/>
    <cellStyle name="20% - Accent5 5 2 2 2 5 2 2" xfId="41278" xr:uid="{00000000-0005-0000-0000-0000F83B0000}"/>
    <cellStyle name="20% - Accent5 5 2 2 2 5 3" xfId="29977" xr:uid="{00000000-0005-0000-0000-0000F93B0000}"/>
    <cellStyle name="20% - Accent5 5 2 2 2 6" xfId="13026" xr:uid="{00000000-0005-0000-0000-0000FA3B0000}"/>
    <cellStyle name="20% - Accent5 5 2 2 2 6 2" xfId="35628" xr:uid="{00000000-0005-0000-0000-0000FB3B0000}"/>
    <cellStyle name="20% - Accent5 5 2 2 2 7" xfId="24327" xr:uid="{00000000-0005-0000-0000-0000FC3B0000}"/>
    <cellStyle name="20% - Accent5 5 2 2 3" xfId="1094" xr:uid="{00000000-0005-0000-0000-0000FD3B0000}"/>
    <cellStyle name="20% - Accent5 5 2 2 3 2" xfId="3157" xr:uid="{00000000-0005-0000-0000-0000FE3B0000}"/>
    <cellStyle name="20% - Accent5 5 2 2 3 2 2" xfId="6129" xr:uid="{00000000-0005-0000-0000-0000FF3B0000}"/>
    <cellStyle name="20% - Accent5 5 2 2 3 2 2 2" xfId="11779" xr:uid="{00000000-0005-0000-0000-0000003C0000}"/>
    <cellStyle name="20% - Accent5 5 2 2 3 2 2 2 2" xfId="23080" xr:uid="{00000000-0005-0000-0000-0000013C0000}"/>
    <cellStyle name="20% - Accent5 5 2 2 3 2 2 2 2 2" xfId="45682" xr:uid="{00000000-0005-0000-0000-0000023C0000}"/>
    <cellStyle name="20% - Accent5 5 2 2 3 2 2 2 3" xfId="34381" xr:uid="{00000000-0005-0000-0000-0000033C0000}"/>
    <cellStyle name="20% - Accent5 5 2 2 3 2 2 3" xfId="17430" xr:uid="{00000000-0005-0000-0000-0000043C0000}"/>
    <cellStyle name="20% - Accent5 5 2 2 3 2 2 3 2" xfId="40032" xr:uid="{00000000-0005-0000-0000-0000053C0000}"/>
    <cellStyle name="20% - Accent5 5 2 2 3 2 2 4" xfId="28731" xr:uid="{00000000-0005-0000-0000-0000063C0000}"/>
    <cellStyle name="20% - Accent5 5 2 2 3 2 3" xfId="8947" xr:uid="{00000000-0005-0000-0000-0000073C0000}"/>
    <cellStyle name="20% - Accent5 5 2 2 3 2 3 2" xfId="20248" xr:uid="{00000000-0005-0000-0000-0000083C0000}"/>
    <cellStyle name="20% - Accent5 5 2 2 3 2 3 2 2" xfId="42850" xr:uid="{00000000-0005-0000-0000-0000093C0000}"/>
    <cellStyle name="20% - Accent5 5 2 2 3 2 3 3" xfId="31549" xr:uid="{00000000-0005-0000-0000-00000A3C0000}"/>
    <cellStyle name="20% - Accent5 5 2 2 3 2 4" xfId="14598" xr:uid="{00000000-0005-0000-0000-00000B3C0000}"/>
    <cellStyle name="20% - Accent5 5 2 2 3 2 4 2" xfId="37200" xr:uid="{00000000-0005-0000-0000-00000C3C0000}"/>
    <cellStyle name="20% - Accent5 5 2 2 3 2 5" xfId="25899" xr:uid="{00000000-0005-0000-0000-00000D3C0000}"/>
    <cellStyle name="20% - Accent5 5 2 2 3 3" xfId="4895" xr:uid="{00000000-0005-0000-0000-00000E3C0000}"/>
    <cellStyle name="20% - Accent5 5 2 2 3 3 2" xfId="10545" xr:uid="{00000000-0005-0000-0000-00000F3C0000}"/>
    <cellStyle name="20% - Accent5 5 2 2 3 3 2 2" xfId="21846" xr:uid="{00000000-0005-0000-0000-0000103C0000}"/>
    <cellStyle name="20% - Accent5 5 2 2 3 3 2 2 2" xfId="44448" xr:uid="{00000000-0005-0000-0000-0000113C0000}"/>
    <cellStyle name="20% - Accent5 5 2 2 3 3 2 3" xfId="33147" xr:uid="{00000000-0005-0000-0000-0000123C0000}"/>
    <cellStyle name="20% - Accent5 5 2 2 3 3 3" xfId="16196" xr:uid="{00000000-0005-0000-0000-0000133C0000}"/>
    <cellStyle name="20% - Accent5 5 2 2 3 3 3 2" xfId="38798" xr:uid="{00000000-0005-0000-0000-0000143C0000}"/>
    <cellStyle name="20% - Accent5 5 2 2 3 3 4" xfId="27497" xr:uid="{00000000-0005-0000-0000-0000153C0000}"/>
    <cellStyle name="20% - Accent5 5 2 2 3 4" xfId="7082" xr:uid="{00000000-0005-0000-0000-0000163C0000}"/>
    <cellStyle name="20% - Accent5 5 2 2 3 4 2" xfId="18383" xr:uid="{00000000-0005-0000-0000-0000173C0000}"/>
    <cellStyle name="20% - Accent5 5 2 2 3 4 2 2" xfId="40985" xr:uid="{00000000-0005-0000-0000-0000183C0000}"/>
    <cellStyle name="20% - Accent5 5 2 2 3 4 3" xfId="29684" xr:uid="{00000000-0005-0000-0000-0000193C0000}"/>
    <cellStyle name="20% - Accent5 5 2 2 3 5" xfId="12733" xr:uid="{00000000-0005-0000-0000-00001A3C0000}"/>
    <cellStyle name="20% - Accent5 5 2 2 3 5 2" xfId="35335" xr:uid="{00000000-0005-0000-0000-00001B3C0000}"/>
    <cellStyle name="20% - Accent5 5 2 2 3 6" xfId="24034" xr:uid="{00000000-0005-0000-0000-00001C3C0000}"/>
    <cellStyle name="20% - Accent5 5 2 2 4" xfId="1752" xr:uid="{00000000-0005-0000-0000-00001D3C0000}"/>
    <cellStyle name="20% - Accent5 5 2 2 4 2" xfId="3674" xr:uid="{00000000-0005-0000-0000-00001E3C0000}"/>
    <cellStyle name="20% - Accent5 5 2 2 4 2 2" xfId="9385" xr:uid="{00000000-0005-0000-0000-00001F3C0000}"/>
    <cellStyle name="20% - Accent5 5 2 2 4 2 2 2" xfId="20686" xr:uid="{00000000-0005-0000-0000-0000203C0000}"/>
    <cellStyle name="20% - Accent5 5 2 2 4 2 2 2 2" xfId="43288" xr:uid="{00000000-0005-0000-0000-0000213C0000}"/>
    <cellStyle name="20% - Accent5 5 2 2 4 2 2 3" xfId="31987" xr:uid="{00000000-0005-0000-0000-0000223C0000}"/>
    <cellStyle name="20% - Accent5 5 2 2 4 2 3" xfId="15036" xr:uid="{00000000-0005-0000-0000-0000233C0000}"/>
    <cellStyle name="20% - Accent5 5 2 2 4 2 3 2" xfId="37638" xr:uid="{00000000-0005-0000-0000-0000243C0000}"/>
    <cellStyle name="20% - Accent5 5 2 2 4 2 4" xfId="26337" xr:uid="{00000000-0005-0000-0000-0000253C0000}"/>
    <cellStyle name="20% - Accent5 5 2 2 4 3" xfId="5505" xr:uid="{00000000-0005-0000-0000-0000263C0000}"/>
    <cellStyle name="20% - Accent5 5 2 2 4 3 2" xfId="11155" xr:uid="{00000000-0005-0000-0000-0000273C0000}"/>
    <cellStyle name="20% - Accent5 5 2 2 4 3 2 2" xfId="22456" xr:uid="{00000000-0005-0000-0000-0000283C0000}"/>
    <cellStyle name="20% - Accent5 5 2 2 4 3 2 2 2" xfId="45058" xr:uid="{00000000-0005-0000-0000-0000293C0000}"/>
    <cellStyle name="20% - Accent5 5 2 2 4 3 2 3" xfId="33757" xr:uid="{00000000-0005-0000-0000-00002A3C0000}"/>
    <cellStyle name="20% - Accent5 5 2 2 4 3 3" xfId="16806" xr:uid="{00000000-0005-0000-0000-00002B3C0000}"/>
    <cellStyle name="20% - Accent5 5 2 2 4 3 3 2" xfId="39408" xr:uid="{00000000-0005-0000-0000-00002C3C0000}"/>
    <cellStyle name="20% - Accent5 5 2 2 4 3 4" xfId="28107" xr:uid="{00000000-0005-0000-0000-00002D3C0000}"/>
    <cellStyle name="20% - Accent5 5 2 2 4 4" xfId="7608" xr:uid="{00000000-0005-0000-0000-00002E3C0000}"/>
    <cellStyle name="20% - Accent5 5 2 2 4 4 2" xfId="18909" xr:uid="{00000000-0005-0000-0000-00002F3C0000}"/>
    <cellStyle name="20% - Accent5 5 2 2 4 4 2 2" xfId="41511" xr:uid="{00000000-0005-0000-0000-0000303C0000}"/>
    <cellStyle name="20% - Accent5 5 2 2 4 4 3" xfId="30210" xr:uid="{00000000-0005-0000-0000-0000313C0000}"/>
    <cellStyle name="20% - Accent5 5 2 2 4 5" xfId="13259" xr:uid="{00000000-0005-0000-0000-0000323C0000}"/>
    <cellStyle name="20% - Accent5 5 2 2 4 5 2" xfId="35861" xr:uid="{00000000-0005-0000-0000-0000333C0000}"/>
    <cellStyle name="20% - Accent5 5 2 2 4 6" xfId="24560" xr:uid="{00000000-0005-0000-0000-0000343C0000}"/>
    <cellStyle name="20% - Accent5 5 2 2 5" xfId="2486" xr:uid="{00000000-0005-0000-0000-0000353C0000}"/>
    <cellStyle name="20% - Accent5 5 2 2 5 2" xfId="8322" xr:uid="{00000000-0005-0000-0000-0000363C0000}"/>
    <cellStyle name="20% - Accent5 5 2 2 5 2 2" xfId="19623" xr:uid="{00000000-0005-0000-0000-0000373C0000}"/>
    <cellStyle name="20% - Accent5 5 2 2 5 2 2 2" xfId="42225" xr:uid="{00000000-0005-0000-0000-0000383C0000}"/>
    <cellStyle name="20% - Accent5 5 2 2 5 2 3" xfId="30924" xr:uid="{00000000-0005-0000-0000-0000393C0000}"/>
    <cellStyle name="20% - Accent5 5 2 2 5 3" xfId="13973" xr:uid="{00000000-0005-0000-0000-00003A3C0000}"/>
    <cellStyle name="20% - Accent5 5 2 2 5 3 2" xfId="36575" xr:uid="{00000000-0005-0000-0000-00003B3C0000}"/>
    <cellStyle name="20% - Accent5 5 2 2 5 4" xfId="25274" xr:uid="{00000000-0005-0000-0000-00003C3C0000}"/>
    <cellStyle name="20% - Accent5 5 2 2 6" xfId="4271" xr:uid="{00000000-0005-0000-0000-00003D3C0000}"/>
    <cellStyle name="20% - Accent5 5 2 2 6 2" xfId="9921" xr:uid="{00000000-0005-0000-0000-00003E3C0000}"/>
    <cellStyle name="20% - Accent5 5 2 2 6 2 2" xfId="21222" xr:uid="{00000000-0005-0000-0000-00003F3C0000}"/>
    <cellStyle name="20% - Accent5 5 2 2 6 2 2 2" xfId="43824" xr:uid="{00000000-0005-0000-0000-0000403C0000}"/>
    <cellStyle name="20% - Accent5 5 2 2 6 2 3" xfId="32523" xr:uid="{00000000-0005-0000-0000-0000413C0000}"/>
    <cellStyle name="20% - Accent5 5 2 2 6 3" xfId="15572" xr:uid="{00000000-0005-0000-0000-0000423C0000}"/>
    <cellStyle name="20% - Accent5 5 2 2 6 3 2" xfId="38174" xr:uid="{00000000-0005-0000-0000-0000433C0000}"/>
    <cellStyle name="20% - Accent5 5 2 2 6 4" xfId="26873" xr:uid="{00000000-0005-0000-0000-0000443C0000}"/>
    <cellStyle name="20% - Accent5 5 2 2 7" xfId="6751" xr:uid="{00000000-0005-0000-0000-0000453C0000}"/>
    <cellStyle name="20% - Accent5 5 2 2 7 2" xfId="18052" xr:uid="{00000000-0005-0000-0000-0000463C0000}"/>
    <cellStyle name="20% - Accent5 5 2 2 7 2 2" xfId="40654" xr:uid="{00000000-0005-0000-0000-0000473C0000}"/>
    <cellStyle name="20% - Accent5 5 2 2 7 3" xfId="29353" xr:uid="{00000000-0005-0000-0000-0000483C0000}"/>
    <cellStyle name="20% - Accent5 5 2 2 8" xfId="12402" xr:uid="{00000000-0005-0000-0000-0000493C0000}"/>
    <cellStyle name="20% - Accent5 5 2 2 8 2" xfId="35004" xr:uid="{00000000-0005-0000-0000-00004A3C0000}"/>
    <cellStyle name="20% - Accent5 5 2 2 9" xfId="23703" xr:uid="{00000000-0005-0000-0000-00004B3C0000}"/>
    <cellStyle name="20% - Accent5 5 2 3" xfId="1258" xr:uid="{00000000-0005-0000-0000-00004C3C0000}"/>
    <cellStyle name="20% - Accent5 5 2 3 2" xfId="1754" xr:uid="{00000000-0005-0000-0000-00004D3C0000}"/>
    <cellStyle name="20% - Accent5 5 2 3 2 2" xfId="3326" xr:uid="{00000000-0005-0000-0000-00004E3C0000}"/>
    <cellStyle name="20% - Accent5 5 2 3 2 2 2" xfId="6298" xr:uid="{00000000-0005-0000-0000-00004F3C0000}"/>
    <cellStyle name="20% - Accent5 5 2 3 2 2 2 2" xfId="11948" xr:uid="{00000000-0005-0000-0000-0000503C0000}"/>
    <cellStyle name="20% - Accent5 5 2 3 2 2 2 2 2" xfId="23249" xr:uid="{00000000-0005-0000-0000-0000513C0000}"/>
    <cellStyle name="20% - Accent5 5 2 3 2 2 2 2 2 2" xfId="45851" xr:uid="{00000000-0005-0000-0000-0000523C0000}"/>
    <cellStyle name="20% - Accent5 5 2 3 2 2 2 2 3" xfId="34550" xr:uid="{00000000-0005-0000-0000-0000533C0000}"/>
    <cellStyle name="20% - Accent5 5 2 3 2 2 2 3" xfId="17599" xr:uid="{00000000-0005-0000-0000-0000543C0000}"/>
    <cellStyle name="20% - Accent5 5 2 3 2 2 2 3 2" xfId="40201" xr:uid="{00000000-0005-0000-0000-0000553C0000}"/>
    <cellStyle name="20% - Accent5 5 2 3 2 2 2 4" xfId="28900" xr:uid="{00000000-0005-0000-0000-0000563C0000}"/>
    <cellStyle name="20% - Accent5 5 2 3 2 2 3" xfId="9116" xr:uid="{00000000-0005-0000-0000-0000573C0000}"/>
    <cellStyle name="20% - Accent5 5 2 3 2 2 3 2" xfId="20417" xr:uid="{00000000-0005-0000-0000-0000583C0000}"/>
    <cellStyle name="20% - Accent5 5 2 3 2 2 3 2 2" xfId="43019" xr:uid="{00000000-0005-0000-0000-0000593C0000}"/>
    <cellStyle name="20% - Accent5 5 2 3 2 2 3 3" xfId="31718" xr:uid="{00000000-0005-0000-0000-00005A3C0000}"/>
    <cellStyle name="20% - Accent5 5 2 3 2 2 4" xfId="14767" xr:uid="{00000000-0005-0000-0000-00005B3C0000}"/>
    <cellStyle name="20% - Accent5 5 2 3 2 2 4 2" xfId="37369" xr:uid="{00000000-0005-0000-0000-00005C3C0000}"/>
    <cellStyle name="20% - Accent5 5 2 3 2 2 5" xfId="26068" xr:uid="{00000000-0005-0000-0000-00005D3C0000}"/>
    <cellStyle name="20% - Accent5 5 2 3 2 3" xfId="5064" xr:uid="{00000000-0005-0000-0000-00005E3C0000}"/>
    <cellStyle name="20% - Accent5 5 2 3 2 3 2" xfId="10714" xr:uid="{00000000-0005-0000-0000-00005F3C0000}"/>
    <cellStyle name="20% - Accent5 5 2 3 2 3 2 2" xfId="22015" xr:uid="{00000000-0005-0000-0000-0000603C0000}"/>
    <cellStyle name="20% - Accent5 5 2 3 2 3 2 2 2" xfId="44617" xr:uid="{00000000-0005-0000-0000-0000613C0000}"/>
    <cellStyle name="20% - Accent5 5 2 3 2 3 2 3" xfId="33316" xr:uid="{00000000-0005-0000-0000-0000623C0000}"/>
    <cellStyle name="20% - Accent5 5 2 3 2 3 3" xfId="16365" xr:uid="{00000000-0005-0000-0000-0000633C0000}"/>
    <cellStyle name="20% - Accent5 5 2 3 2 3 3 2" xfId="38967" xr:uid="{00000000-0005-0000-0000-0000643C0000}"/>
    <cellStyle name="20% - Accent5 5 2 3 2 3 4" xfId="27666" xr:uid="{00000000-0005-0000-0000-0000653C0000}"/>
    <cellStyle name="20% - Accent5 5 2 3 2 4" xfId="7610" xr:uid="{00000000-0005-0000-0000-0000663C0000}"/>
    <cellStyle name="20% - Accent5 5 2 3 2 4 2" xfId="18911" xr:uid="{00000000-0005-0000-0000-0000673C0000}"/>
    <cellStyle name="20% - Accent5 5 2 3 2 4 2 2" xfId="41513" xr:uid="{00000000-0005-0000-0000-0000683C0000}"/>
    <cellStyle name="20% - Accent5 5 2 3 2 4 3" xfId="30212" xr:uid="{00000000-0005-0000-0000-0000693C0000}"/>
    <cellStyle name="20% - Accent5 5 2 3 2 5" xfId="13261" xr:uid="{00000000-0005-0000-0000-00006A3C0000}"/>
    <cellStyle name="20% - Accent5 5 2 3 2 5 2" xfId="35863" xr:uid="{00000000-0005-0000-0000-00006B3C0000}"/>
    <cellStyle name="20% - Accent5 5 2 3 2 6" xfId="24562" xr:uid="{00000000-0005-0000-0000-00006C3C0000}"/>
    <cellStyle name="20% - Accent5 5 2 3 3" xfId="2655" xr:uid="{00000000-0005-0000-0000-00006D3C0000}"/>
    <cellStyle name="20% - Accent5 5 2 3 3 2" xfId="5674" xr:uid="{00000000-0005-0000-0000-00006E3C0000}"/>
    <cellStyle name="20% - Accent5 5 2 3 3 2 2" xfId="11324" xr:uid="{00000000-0005-0000-0000-00006F3C0000}"/>
    <cellStyle name="20% - Accent5 5 2 3 3 2 2 2" xfId="22625" xr:uid="{00000000-0005-0000-0000-0000703C0000}"/>
    <cellStyle name="20% - Accent5 5 2 3 3 2 2 2 2" xfId="45227" xr:uid="{00000000-0005-0000-0000-0000713C0000}"/>
    <cellStyle name="20% - Accent5 5 2 3 3 2 2 3" xfId="33926" xr:uid="{00000000-0005-0000-0000-0000723C0000}"/>
    <cellStyle name="20% - Accent5 5 2 3 3 2 3" xfId="16975" xr:uid="{00000000-0005-0000-0000-0000733C0000}"/>
    <cellStyle name="20% - Accent5 5 2 3 3 2 3 2" xfId="39577" xr:uid="{00000000-0005-0000-0000-0000743C0000}"/>
    <cellStyle name="20% - Accent5 5 2 3 3 2 4" xfId="28276" xr:uid="{00000000-0005-0000-0000-0000753C0000}"/>
    <cellStyle name="20% - Accent5 5 2 3 3 3" xfId="8491" xr:uid="{00000000-0005-0000-0000-0000763C0000}"/>
    <cellStyle name="20% - Accent5 5 2 3 3 3 2" xfId="19792" xr:uid="{00000000-0005-0000-0000-0000773C0000}"/>
    <cellStyle name="20% - Accent5 5 2 3 3 3 2 2" xfId="42394" xr:uid="{00000000-0005-0000-0000-0000783C0000}"/>
    <cellStyle name="20% - Accent5 5 2 3 3 3 3" xfId="31093" xr:uid="{00000000-0005-0000-0000-0000793C0000}"/>
    <cellStyle name="20% - Accent5 5 2 3 3 4" xfId="14142" xr:uid="{00000000-0005-0000-0000-00007A3C0000}"/>
    <cellStyle name="20% - Accent5 5 2 3 3 4 2" xfId="36744" xr:uid="{00000000-0005-0000-0000-00007B3C0000}"/>
    <cellStyle name="20% - Accent5 5 2 3 3 5" xfId="25443" xr:uid="{00000000-0005-0000-0000-00007C3C0000}"/>
    <cellStyle name="20% - Accent5 5 2 3 4" xfId="4440" xr:uid="{00000000-0005-0000-0000-00007D3C0000}"/>
    <cellStyle name="20% - Accent5 5 2 3 4 2" xfId="10090" xr:uid="{00000000-0005-0000-0000-00007E3C0000}"/>
    <cellStyle name="20% - Accent5 5 2 3 4 2 2" xfId="21391" xr:uid="{00000000-0005-0000-0000-00007F3C0000}"/>
    <cellStyle name="20% - Accent5 5 2 3 4 2 2 2" xfId="43993" xr:uid="{00000000-0005-0000-0000-0000803C0000}"/>
    <cellStyle name="20% - Accent5 5 2 3 4 2 3" xfId="32692" xr:uid="{00000000-0005-0000-0000-0000813C0000}"/>
    <cellStyle name="20% - Accent5 5 2 3 4 3" xfId="15741" xr:uid="{00000000-0005-0000-0000-0000823C0000}"/>
    <cellStyle name="20% - Accent5 5 2 3 4 3 2" xfId="38343" xr:uid="{00000000-0005-0000-0000-0000833C0000}"/>
    <cellStyle name="20% - Accent5 5 2 3 4 4" xfId="27042" xr:uid="{00000000-0005-0000-0000-0000843C0000}"/>
    <cellStyle name="20% - Accent5 5 2 3 5" xfId="7237" xr:uid="{00000000-0005-0000-0000-0000853C0000}"/>
    <cellStyle name="20% - Accent5 5 2 3 5 2" xfId="18538" xr:uid="{00000000-0005-0000-0000-0000863C0000}"/>
    <cellStyle name="20% - Accent5 5 2 3 5 2 2" xfId="41140" xr:uid="{00000000-0005-0000-0000-0000873C0000}"/>
    <cellStyle name="20% - Accent5 5 2 3 5 3" xfId="29839" xr:uid="{00000000-0005-0000-0000-0000883C0000}"/>
    <cellStyle name="20% - Accent5 5 2 3 6" xfId="12888" xr:uid="{00000000-0005-0000-0000-0000893C0000}"/>
    <cellStyle name="20% - Accent5 5 2 3 6 2" xfId="35490" xr:uid="{00000000-0005-0000-0000-00008A3C0000}"/>
    <cellStyle name="20% - Accent5 5 2 3 7" xfId="24189" xr:uid="{00000000-0005-0000-0000-00008B3C0000}"/>
    <cellStyle name="20% - Accent5 5 2 4" xfId="949" xr:uid="{00000000-0005-0000-0000-00008C3C0000}"/>
    <cellStyle name="20% - Accent5 5 2 4 2" xfId="3019" xr:uid="{00000000-0005-0000-0000-00008D3C0000}"/>
    <cellStyle name="20% - Accent5 5 2 4 2 2" xfId="5991" xr:uid="{00000000-0005-0000-0000-00008E3C0000}"/>
    <cellStyle name="20% - Accent5 5 2 4 2 2 2" xfId="11641" xr:uid="{00000000-0005-0000-0000-00008F3C0000}"/>
    <cellStyle name="20% - Accent5 5 2 4 2 2 2 2" xfId="22942" xr:uid="{00000000-0005-0000-0000-0000903C0000}"/>
    <cellStyle name="20% - Accent5 5 2 4 2 2 2 2 2" xfId="45544" xr:uid="{00000000-0005-0000-0000-0000913C0000}"/>
    <cellStyle name="20% - Accent5 5 2 4 2 2 2 3" xfId="34243" xr:uid="{00000000-0005-0000-0000-0000923C0000}"/>
    <cellStyle name="20% - Accent5 5 2 4 2 2 3" xfId="17292" xr:uid="{00000000-0005-0000-0000-0000933C0000}"/>
    <cellStyle name="20% - Accent5 5 2 4 2 2 3 2" xfId="39894" xr:uid="{00000000-0005-0000-0000-0000943C0000}"/>
    <cellStyle name="20% - Accent5 5 2 4 2 2 4" xfId="28593" xr:uid="{00000000-0005-0000-0000-0000953C0000}"/>
    <cellStyle name="20% - Accent5 5 2 4 2 3" xfId="8809" xr:uid="{00000000-0005-0000-0000-0000963C0000}"/>
    <cellStyle name="20% - Accent5 5 2 4 2 3 2" xfId="20110" xr:uid="{00000000-0005-0000-0000-0000973C0000}"/>
    <cellStyle name="20% - Accent5 5 2 4 2 3 2 2" xfId="42712" xr:uid="{00000000-0005-0000-0000-0000983C0000}"/>
    <cellStyle name="20% - Accent5 5 2 4 2 3 3" xfId="31411" xr:uid="{00000000-0005-0000-0000-0000993C0000}"/>
    <cellStyle name="20% - Accent5 5 2 4 2 4" xfId="14460" xr:uid="{00000000-0005-0000-0000-00009A3C0000}"/>
    <cellStyle name="20% - Accent5 5 2 4 2 4 2" xfId="37062" xr:uid="{00000000-0005-0000-0000-00009B3C0000}"/>
    <cellStyle name="20% - Accent5 5 2 4 2 5" xfId="25761" xr:uid="{00000000-0005-0000-0000-00009C3C0000}"/>
    <cellStyle name="20% - Accent5 5 2 4 3" xfId="4757" xr:uid="{00000000-0005-0000-0000-00009D3C0000}"/>
    <cellStyle name="20% - Accent5 5 2 4 3 2" xfId="10407" xr:uid="{00000000-0005-0000-0000-00009E3C0000}"/>
    <cellStyle name="20% - Accent5 5 2 4 3 2 2" xfId="21708" xr:uid="{00000000-0005-0000-0000-00009F3C0000}"/>
    <cellStyle name="20% - Accent5 5 2 4 3 2 2 2" xfId="44310" xr:uid="{00000000-0005-0000-0000-0000A03C0000}"/>
    <cellStyle name="20% - Accent5 5 2 4 3 2 3" xfId="33009" xr:uid="{00000000-0005-0000-0000-0000A13C0000}"/>
    <cellStyle name="20% - Accent5 5 2 4 3 3" xfId="16058" xr:uid="{00000000-0005-0000-0000-0000A23C0000}"/>
    <cellStyle name="20% - Accent5 5 2 4 3 3 2" xfId="38660" xr:uid="{00000000-0005-0000-0000-0000A33C0000}"/>
    <cellStyle name="20% - Accent5 5 2 4 3 4" xfId="27359" xr:uid="{00000000-0005-0000-0000-0000A43C0000}"/>
    <cellStyle name="20% - Accent5 5 2 4 4" xfId="6944" xr:uid="{00000000-0005-0000-0000-0000A53C0000}"/>
    <cellStyle name="20% - Accent5 5 2 4 4 2" xfId="18245" xr:uid="{00000000-0005-0000-0000-0000A63C0000}"/>
    <cellStyle name="20% - Accent5 5 2 4 4 2 2" xfId="40847" xr:uid="{00000000-0005-0000-0000-0000A73C0000}"/>
    <cellStyle name="20% - Accent5 5 2 4 4 3" xfId="29546" xr:uid="{00000000-0005-0000-0000-0000A83C0000}"/>
    <cellStyle name="20% - Accent5 5 2 4 5" xfId="12595" xr:uid="{00000000-0005-0000-0000-0000A93C0000}"/>
    <cellStyle name="20% - Accent5 5 2 4 5 2" xfId="35197" xr:uid="{00000000-0005-0000-0000-0000AA3C0000}"/>
    <cellStyle name="20% - Accent5 5 2 4 6" xfId="23896" xr:uid="{00000000-0005-0000-0000-0000AB3C0000}"/>
    <cellStyle name="20% - Accent5 5 2 5" xfId="1751" xr:uid="{00000000-0005-0000-0000-0000AC3C0000}"/>
    <cellStyle name="20% - Accent5 5 2 5 2" xfId="3673" xr:uid="{00000000-0005-0000-0000-0000AD3C0000}"/>
    <cellStyle name="20% - Accent5 5 2 5 2 2" xfId="9384" xr:uid="{00000000-0005-0000-0000-0000AE3C0000}"/>
    <cellStyle name="20% - Accent5 5 2 5 2 2 2" xfId="20685" xr:uid="{00000000-0005-0000-0000-0000AF3C0000}"/>
    <cellStyle name="20% - Accent5 5 2 5 2 2 2 2" xfId="43287" xr:uid="{00000000-0005-0000-0000-0000B03C0000}"/>
    <cellStyle name="20% - Accent5 5 2 5 2 2 3" xfId="31986" xr:uid="{00000000-0005-0000-0000-0000B13C0000}"/>
    <cellStyle name="20% - Accent5 5 2 5 2 3" xfId="15035" xr:uid="{00000000-0005-0000-0000-0000B23C0000}"/>
    <cellStyle name="20% - Accent5 5 2 5 2 3 2" xfId="37637" xr:uid="{00000000-0005-0000-0000-0000B33C0000}"/>
    <cellStyle name="20% - Accent5 5 2 5 2 4" xfId="26336" xr:uid="{00000000-0005-0000-0000-0000B43C0000}"/>
    <cellStyle name="20% - Accent5 5 2 5 3" xfId="5367" xr:uid="{00000000-0005-0000-0000-0000B53C0000}"/>
    <cellStyle name="20% - Accent5 5 2 5 3 2" xfId="11017" xr:uid="{00000000-0005-0000-0000-0000B63C0000}"/>
    <cellStyle name="20% - Accent5 5 2 5 3 2 2" xfId="22318" xr:uid="{00000000-0005-0000-0000-0000B73C0000}"/>
    <cellStyle name="20% - Accent5 5 2 5 3 2 2 2" xfId="44920" xr:uid="{00000000-0005-0000-0000-0000B83C0000}"/>
    <cellStyle name="20% - Accent5 5 2 5 3 2 3" xfId="33619" xr:uid="{00000000-0005-0000-0000-0000B93C0000}"/>
    <cellStyle name="20% - Accent5 5 2 5 3 3" xfId="16668" xr:uid="{00000000-0005-0000-0000-0000BA3C0000}"/>
    <cellStyle name="20% - Accent5 5 2 5 3 3 2" xfId="39270" xr:uid="{00000000-0005-0000-0000-0000BB3C0000}"/>
    <cellStyle name="20% - Accent5 5 2 5 3 4" xfId="27969" xr:uid="{00000000-0005-0000-0000-0000BC3C0000}"/>
    <cellStyle name="20% - Accent5 5 2 5 4" xfId="7607" xr:uid="{00000000-0005-0000-0000-0000BD3C0000}"/>
    <cellStyle name="20% - Accent5 5 2 5 4 2" xfId="18908" xr:uid="{00000000-0005-0000-0000-0000BE3C0000}"/>
    <cellStyle name="20% - Accent5 5 2 5 4 2 2" xfId="41510" xr:uid="{00000000-0005-0000-0000-0000BF3C0000}"/>
    <cellStyle name="20% - Accent5 5 2 5 4 3" xfId="30209" xr:uid="{00000000-0005-0000-0000-0000C03C0000}"/>
    <cellStyle name="20% - Accent5 5 2 5 5" xfId="13258" xr:uid="{00000000-0005-0000-0000-0000C13C0000}"/>
    <cellStyle name="20% - Accent5 5 2 5 5 2" xfId="35860" xr:uid="{00000000-0005-0000-0000-0000C23C0000}"/>
    <cellStyle name="20% - Accent5 5 2 5 6" xfId="24559" xr:uid="{00000000-0005-0000-0000-0000C33C0000}"/>
    <cellStyle name="20% - Accent5 5 2 6" xfId="2346" xr:uid="{00000000-0005-0000-0000-0000C43C0000}"/>
    <cellStyle name="20% - Accent5 5 2 6 2" xfId="8182" xr:uid="{00000000-0005-0000-0000-0000C53C0000}"/>
    <cellStyle name="20% - Accent5 5 2 6 2 2" xfId="19483" xr:uid="{00000000-0005-0000-0000-0000C63C0000}"/>
    <cellStyle name="20% - Accent5 5 2 6 2 2 2" xfId="42085" xr:uid="{00000000-0005-0000-0000-0000C73C0000}"/>
    <cellStyle name="20% - Accent5 5 2 6 2 3" xfId="30784" xr:uid="{00000000-0005-0000-0000-0000C83C0000}"/>
    <cellStyle name="20% - Accent5 5 2 6 3" xfId="13833" xr:uid="{00000000-0005-0000-0000-0000C93C0000}"/>
    <cellStyle name="20% - Accent5 5 2 6 3 2" xfId="36435" xr:uid="{00000000-0005-0000-0000-0000CA3C0000}"/>
    <cellStyle name="20% - Accent5 5 2 6 4" xfId="25134" xr:uid="{00000000-0005-0000-0000-0000CB3C0000}"/>
    <cellStyle name="20% - Accent5 5 2 7" xfId="4133" xr:uid="{00000000-0005-0000-0000-0000CC3C0000}"/>
    <cellStyle name="20% - Accent5 5 2 7 2" xfId="9783" xr:uid="{00000000-0005-0000-0000-0000CD3C0000}"/>
    <cellStyle name="20% - Accent5 5 2 7 2 2" xfId="21084" xr:uid="{00000000-0005-0000-0000-0000CE3C0000}"/>
    <cellStyle name="20% - Accent5 5 2 7 2 2 2" xfId="43686" xr:uid="{00000000-0005-0000-0000-0000CF3C0000}"/>
    <cellStyle name="20% - Accent5 5 2 7 2 3" xfId="32385" xr:uid="{00000000-0005-0000-0000-0000D03C0000}"/>
    <cellStyle name="20% - Accent5 5 2 7 3" xfId="15434" xr:uid="{00000000-0005-0000-0000-0000D13C0000}"/>
    <cellStyle name="20% - Accent5 5 2 7 3 2" xfId="38036" xr:uid="{00000000-0005-0000-0000-0000D23C0000}"/>
    <cellStyle name="20% - Accent5 5 2 7 4" xfId="26735" xr:uid="{00000000-0005-0000-0000-0000D33C0000}"/>
    <cellStyle name="20% - Accent5 5 2 8" xfId="6584" xr:uid="{00000000-0005-0000-0000-0000D43C0000}"/>
    <cellStyle name="20% - Accent5 5 2 8 2" xfId="17885" xr:uid="{00000000-0005-0000-0000-0000D53C0000}"/>
    <cellStyle name="20% - Accent5 5 2 8 2 2" xfId="40487" xr:uid="{00000000-0005-0000-0000-0000D63C0000}"/>
    <cellStyle name="20% - Accent5 5 2 8 3" xfId="29186" xr:uid="{00000000-0005-0000-0000-0000D73C0000}"/>
    <cellStyle name="20% - Accent5 5 2 9" xfId="12235" xr:uid="{00000000-0005-0000-0000-0000D83C0000}"/>
    <cellStyle name="20% - Accent5 5 2 9 2" xfId="34837" xr:uid="{00000000-0005-0000-0000-0000D93C0000}"/>
    <cellStyle name="20% - Accent5 5 3" xfId="590" xr:uid="{00000000-0005-0000-0000-0000DA3C0000}"/>
    <cellStyle name="20% - Accent5 5 3 2" xfId="1303" xr:uid="{00000000-0005-0000-0000-0000DB3C0000}"/>
    <cellStyle name="20% - Accent5 5 3 2 2" xfId="1756" xr:uid="{00000000-0005-0000-0000-0000DC3C0000}"/>
    <cellStyle name="20% - Accent5 5 3 2 2 2" xfId="3372" xr:uid="{00000000-0005-0000-0000-0000DD3C0000}"/>
    <cellStyle name="20% - Accent5 5 3 2 2 2 2" xfId="6344" xr:uid="{00000000-0005-0000-0000-0000DE3C0000}"/>
    <cellStyle name="20% - Accent5 5 3 2 2 2 2 2" xfId="11994" xr:uid="{00000000-0005-0000-0000-0000DF3C0000}"/>
    <cellStyle name="20% - Accent5 5 3 2 2 2 2 2 2" xfId="23295" xr:uid="{00000000-0005-0000-0000-0000E03C0000}"/>
    <cellStyle name="20% - Accent5 5 3 2 2 2 2 2 2 2" xfId="45897" xr:uid="{00000000-0005-0000-0000-0000E13C0000}"/>
    <cellStyle name="20% - Accent5 5 3 2 2 2 2 2 3" xfId="34596" xr:uid="{00000000-0005-0000-0000-0000E23C0000}"/>
    <cellStyle name="20% - Accent5 5 3 2 2 2 2 3" xfId="17645" xr:uid="{00000000-0005-0000-0000-0000E33C0000}"/>
    <cellStyle name="20% - Accent5 5 3 2 2 2 2 3 2" xfId="40247" xr:uid="{00000000-0005-0000-0000-0000E43C0000}"/>
    <cellStyle name="20% - Accent5 5 3 2 2 2 2 4" xfId="28946" xr:uid="{00000000-0005-0000-0000-0000E53C0000}"/>
    <cellStyle name="20% - Accent5 5 3 2 2 2 3" xfId="9162" xr:uid="{00000000-0005-0000-0000-0000E63C0000}"/>
    <cellStyle name="20% - Accent5 5 3 2 2 2 3 2" xfId="20463" xr:uid="{00000000-0005-0000-0000-0000E73C0000}"/>
    <cellStyle name="20% - Accent5 5 3 2 2 2 3 2 2" xfId="43065" xr:uid="{00000000-0005-0000-0000-0000E83C0000}"/>
    <cellStyle name="20% - Accent5 5 3 2 2 2 3 3" xfId="31764" xr:uid="{00000000-0005-0000-0000-0000E93C0000}"/>
    <cellStyle name="20% - Accent5 5 3 2 2 2 4" xfId="14813" xr:uid="{00000000-0005-0000-0000-0000EA3C0000}"/>
    <cellStyle name="20% - Accent5 5 3 2 2 2 4 2" xfId="37415" xr:uid="{00000000-0005-0000-0000-0000EB3C0000}"/>
    <cellStyle name="20% - Accent5 5 3 2 2 2 5" xfId="26114" xr:uid="{00000000-0005-0000-0000-0000EC3C0000}"/>
    <cellStyle name="20% - Accent5 5 3 2 2 3" xfId="5110" xr:uid="{00000000-0005-0000-0000-0000ED3C0000}"/>
    <cellStyle name="20% - Accent5 5 3 2 2 3 2" xfId="10760" xr:uid="{00000000-0005-0000-0000-0000EE3C0000}"/>
    <cellStyle name="20% - Accent5 5 3 2 2 3 2 2" xfId="22061" xr:uid="{00000000-0005-0000-0000-0000EF3C0000}"/>
    <cellStyle name="20% - Accent5 5 3 2 2 3 2 2 2" xfId="44663" xr:uid="{00000000-0005-0000-0000-0000F03C0000}"/>
    <cellStyle name="20% - Accent5 5 3 2 2 3 2 3" xfId="33362" xr:uid="{00000000-0005-0000-0000-0000F13C0000}"/>
    <cellStyle name="20% - Accent5 5 3 2 2 3 3" xfId="16411" xr:uid="{00000000-0005-0000-0000-0000F23C0000}"/>
    <cellStyle name="20% - Accent5 5 3 2 2 3 3 2" xfId="39013" xr:uid="{00000000-0005-0000-0000-0000F33C0000}"/>
    <cellStyle name="20% - Accent5 5 3 2 2 3 4" xfId="27712" xr:uid="{00000000-0005-0000-0000-0000F43C0000}"/>
    <cellStyle name="20% - Accent5 5 3 2 2 4" xfId="7612" xr:uid="{00000000-0005-0000-0000-0000F53C0000}"/>
    <cellStyle name="20% - Accent5 5 3 2 2 4 2" xfId="18913" xr:uid="{00000000-0005-0000-0000-0000F63C0000}"/>
    <cellStyle name="20% - Accent5 5 3 2 2 4 2 2" xfId="41515" xr:uid="{00000000-0005-0000-0000-0000F73C0000}"/>
    <cellStyle name="20% - Accent5 5 3 2 2 4 3" xfId="30214" xr:uid="{00000000-0005-0000-0000-0000F83C0000}"/>
    <cellStyle name="20% - Accent5 5 3 2 2 5" xfId="13263" xr:uid="{00000000-0005-0000-0000-0000F93C0000}"/>
    <cellStyle name="20% - Accent5 5 3 2 2 5 2" xfId="35865" xr:uid="{00000000-0005-0000-0000-0000FA3C0000}"/>
    <cellStyle name="20% - Accent5 5 3 2 2 6" xfId="24564" xr:uid="{00000000-0005-0000-0000-0000FB3C0000}"/>
    <cellStyle name="20% - Accent5 5 3 2 3" xfId="2701" xr:uid="{00000000-0005-0000-0000-0000FC3C0000}"/>
    <cellStyle name="20% - Accent5 5 3 2 3 2" xfId="5720" xr:uid="{00000000-0005-0000-0000-0000FD3C0000}"/>
    <cellStyle name="20% - Accent5 5 3 2 3 2 2" xfId="11370" xr:uid="{00000000-0005-0000-0000-0000FE3C0000}"/>
    <cellStyle name="20% - Accent5 5 3 2 3 2 2 2" xfId="22671" xr:uid="{00000000-0005-0000-0000-0000FF3C0000}"/>
    <cellStyle name="20% - Accent5 5 3 2 3 2 2 2 2" xfId="45273" xr:uid="{00000000-0005-0000-0000-0000003D0000}"/>
    <cellStyle name="20% - Accent5 5 3 2 3 2 2 3" xfId="33972" xr:uid="{00000000-0005-0000-0000-0000013D0000}"/>
    <cellStyle name="20% - Accent5 5 3 2 3 2 3" xfId="17021" xr:uid="{00000000-0005-0000-0000-0000023D0000}"/>
    <cellStyle name="20% - Accent5 5 3 2 3 2 3 2" xfId="39623" xr:uid="{00000000-0005-0000-0000-0000033D0000}"/>
    <cellStyle name="20% - Accent5 5 3 2 3 2 4" xfId="28322" xr:uid="{00000000-0005-0000-0000-0000043D0000}"/>
    <cellStyle name="20% - Accent5 5 3 2 3 3" xfId="8537" xr:uid="{00000000-0005-0000-0000-0000053D0000}"/>
    <cellStyle name="20% - Accent5 5 3 2 3 3 2" xfId="19838" xr:uid="{00000000-0005-0000-0000-0000063D0000}"/>
    <cellStyle name="20% - Accent5 5 3 2 3 3 2 2" xfId="42440" xr:uid="{00000000-0005-0000-0000-0000073D0000}"/>
    <cellStyle name="20% - Accent5 5 3 2 3 3 3" xfId="31139" xr:uid="{00000000-0005-0000-0000-0000083D0000}"/>
    <cellStyle name="20% - Accent5 5 3 2 3 4" xfId="14188" xr:uid="{00000000-0005-0000-0000-0000093D0000}"/>
    <cellStyle name="20% - Accent5 5 3 2 3 4 2" xfId="36790" xr:uid="{00000000-0005-0000-0000-00000A3D0000}"/>
    <cellStyle name="20% - Accent5 5 3 2 3 5" xfId="25489" xr:uid="{00000000-0005-0000-0000-00000B3D0000}"/>
    <cellStyle name="20% - Accent5 5 3 2 4" xfId="4486" xr:uid="{00000000-0005-0000-0000-00000C3D0000}"/>
    <cellStyle name="20% - Accent5 5 3 2 4 2" xfId="10136" xr:uid="{00000000-0005-0000-0000-00000D3D0000}"/>
    <cellStyle name="20% - Accent5 5 3 2 4 2 2" xfId="21437" xr:uid="{00000000-0005-0000-0000-00000E3D0000}"/>
    <cellStyle name="20% - Accent5 5 3 2 4 2 2 2" xfId="44039" xr:uid="{00000000-0005-0000-0000-00000F3D0000}"/>
    <cellStyle name="20% - Accent5 5 3 2 4 2 3" xfId="32738" xr:uid="{00000000-0005-0000-0000-0000103D0000}"/>
    <cellStyle name="20% - Accent5 5 3 2 4 3" xfId="15787" xr:uid="{00000000-0005-0000-0000-0000113D0000}"/>
    <cellStyle name="20% - Accent5 5 3 2 4 3 2" xfId="38389" xr:uid="{00000000-0005-0000-0000-0000123D0000}"/>
    <cellStyle name="20% - Accent5 5 3 2 4 4" xfId="27088" xr:uid="{00000000-0005-0000-0000-0000133D0000}"/>
    <cellStyle name="20% - Accent5 5 3 2 5" xfId="7282" xr:uid="{00000000-0005-0000-0000-0000143D0000}"/>
    <cellStyle name="20% - Accent5 5 3 2 5 2" xfId="18583" xr:uid="{00000000-0005-0000-0000-0000153D0000}"/>
    <cellStyle name="20% - Accent5 5 3 2 5 2 2" xfId="41185" xr:uid="{00000000-0005-0000-0000-0000163D0000}"/>
    <cellStyle name="20% - Accent5 5 3 2 5 3" xfId="29884" xr:uid="{00000000-0005-0000-0000-0000173D0000}"/>
    <cellStyle name="20% - Accent5 5 3 2 6" xfId="12933" xr:uid="{00000000-0005-0000-0000-0000183D0000}"/>
    <cellStyle name="20% - Accent5 5 3 2 6 2" xfId="35535" xr:uid="{00000000-0005-0000-0000-0000193D0000}"/>
    <cellStyle name="20% - Accent5 5 3 2 7" xfId="24234" xr:uid="{00000000-0005-0000-0000-00001A3D0000}"/>
    <cellStyle name="20% - Accent5 5 3 3" xfId="1001" xr:uid="{00000000-0005-0000-0000-00001B3D0000}"/>
    <cellStyle name="20% - Accent5 5 3 3 2" xfId="3064" xr:uid="{00000000-0005-0000-0000-00001C3D0000}"/>
    <cellStyle name="20% - Accent5 5 3 3 2 2" xfId="6036" xr:uid="{00000000-0005-0000-0000-00001D3D0000}"/>
    <cellStyle name="20% - Accent5 5 3 3 2 2 2" xfId="11686" xr:uid="{00000000-0005-0000-0000-00001E3D0000}"/>
    <cellStyle name="20% - Accent5 5 3 3 2 2 2 2" xfId="22987" xr:uid="{00000000-0005-0000-0000-00001F3D0000}"/>
    <cellStyle name="20% - Accent5 5 3 3 2 2 2 2 2" xfId="45589" xr:uid="{00000000-0005-0000-0000-0000203D0000}"/>
    <cellStyle name="20% - Accent5 5 3 3 2 2 2 3" xfId="34288" xr:uid="{00000000-0005-0000-0000-0000213D0000}"/>
    <cellStyle name="20% - Accent5 5 3 3 2 2 3" xfId="17337" xr:uid="{00000000-0005-0000-0000-0000223D0000}"/>
    <cellStyle name="20% - Accent5 5 3 3 2 2 3 2" xfId="39939" xr:uid="{00000000-0005-0000-0000-0000233D0000}"/>
    <cellStyle name="20% - Accent5 5 3 3 2 2 4" xfId="28638" xr:uid="{00000000-0005-0000-0000-0000243D0000}"/>
    <cellStyle name="20% - Accent5 5 3 3 2 3" xfId="8854" xr:uid="{00000000-0005-0000-0000-0000253D0000}"/>
    <cellStyle name="20% - Accent5 5 3 3 2 3 2" xfId="20155" xr:uid="{00000000-0005-0000-0000-0000263D0000}"/>
    <cellStyle name="20% - Accent5 5 3 3 2 3 2 2" xfId="42757" xr:uid="{00000000-0005-0000-0000-0000273D0000}"/>
    <cellStyle name="20% - Accent5 5 3 3 2 3 3" xfId="31456" xr:uid="{00000000-0005-0000-0000-0000283D0000}"/>
    <cellStyle name="20% - Accent5 5 3 3 2 4" xfId="14505" xr:uid="{00000000-0005-0000-0000-0000293D0000}"/>
    <cellStyle name="20% - Accent5 5 3 3 2 4 2" xfId="37107" xr:uid="{00000000-0005-0000-0000-00002A3D0000}"/>
    <cellStyle name="20% - Accent5 5 3 3 2 5" xfId="25806" xr:uid="{00000000-0005-0000-0000-00002B3D0000}"/>
    <cellStyle name="20% - Accent5 5 3 3 3" xfId="4802" xr:uid="{00000000-0005-0000-0000-00002C3D0000}"/>
    <cellStyle name="20% - Accent5 5 3 3 3 2" xfId="10452" xr:uid="{00000000-0005-0000-0000-00002D3D0000}"/>
    <cellStyle name="20% - Accent5 5 3 3 3 2 2" xfId="21753" xr:uid="{00000000-0005-0000-0000-00002E3D0000}"/>
    <cellStyle name="20% - Accent5 5 3 3 3 2 2 2" xfId="44355" xr:uid="{00000000-0005-0000-0000-00002F3D0000}"/>
    <cellStyle name="20% - Accent5 5 3 3 3 2 3" xfId="33054" xr:uid="{00000000-0005-0000-0000-0000303D0000}"/>
    <cellStyle name="20% - Accent5 5 3 3 3 3" xfId="16103" xr:uid="{00000000-0005-0000-0000-0000313D0000}"/>
    <cellStyle name="20% - Accent5 5 3 3 3 3 2" xfId="38705" xr:uid="{00000000-0005-0000-0000-0000323D0000}"/>
    <cellStyle name="20% - Accent5 5 3 3 3 4" xfId="27404" xr:uid="{00000000-0005-0000-0000-0000333D0000}"/>
    <cellStyle name="20% - Accent5 5 3 3 4" xfId="6989" xr:uid="{00000000-0005-0000-0000-0000343D0000}"/>
    <cellStyle name="20% - Accent5 5 3 3 4 2" xfId="18290" xr:uid="{00000000-0005-0000-0000-0000353D0000}"/>
    <cellStyle name="20% - Accent5 5 3 3 4 2 2" xfId="40892" xr:uid="{00000000-0005-0000-0000-0000363D0000}"/>
    <cellStyle name="20% - Accent5 5 3 3 4 3" xfId="29591" xr:uid="{00000000-0005-0000-0000-0000373D0000}"/>
    <cellStyle name="20% - Accent5 5 3 3 5" xfId="12640" xr:uid="{00000000-0005-0000-0000-0000383D0000}"/>
    <cellStyle name="20% - Accent5 5 3 3 5 2" xfId="35242" xr:uid="{00000000-0005-0000-0000-0000393D0000}"/>
    <cellStyle name="20% - Accent5 5 3 3 6" xfId="23941" xr:uid="{00000000-0005-0000-0000-00003A3D0000}"/>
    <cellStyle name="20% - Accent5 5 3 4" xfId="1755" xr:uid="{00000000-0005-0000-0000-00003B3D0000}"/>
    <cellStyle name="20% - Accent5 5 3 4 2" xfId="3675" xr:uid="{00000000-0005-0000-0000-00003C3D0000}"/>
    <cellStyle name="20% - Accent5 5 3 4 2 2" xfId="9386" xr:uid="{00000000-0005-0000-0000-00003D3D0000}"/>
    <cellStyle name="20% - Accent5 5 3 4 2 2 2" xfId="20687" xr:uid="{00000000-0005-0000-0000-00003E3D0000}"/>
    <cellStyle name="20% - Accent5 5 3 4 2 2 2 2" xfId="43289" xr:uid="{00000000-0005-0000-0000-00003F3D0000}"/>
    <cellStyle name="20% - Accent5 5 3 4 2 2 3" xfId="31988" xr:uid="{00000000-0005-0000-0000-0000403D0000}"/>
    <cellStyle name="20% - Accent5 5 3 4 2 3" xfId="15037" xr:uid="{00000000-0005-0000-0000-0000413D0000}"/>
    <cellStyle name="20% - Accent5 5 3 4 2 3 2" xfId="37639" xr:uid="{00000000-0005-0000-0000-0000423D0000}"/>
    <cellStyle name="20% - Accent5 5 3 4 2 4" xfId="26338" xr:uid="{00000000-0005-0000-0000-0000433D0000}"/>
    <cellStyle name="20% - Accent5 5 3 4 3" xfId="5412" xr:uid="{00000000-0005-0000-0000-0000443D0000}"/>
    <cellStyle name="20% - Accent5 5 3 4 3 2" xfId="11062" xr:uid="{00000000-0005-0000-0000-0000453D0000}"/>
    <cellStyle name="20% - Accent5 5 3 4 3 2 2" xfId="22363" xr:uid="{00000000-0005-0000-0000-0000463D0000}"/>
    <cellStyle name="20% - Accent5 5 3 4 3 2 2 2" xfId="44965" xr:uid="{00000000-0005-0000-0000-0000473D0000}"/>
    <cellStyle name="20% - Accent5 5 3 4 3 2 3" xfId="33664" xr:uid="{00000000-0005-0000-0000-0000483D0000}"/>
    <cellStyle name="20% - Accent5 5 3 4 3 3" xfId="16713" xr:uid="{00000000-0005-0000-0000-0000493D0000}"/>
    <cellStyle name="20% - Accent5 5 3 4 3 3 2" xfId="39315" xr:uid="{00000000-0005-0000-0000-00004A3D0000}"/>
    <cellStyle name="20% - Accent5 5 3 4 3 4" xfId="28014" xr:uid="{00000000-0005-0000-0000-00004B3D0000}"/>
    <cellStyle name="20% - Accent5 5 3 4 4" xfId="7611" xr:uid="{00000000-0005-0000-0000-00004C3D0000}"/>
    <cellStyle name="20% - Accent5 5 3 4 4 2" xfId="18912" xr:uid="{00000000-0005-0000-0000-00004D3D0000}"/>
    <cellStyle name="20% - Accent5 5 3 4 4 2 2" xfId="41514" xr:uid="{00000000-0005-0000-0000-00004E3D0000}"/>
    <cellStyle name="20% - Accent5 5 3 4 4 3" xfId="30213" xr:uid="{00000000-0005-0000-0000-00004F3D0000}"/>
    <cellStyle name="20% - Accent5 5 3 4 5" xfId="13262" xr:uid="{00000000-0005-0000-0000-0000503D0000}"/>
    <cellStyle name="20% - Accent5 5 3 4 5 2" xfId="35864" xr:uid="{00000000-0005-0000-0000-0000513D0000}"/>
    <cellStyle name="20% - Accent5 5 3 4 6" xfId="24563" xr:uid="{00000000-0005-0000-0000-0000523D0000}"/>
    <cellStyle name="20% - Accent5 5 3 5" xfId="2393" xr:uid="{00000000-0005-0000-0000-0000533D0000}"/>
    <cellStyle name="20% - Accent5 5 3 5 2" xfId="8229" xr:uid="{00000000-0005-0000-0000-0000543D0000}"/>
    <cellStyle name="20% - Accent5 5 3 5 2 2" xfId="19530" xr:uid="{00000000-0005-0000-0000-0000553D0000}"/>
    <cellStyle name="20% - Accent5 5 3 5 2 2 2" xfId="42132" xr:uid="{00000000-0005-0000-0000-0000563D0000}"/>
    <cellStyle name="20% - Accent5 5 3 5 2 3" xfId="30831" xr:uid="{00000000-0005-0000-0000-0000573D0000}"/>
    <cellStyle name="20% - Accent5 5 3 5 3" xfId="13880" xr:uid="{00000000-0005-0000-0000-0000583D0000}"/>
    <cellStyle name="20% - Accent5 5 3 5 3 2" xfId="36482" xr:uid="{00000000-0005-0000-0000-0000593D0000}"/>
    <cellStyle name="20% - Accent5 5 3 5 4" xfId="25181" xr:uid="{00000000-0005-0000-0000-00005A3D0000}"/>
    <cellStyle name="20% - Accent5 5 3 6" xfId="4178" xr:uid="{00000000-0005-0000-0000-00005B3D0000}"/>
    <cellStyle name="20% - Accent5 5 3 6 2" xfId="9828" xr:uid="{00000000-0005-0000-0000-00005C3D0000}"/>
    <cellStyle name="20% - Accent5 5 3 6 2 2" xfId="21129" xr:uid="{00000000-0005-0000-0000-00005D3D0000}"/>
    <cellStyle name="20% - Accent5 5 3 6 2 2 2" xfId="43731" xr:uid="{00000000-0005-0000-0000-00005E3D0000}"/>
    <cellStyle name="20% - Accent5 5 3 6 2 3" xfId="32430" xr:uid="{00000000-0005-0000-0000-00005F3D0000}"/>
    <cellStyle name="20% - Accent5 5 3 6 3" xfId="15479" xr:uid="{00000000-0005-0000-0000-0000603D0000}"/>
    <cellStyle name="20% - Accent5 5 3 6 3 2" xfId="38081" xr:uid="{00000000-0005-0000-0000-0000613D0000}"/>
    <cellStyle name="20% - Accent5 5 3 6 4" xfId="26780" xr:uid="{00000000-0005-0000-0000-0000623D0000}"/>
    <cellStyle name="20% - Accent5 5 3 7" xfId="6656" xr:uid="{00000000-0005-0000-0000-0000633D0000}"/>
    <cellStyle name="20% - Accent5 5 3 7 2" xfId="17957" xr:uid="{00000000-0005-0000-0000-0000643D0000}"/>
    <cellStyle name="20% - Accent5 5 3 7 2 2" xfId="40559" xr:uid="{00000000-0005-0000-0000-0000653D0000}"/>
    <cellStyle name="20% - Accent5 5 3 7 3" xfId="29258" xr:uid="{00000000-0005-0000-0000-0000663D0000}"/>
    <cellStyle name="20% - Accent5 5 3 8" xfId="12307" xr:uid="{00000000-0005-0000-0000-0000673D0000}"/>
    <cellStyle name="20% - Accent5 5 3 8 2" xfId="34909" xr:uid="{00000000-0005-0000-0000-0000683D0000}"/>
    <cellStyle name="20% - Accent5 5 3 9" xfId="23608" xr:uid="{00000000-0005-0000-0000-0000693D0000}"/>
    <cellStyle name="20% - Accent5 5 4" xfId="1163" xr:uid="{00000000-0005-0000-0000-00006A3D0000}"/>
    <cellStyle name="20% - Accent5 5 4 2" xfId="1757" xr:uid="{00000000-0005-0000-0000-00006B3D0000}"/>
    <cellStyle name="20% - Accent5 5 4 2 2" xfId="3231" xr:uid="{00000000-0005-0000-0000-00006C3D0000}"/>
    <cellStyle name="20% - Accent5 5 4 2 2 2" xfId="6203" xr:uid="{00000000-0005-0000-0000-00006D3D0000}"/>
    <cellStyle name="20% - Accent5 5 4 2 2 2 2" xfId="11853" xr:uid="{00000000-0005-0000-0000-00006E3D0000}"/>
    <cellStyle name="20% - Accent5 5 4 2 2 2 2 2" xfId="23154" xr:uid="{00000000-0005-0000-0000-00006F3D0000}"/>
    <cellStyle name="20% - Accent5 5 4 2 2 2 2 2 2" xfId="45756" xr:uid="{00000000-0005-0000-0000-0000703D0000}"/>
    <cellStyle name="20% - Accent5 5 4 2 2 2 2 3" xfId="34455" xr:uid="{00000000-0005-0000-0000-0000713D0000}"/>
    <cellStyle name="20% - Accent5 5 4 2 2 2 3" xfId="17504" xr:uid="{00000000-0005-0000-0000-0000723D0000}"/>
    <cellStyle name="20% - Accent5 5 4 2 2 2 3 2" xfId="40106" xr:uid="{00000000-0005-0000-0000-0000733D0000}"/>
    <cellStyle name="20% - Accent5 5 4 2 2 2 4" xfId="28805" xr:uid="{00000000-0005-0000-0000-0000743D0000}"/>
    <cellStyle name="20% - Accent5 5 4 2 2 3" xfId="9021" xr:uid="{00000000-0005-0000-0000-0000753D0000}"/>
    <cellStyle name="20% - Accent5 5 4 2 2 3 2" xfId="20322" xr:uid="{00000000-0005-0000-0000-0000763D0000}"/>
    <cellStyle name="20% - Accent5 5 4 2 2 3 2 2" xfId="42924" xr:uid="{00000000-0005-0000-0000-0000773D0000}"/>
    <cellStyle name="20% - Accent5 5 4 2 2 3 3" xfId="31623" xr:uid="{00000000-0005-0000-0000-0000783D0000}"/>
    <cellStyle name="20% - Accent5 5 4 2 2 4" xfId="14672" xr:uid="{00000000-0005-0000-0000-0000793D0000}"/>
    <cellStyle name="20% - Accent5 5 4 2 2 4 2" xfId="37274" xr:uid="{00000000-0005-0000-0000-00007A3D0000}"/>
    <cellStyle name="20% - Accent5 5 4 2 2 5" xfId="25973" xr:uid="{00000000-0005-0000-0000-00007B3D0000}"/>
    <cellStyle name="20% - Accent5 5 4 2 3" xfId="4969" xr:uid="{00000000-0005-0000-0000-00007C3D0000}"/>
    <cellStyle name="20% - Accent5 5 4 2 3 2" xfId="10619" xr:uid="{00000000-0005-0000-0000-00007D3D0000}"/>
    <cellStyle name="20% - Accent5 5 4 2 3 2 2" xfId="21920" xr:uid="{00000000-0005-0000-0000-00007E3D0000}"/>
    <cellStyle name="20% - Accent5 5 4 2 3 2 2 2" xfId="44522" xr:uid="{00000000-0005-0000-0000-00007F3D0000}"/>
    <cellStyle name="20% - Accent5 5 4 2 3 2 3" xfId="33221" xr:uid="{00000000-0005-0000-0000-0000803D0000}"/>
    <cellStyle name="20% - Accent5 5 4 2 3 3" xfId="16270" xr:uid="{00000000-0005-0000-0000-0000813D0000}"/>
    <cellStyle name="20% - Accent5 5 4 2 3 3 2" xfId="38872" xr:uid="{00000000-0005-0000-0000-0000823D0000}"/>
    <cellStyle name="20% - Accent5 5 4 2 3 4" xfId="27571" xr:uid="{00000000-0005-0000-0000-0000833D0000}"/>
    <cellStyle name="20% - Accent5 5 4 2 4" xfId="7613" xr:uid="{00000000-0005-0000-0000-0000843D0000}"/>
    <cellStyle name="20% - Accent5 5 4 2 4 2" xfId="18914" xr:uid="{00000000-0005-0000-0000-0000853D0000}"/>
    <cellStyle name="20% - Accent5 5 4 2 4 2 2" xfId="41516" xr:uid="{00000000-0005-0000-0000-0000863D0000}"/>
    <cellStyle name="20% - Accent5 5 4 2 4 3" xfId="30215" xr:uid="{00000000-0005-0000-0000-0000873D0000}"/>
    <cellStyle name="20% - Accent5 5 4 2 5" xfId="13264" xr:uid="{00000000-0005-0000-0000-0000883D0000}"/>
    <cellStyle name="20% - Accent5 5 4 2 5 2" xfId="35866" xr:uid="{00000000-0005-0000-0000-0000893D0000}"/>
    <cellStyle name="20% - Accent5 5 4 2 6" xfId="24565" xr:uid="{00000000-0005-0000-0000-00008A3D0000}"/>
    <cellStyle name="20% - Accent5 5 4 3" xfId="2560" xr:uid="{00000000-0005-0000-0000-00008B3D0000}"/>
    <cellStyle name="20% - Accent5 5 4 3 2" xfId="5579" xr:uid="{00000000-0005-0000-0000-00008C3D0000}"/>
    <cellStyle name="20% - Accent5 5 4 3 2 2" xfId="11229" xr:uid="{00000000-0005-0000-0000-00008D3D0000}"/>
    <cellStyle name="20% - Accent5 5 4 3 2 2 2" xfId="22530" xr:uid="{00000000-0005-0000-0000-00008E3D0000}"/>
    <cellStyle name="20% - Accent5 5 4 3 2 2 2 2" xfId="45132" xr:uid="{00000000-0005-0000-0000-00008F3D0000}"/>
    <cellStyle name="20% - Accent5 5 4 3 2 2 3" xfId="33831" xr:uid="{00000000-0005-0000-0000-0000903D0000}"/>
    <cellStyle name="20% - Accent5 5 4 3 2 3" xfId="16880" xr:uid="{00000000-0005-0000-0000-0000913D0000}"/>
    <cellStyle name="20% - Accent5 5 4 3 2 3 2" xfId="39482" xr:uid="{00000000-0005-0000-0000-0000923D0000}"/>
    <cellStyle name="20% - Accent5 5 4 3 2 4" xfId="28181" xr:uid="{00000000-0005-0000-0000-0000933D0000}"/>
    <cellStyle name="20% - Accent5 5 4 3 3" xfId="8396" xr:uid="{00000000-0005-0000-0000-0000943D0000}"/>
    <cellStyle name="20% - Accent5 5 4 3 3 2" xfId="19697" xr:uid="{00000000-0005-0000-0000-0000953D0000}"/>
    <cellStyle name="20% - Accent5 5 4 3 3 2 2" xfId="42299" xr:uid="{00000000-0005-0000-0000-0000963D0000}"/>
    <cellStyle name="20% - Accent5 5 4 3 3 3" xfId="30998" xr:uid="{00000000-0005-0000-0000-0000973D0000}"/>
    <cellStyle name="20% - Accent5 5 4 3 4" xfId="14047" xr:uid="{00000000-0005-0000-0000-0000983D0000}"/>
    <cellStyle name="20% - Accent5 5 4 3 4 2" xfId="36649" xr:uid="{00000000-0005-0000-0000-0000993D0000}"/>
    <cellStyle name="20% - Accent5 5 4 3 5" xfId="25348" xr:uid="{00000000-0005-0000-0000-00009A3D0000}"/>
    <cellStyle name="20% - Accent5 5 4 4" xfId="4345" xr:uid="{00000000-0005-0000-0000-00009B3D0000}"/>
    <cellStyle name="20% - Accent5 5 4 4 2" xfId="9995" xr:uid="{00000000-0005-0000-0000-00009C3D0000}"/>
    <cellStyle name="20% - Accent5 5 4 4 2 2" xfId="21296" xr:uid="{00000000-0005-0000-0000-00009D3D0000}"/>
    <cellStyle name="20% - Accent5 5 4 4 2 2 2" xfId="43898" xr:uid="{00000000-0005-0000-0000-00009E3D0000}"/>
    <cellStyle name="20% - Accent5 5 4 4 2 3" xfId="32597" xr:uid="{00000000-0005-0000-0000-00009F3D0000}"/>
    <cellStyle name="20% - Accent5 5 4 4 3" xfId="15646" xr:uid="{00000000-0005-0000-0000-0000A03D0000}"/>
    <cellStyle name="20% - Accent5 5 4 4 3 2" xfId="38248" xr:uid="{00000000-0005-0000-0000-0000A13D0000}"/>
    <cellStyle name="20% - Accent5 5 4 4 4" xfId="26947" xr:uid="{00000000-0005-0000-0000-0000A23D0000}"/>
    <cellStyle name="20% - Accent5 5 4 5" xfId="7142" xr:uid="{00000000-0005-0000-0000-0000A33D0000}"/>
    <cellStyle name="20% - Accent5 5 4 5 2" xfId="18443" xr:uid="{00000000-0005-0000-0000-0000A43D0000}"/>
    <cellStyle name="20% - Accent5 5 4 5 2 2" xfId="41045" xr:uid="{00000000-0005-0000-0000-0000A53D0000}"/>
    <cellStyle name="20% - Accent5 5 4 5 3" xfId="29744" xr:uid="{00000000-0005-0000-0000-0000A63D0000}"/>
    <cellStyle name="20% - Accent5 5 4 6" xfId="12793" xr:uid="{00000000-0005-0000-0000-0000A73D0000}"/>
    <cellStyle name="20% - Accent5 5 4 6 2" xfId="35395" xr:uid="{00000000-0005-0000-0000-0000A83D0000}"/>
    <cellStyle name="20% - Accent5 5 4 7" xfId="24094" xr:uid="{00000000-0005-0000-0000-0000A93D0000}"/>
    <cellStyle name="20% - Accent5 5 5" xfId="843" xr:uid="{00000000-0005-0000-0000-0000AA3D0000}"/>
    <cellStyle name="20% - Accent5 5 5 2" xfId="2924" xr:uid="{00000000-0005-0000-0000-0000AB3D0000}"/>
    <cellStyle name="20% - Accent5 5 5 2 2" xfId="5896" xr:uid="{00000000-0005-0000-0000-0000AC3D0000}"/>
    <cellStyle name="20% - Accent5 5 5 2 2 2" xfId="11546" xr:uid="{00000000-0005-0000-0000-0000AD3D0000}"/>
    <cellStyle name="20% - Accent5 5 5 2 2 2 2" xfId="22847" xr:uid="{00000000-0005-0000-0000-0000AE3D0000}"/>
    <cellStyle name="20% - Accent5 5 5 2 2 2 2 2" xfId="45449" xr:uid="{00000000-0005-0000-0000-0000AF3D0000}"/>
    <cellStyle name="20% - Accent5 5 5 2 2 2 3" xfId="34148" xr:uid="{00000000-0005-0000-0000-0000B03D0000}"/>
    <cellStyle name="20% - Accent5 5 5 2 2 3" xfId="17197" xr:uid="{00000000-0005-0000-0000-0000B13D0000}"/>
    <cellStyle name="20% - Accent5 5 5 2 2 3 2" xfId="39799" xr:uid="{00000000-0005-0000-0000-0000B23D0000}"/>
    <cellStyle name="20% - Accent5 5 5 2 2 4" xfId="28498" xr:uid="{00000000-0005-0000-0000-0000B33D0000}"/>
    <cellStyle name="20% - Accent5 5 5 2 3" xfId="8714" xr:uid="{00000000-0005-0000-0000-0000B43D0000}"/>
    <cellStyle name="20% - Accent5 5 5 2 3 2" xfId="20015" xr:uid="{00000000-0005-0000-0000-0000B53D0000}"/>
    <cellStyle name="20% - Accent5 5 5 2 3 2 2" xfId="42617" xr:uid="{00000000-0005-0000-0000-0000B63D0000}"/>
    <cellStyle name="20% - Accent5 5 5 2 3 3" xfId="31316" xr:uid="{00000000-0005-0000-0000-0000B73D0000}"/>
    <cellStyle name="20% - Accent5 5 5 2 4" xfId="14365" xr:uid="{00000000-0005-0000-0000-0000B83D0000}"/>
    <cellStyle name="20% - Accent5 5 5 2 4 2" xfId="36967" xr:uid="{00000000-0005-0000-0000-0000B93D0000}"/>
    <cellStyle name="20% - Accent5 5 5 2 5" xfId="25666" xr:uid="{00000000-0005-0000-0000-0000BA3D0000}"/>
    <cellStyle name="20% - Accent5 5 5 3" xfId="4662" xr:uid="{00000000-0005-0000-0000-0000BB3D0000}"/>
    <cellStyle name="20% - Accent5 5 5 3 2" xfId="10312" xr:uid="{00000000-0005-0000-0000-0000BC3D0000}"/>
    <cellStyle name="20% - Accent5 5 5 3 2 2" xfId="21613" xr:uid="{00000000-0005-0000-0000-0000BD3D0000}"/>
    <cellStyle name="20% - Accent5 5 5 3 2 2 2" xfId="44215" xr:uid="{00000000-0005-0000-0000-0000BE3D0000}"/>
    <cellStyle name="20% - Accent5 5 5 3 2 3" xfId="32914" xr:uid="{00000000-0005-0000-0000-0000BF3D0000}"/>
    <cellStyle name="20% - Accent5 5 5 3 3" xfId="15963" xr:uid="{00000000-0005-0000-0000-0000C03D0000}"/>
    <cellStyle name="20% - Accent5 5 5 3 3 2" xfId="38565" xr:uid="{00000000-0005-0000-0000-0000C13D0000}"/>
    <cellStyle name="20% - Accent5 5 5 3 4" xfId="27264" xr:uid="{00000000-0005-0000-0000-0000C23D0000}"/>
    <cellStyle name="20% - Accent5 5 5 4" xfId="6848" xr:uid="{00000000-0005-0000-0000-0000C33D0000}"/>
    <cellStyle name="20% - Accent5 5 5 4 2" xfId="18149" xr:uid="{00000000-0005-0000-0000-0000C43D0000}"/>
    <cellStyle name="20% - Accent5 5 5 4 2 2" xfId="40751" xr:uid="{00000000-0005-0000-0000-0000C53D0000}"/>
    <cellStyle name="20% - Accent5 5 5 4 3" xfId="29450" xr:uid="{00000000-0005-0000-0000-0000C63D0000}"/>
    <cellStyle name="20% - Accent5 5 5 5" xfId="12499" xr:uid="{00000000-0005-0000-0000-0000C73D0000}"/>
    <cellStyle name="20% - Accent5 5 5 5 2" xfId="35101" xr:uid="{00000000-0005-0000-0000-0000C83D0000}"/>
    <cellStyle name="20% - Accent5 5 5 6" xfId="23800" xr:uid="{00000000-0005-0000-0000-0000C93D0000}"/>
    <cellStyle name="20% - Accent5 5 6" xfId="1750" xr:uid="{00000000-0005-0000-0000-0000CA3D0000}"/>
    <cellStyle name="20% - Accent5 5 6 2" xfId="3672" xr:uid="{00000000-0005-0000-0000-0000CB3D0000}"/>
    <cellStyle name="20% - Accent5 5 6 2 2" xfId="9383" xr:uid="{00000000-0005-0000-0000-0000CC3D0000}"/>
    <cellStyle name="20% - Accent5 5 6 2 2 2" xfId="20684" xr:uid="{00000000-0005-0000-0000-0000CD3D0000}"/>
    <cellStyle name="20% - Accent5 5 6 2 2 2 2" xfId="43286" xr:uid="{00000000-0005-0000-0000-0000CE3D0000}"/>
    <cellStyle name="20% - Accent5 5 6 2 2 3" xfId="31985" xr:uid="{00000000-0005-0000-0000-0000CF3D0000}"/>
    <cellStyle name="20% - Accent5 5 6 2 3" xfId="15034" xr:uid="{00000000-0005-0000-0000-0000D03D0000}"/>
    <cellStyle name="20% - Accent5 5 6 2 3 2" xfId="37636" xr:uid="{00000000-0005-0000-0000-0000D13D0000}"/>
    <cellStyle name="20% - Accent5 5 6 2 4" xfId="26335" xr:uid="{00000000-0005-0000-0000-0000D23D0000}"/>
    <cellStyle name="20% - Accent5 5 6 3" xfId="5272" xr:uid="{00000000-0005-0000-0000-0000D33D0000}"/>
    <cellStyle name="20% - Accent5 5 6 3 2" xfId="10922" xr:uid="{00000000-0005-0000-0000-0000D43D0000}"/>
    <cellStyle name="20% - Accent5 5 6 3 2 2" xfId="22223" xr:uid="{00000000-0005-0000-0000-0000D53D0000}"/>
    <cellStyle name="20% - Accent5 5 6 3 2 2 2" xfId="44825" xr:uid="{00000000-0005-0000-0000-0000D63D0000}"/>
    <cellStyle name="20% - Accent5 5 6 3 2 3" xfId="33524" xr:uid="{00000000-0005-0000-0000-0000D73D0000}"/>
    <cellStyle name="20% - Accent5 5 6 3 3" xfId="16573" xr:uid="{00000000-0005-0000-0000-0000D83D0000}"/>
    <cellStyle name="20% - Accent5 5 6 3 3 2" xfId="39175" xr:uid="{00000000-0005-0000-0000-0000D93D0000}"/>
    <cellStyle name="20% - Accent5 5 6 3 4" xfId="27874" xr:uid="{00000000-0005-0000-0000-0000DA3D0000}"/>
    <cellStyle name="20% - Accent5 5 6 4" xfId="7606" xr:uid="{00000000-0005-0000-0000-0000DB3D0000}"/>
    <cellStyle name="20% - Accent5 5 6 4 2" xfId="18907" xr:uid="{00000000-0005-0000-0000-0000DC3D0000}"/>
    <cellStyle name="20% - Accent5 5 6 4 2 2" xfId="41509" xr:uid="{00000000-0005-0000-0000-0000DD3D0000}"/>
    <cellStyle name="20% - Accent5 5 6 4 3" xfId="30208" xr:uid="{00000000-0005-0000-0000-0000DE3D0000}"/>
    <cellStyle name="20% - Accent5 5 6 5" xfId="13257" xr:uid="{00000000-0005-0000-0000-0000DF3D0000}"/>
    <cellStyle name="20% - Accent5 5 6 5 2" xfId="35859" xr:uid="{00000000-0005-0000-0000-0000E03D0000}"/>
    <cellStyle name="20% - Accent5 5 6 6" xfId="24558" xr:uid="{00000000-0005-0000-0000-0000E13D0000}"/>
    <cellStyle name="20% - Accent5 5 7" xfId="2245" xr:uid="{00000000-0005-0000-0000-0000E23D0000}"/>
    <cellStyle name="20% - Accent5 5 7 2" xfId="8086" xr:uid="{00000000-0005-0000-0000-0000E33D0000}"/>
    <cellStyle name="20% - Accent5 5 7 2 2" xfId="19387" xr:uid="{00000000-0005-0000-0000-0000E43D0000}"/>
    <cellStyle name="20% - Accent5 5 7 2 2 2" xfId="41989" xr:uid="{00000000-0005-0000-0000-0000E53D0000}"/>
    <cellStyle name="20% - Accent5 5 7 2 3" xfId="30688" xr:uid="{00000000-0005-0000-0000-0000E63D0000}"/>
    <cellStyle name="20% - Accent5 5 7 3" xfId="13737" xr:uid="{00000000-0005-0000-0000-0000E73D0000}"/>
    <cellStyle name="20% - Accent5 5 7 3 2" xfId="36339" xr:uid="{00000000-0005-0000-0000-0000E83D0000}"/>
    <cellStyle name="20% - Accent5 5 7 4" xfId="25038" xr:uid="{00000000-0005-0000-0000-0000E93D0000}"/>
    <cellStyle name="20% - Accent5 5 8" xfId="4038" xr:uid="{00000000-0005-0000-0000-0000EA3D0000}"/>
    <cellStyle name="20% - Accent5 5 8 2" xfId="9688" xr:uid="{00000000-0005-0000-0000-0000EB3D0000}"/>
    <cellStyle name="20% - Accent5 5 8 2 2" xfId="20989" xr:uid="{00000000-0005-0000-0000-0000EC3D0000}"/>
    <cellStyle name="20% - Accent5 5 8 2 2 2" xfId="43591" xr:uid="{00000000-0005-0000-0000-0000ED3D0000}"/>
    <cellStyle name="20% - Accent5 5 8 2 3" xfId="32290" xr:uid="{00000000-0005-0000-0000-0000EE3D0000}"/>
    <cellStyle name="20% - Accent5 5 8 3" xfId="15339" xr:uid="{00000000-0005-0000-0000-0000EF3D0000}"/>
    <cellStyle name="20% - Accent5 5 8 3 2" xfId="37941" xr:uid="{00000000-0005-0000-0000-0000F03D0000}"/>
    <cellStyle name="20% - Accent5 5 8 4" xfId="26640" xr:uid="{00000000-0005-0000-0000-0000F13D0000}"/>
    <cellStyle name="20% - Accent5 5 9" xfId="6489" xr:uid="{00000000-0005-0000-0000-0000F23D0000}"/>
    <cellStyle name="20% - Accent5 5 9 2" xfId="17790" xr:uid="{00000000-0005-0000-0000-0000F33D0000}"/>
    <cellStyle name="20% - Accent5 5 9 2 2" xfId="40392" xr:uid="{00000000-0005-0000-0000-0000F43D0000}"/>
    <cellStyle name="20% - Accent5 5 9 3" xfId="29091" xr:uid="{00000000-0005-0000-0000-0000F53D0000}"/>
    <cellStyle name="20% - Accent5 6" xfId="292" xr:uid="{00000000-0005-0000-0000-0000F63D0000}"/>
    <cellStyle name="20% - Accent5 7" xfId="399" xr:uid="{00000000-0005-0000-0000-0000F73D0000}"/>
    <cellStyle name="20% - Accent5 7 10" xfId="23494" xr:uid="{00000000-0005-0000-0000-0000F83D0000}"/>
    <cellStyle name="20% - Accent5 7 2" xfId="644" xr:uid="{00000000-0005-0000-0000-0000F93D0000}"/>
    <cellStyle name="20% - Accent5 7 2 2" xfId="1354" xr:uid="{00000000-0005-0000-0000-0000FA3D0000}"/>
    <cellStyle name="20% - Accent5 7 2 2 2" xfId="1760" xr:uid="{00000000-0005-0000-0000-0000FB3D0000}"/>
    <cellStyle name="20% - Accent5 7 2 2 2 2" xfId="3423" xr:uid="{00000000-0005-0000-0000-0000FC3D0000}"/>
    <cellStyle name="20% - Accent5 7 2 2 2 2 2" xfId="6395" xr:uid="{00000000-0005-0000-0000-0000FD3D0000}"/>
    <cellStyle name="20% - Accent5 7 2 2 2 2 2 2" xfId="12045" xr:uid="{00000000-0005-0000-0000-0000FE3D0000}"/>
    <cellStyle name="20% - Accent5 7 2 2 2 2 2 2 2" xfId="23346" xr:uid="{00000000-0005-0000-0000-0000FF3D0000}"/>
    <cellStyle name="20% - Accent5 7 2 2 2 2 2 2 2 2" xfId="45948" xr:uid="{00000000-0005-0000-0000-0000003E0000}"/>
    <cellStyle name="20% - Accent5 7 2 2 2 2 2 2 3" xfId="34647" xr:uid="{00000000-0005-0000-0000-0000013E0000}"/>
    <cellStyle name="20% - Accent5 7 2 2 2 2 2 3" xfId="17696" xr:uid="{00000000-0005-0000-0000-0000023E0000}"/>
    <cellStyle name="20% - Accent5 7 2 2 2 2 2 3 2" xfId="40298" xr:uid="{00000000-0005-0000-0000-0000033E0000}"/>
    <cellStyle name="20% - Accent5 7 2 2 2 2 2 4" xfId="28997" xr:uid="{00000000-0005-0000-0000-0000043E0000}"/>
    <cellStyle name="20% - Accent5 7 2 2 2 2 3" xfId="9213" xr:uid="{00000000-0005-0000-0000-0000053E0000}"/>
    <cellStyle name="20% - Accent5 7 2 2 2 2 3 2" xfId="20514" xr:uid="{00000000-0005-0000-0000-0000063E0000}"/>
    <cellStyle name="20% - Accent5 7 2 2 2 2 3 2 2" xfId="43116" xr:uid="{00000000-0005-0000-0000-0000073E0000}"/>
    <cellStyle name="20% - Accent5 7 2 2 2 2 3 3" xfId="31815" xr:uid="{00000000-0005-0000-0000-0000083E0000}"/>
    <cellStyle name="20% - Accent5 7 2 2 2 2 4" xfId="14864" xr:uid="{00000000-0005-0000-0000-0000093E0000}"/>
    <cellStyle name="20% - Accent5 7 2 2 2 2 4 2" xfId="37466" xr:uid="{00000000-0005-0000-0000-00000A3E0000}"/>
    <cellStyle name="20% - Accent5 7 2 2 2 2 5" xfId="26165" xr:uid="{00000000-0005-0000-0000-00000B3E0000}"/>
    <cellStyle name="20% - Accent5 7 2 2 2 3" xfId="5161" xr:uid="{00000000-0005-0000-0000-00000C3E0000}"/>
    <cellStyle name="20% - Accent5 7 2 2 2 3 2" xfId="10811" xr:uid="{00000000-0005-0000-0000-00000D3E0000}"/>
    <cellStyle name="20% - Accent5 7 2 2 2 3 2 2" xfId="22112" xr:uid="{00000000-0005-0000-0000-00000E3E0000}"/>
    <cellStyle name="20% - Accent5 7 2 2 2 3 2 2 2" xfId="44714" xr:uid="{00000000-0005-0000-0000-00000F3E0000}"/>
    <cellStyle name="20% - Accent5 7 2 2 2 3 2 3" xfId="33413" xr:uid="{00000000-0005-0000-0000-0000103E0000}"/>
    <cellStyle name="20% - Accent5 7 2 2 2 3 3" xfId="16462" xr:uid="{00000000-0005-0000-0000-0000113E0000}"/>
    <cellStyle name="20% - Accent5 7 2 2 2 3 3 2" xfId="39064" xr:uid="{00000000-0005-0000-0000-0000123E0000}"/>
    <cellStyle name="20% - Accent5 7 2 2 2 3 4" xfId="27763" xr:uid="{00000000-0005-0000-0000-0000133E0000}"/>
    <cellStyle name="20% - Accent5 7 2 2 2 4" xfId="7616" xr:uid="{00000000-0005-0000-0000-0000143E0000}"/>
    <cellStyle name="20% - Accent5 7 2 2 2 4 2" xfId="18917" xr:uid="{00000000-0005-0000-0000-0000153E0000}"/>
    <cellStyle name="20% - Accent5 7 2 2 2 4 2 2" xfId="41519" xr:uid="{00000000-0005-0000-0000-0000163E0000}"/>
    <cellStyle name="20% - Accent5 7 2 2 2 4 3" xfId="30218" xr:uid="{00000000-0005-0000-0000-0000173E0000}"/>
    <cellStyle name="20% - Accent5 7 2 2 2 5" xfId="13267" xr:uid="{00000000-0005-0000-0000-0000183E0000}"/>
    <cellStyle name="20% - Accent5 7 2 2 2 5 2" xfId="35869" xr:uid="{00000000-0005-0000-0000-0000193E0000}"/>
    <cellStyle name="20% - Accent5 7 2 2 2 6" xfId="24568" xr:uid="{00000000-0005-0000-0000-00001A3E0000}"/>
    <cellStyle name="20% - Accent5 7 2 2 3" xfId="2752" xr:uid="{00000000-0005-0000-0000-00001B3E0000}"/>
    <cellStyle name="20% - Accent5 7 2 2 3 2" xfId="5771" xr:uid="{00000000-0005-0000-0000-00001C3E0000}"/>
    <cellStyle name="20% - Accent5 7 2 2 3 2 2" xfId="11421" xr:uid="{00000000-0005-0000-0000-00001D3E0000}"/>
    <cellStyle name="20% - Accent5 7 2 2 3 2 2 2" xfId="22722" xr:uid="{00000000-0005-0000-0000-00001E3E0000}"/>
    <cellStyle name="20% - Accent5 7 2 2 3 2 2 2 2" xfId="45324" xr:uid="{00000000-0005-0000-0000-00001F3E0000}"/>
    <cellStyle name="20% - Accent5 7 2 2 3 2 2 3" xfId="34023" xr:uid="{00000000-0005-0000-0000-0000203E0000}"/>
    <cellStyle name="20% - Accent5 7 2 2 3 2 3" xfId="17072" xr:uid="{00000000-0005-0000-0000-0000213E0000}"/>
    <cellStyle name="20% - Accent5 7 2 2 3 2 3 2" xfId="39674" xr:uid="{00000000-0005-0000-0000-0000223E0000}"/>
    <cellStyle name="20% - Accent5 7 2 2 3 2 4" xfId="28373" xr:uid="{00000000-0005-0000-0000-0000233E0000}"/>
    <cellStyle name="20% - Accent5 7 2 2 3 3" xfId="8588" xr:uid="{00000000-0005-0000-0000-0000243E0000}"/>
    <cellStyle name="20% - Accent5 7 2 2 3 3 2" xfId="19889" xr:uid="{00000000-0005-0000-0000-0000253E0000}"/>
    <cellStyle name="20% - Accent5 7 2 2 3 3 2 2" xfId="42491" xr:uid="{00000000-0005-0000-0000-0000263E0000}"/>
    <cellStyle name="20% - Accent5 7 2 2 3 3 3" xfId="31190" xr:uid="{00000000-0005-0000-0000-0000273E0000}"/>
    <cellStyle name="20% - Accent5 7 2 2 3 4" xfId="14239" xr:uid="{00000000-0005-0000-0000-0000283E0000}"/>
    <cellStyle name="20% - Accent5 7 2 2 3 4 2" xfId="36841" xr:uid="{00000000-0005-0000-0000-0000293E0000}"/>
    <cellStyle name="20% - Accent5 7 2 2 3 5" xfId="25540" xr:uid="{00000000-0005-0000-0000-00002A3E0000}"/>
    <cellStyle name="20% - Accent5 7 2 2 4" xfId="4537" xr:uid="{00000000-0005-0000-0000-00002B3E0000}"/>
    <cellStyle name="20% - Accent5 7 2 2 4 2" xfId="10187" xr:uid="{00000000-0005-0000-0000-00002C3E0000}"/>
    <cellStyle name="20% - Accent5 7 2 2 4 2 2" xfId="21488" xr:uid="{00000000-0005-0000-0000-00002D3E0000}"/>
    <cellStyle name="20% - Accent5 7 2 2 4 2 2 2" xfId="44090" xr:uid="{00000000-0005-0000-0000-00002E3E0000}"/>
    <cellStyle name="20% - Accent5 7 2 2 4 2 3" xfId="32789" xr:uid="{00000000-0005-0000-0000-00002F3E0000}"/>
    <cellStyle name="20% - Accent5 7 2 2 4 3" xfId="15838" xr:uid="{00000000-0005-0000-0000-0000303E0000}"/>
    <cellStyle name="20% - Accent5 7 2 2 4 3 2" xfId="38440" xr:uid="{00000000-0005-0000-0000-0000313E0000}"/>
    <cellStyle name="20% - Accent5 7 2 2 4 4" xfId="27139" xr:uid="{00000000-0005-0000-0000-0000323E0000}"/>
    <cellStyle name="20% - Accent5 7 2 2 5" xfId="7333" xr:uid="{00000000-0005-0000-0000-0000333E0000}"/>
    <cellStyle name="20% - Accent5 7 2 2 5 2" xfId="18634" xr:uid="{00000000-0005-0000-0000-0000343E0000}"/>
    <cellStyle name="20% - Accent5 7 2 2 5 2 2" xfId="41236" xr:uid="{00000000-0005-0000-0000-0000353E0000}"/>
    <cellStyle name="20% - Accent5 7 2 2 5 3" xfId="29935" xr:uid="{00000000-0005-0000-0000-0000363E0000}"/>
    <cellStyle name="20% - Accent5 7 2 2 6" xfId="12984" xr:uid="{00000000-0005-0000-0000-0000373E0000}"/>
    <cellStyle name="20% - Accent5 7 2 2 6 2" xfId="35586" xr:uid="{00000000-0005-0000-0000-0000383E0000}"/>
    <cellStyle name="20% - Accent5 7 2 2 7" xfId="24285" xr:uid="{00000000-0005-0000-0000-0000393E0000}"/>
    <cellStyle name="20% - Accent5 7 2 3" xfId="1052" xr:uid="{00000000-0005-0000-0000-00003A3E0000}"/>
    <cellStyle name="20% - Accent5 7 2 3 2" xfId="3115" xr:uid="{00000000-0005-0000-0000-00003B3E0000}"/>
    <cellStyle name="20% - Accent5 7 2 3 2 2" xfId="6087" xr:uid="{00000000-0005-0000-0000-00003C3E0000}"/>
    <cellStyle name="20% - Accent5 7 2 3 2 2 2" xfId="11737" xr:uid="{00000000-0005-0000-0000-00003D3E0000}"/>
    <cellStyle name="20% - Accent5 7 2 3 2 2 2 2" xfId="23038" xr:uid="{00000000-0005-0000-0000-00003E3E0000}"/>
    <cellStyle name="20% - Accent5 7 2 3 2 2 2 2 2" xfId="45640" xr:uid="{00000000-0005-0000-0000-00003F3E0000}"/>
    <cellStyle name="20% - Accent5 7 2 3 2 2 2 3" xfId="34339" xr:uid="{00000000-0005-0000-0000-0000403E0000}"/>
    <cellStyle name="20% - Accent5 7 2 3 2 2 3" xfId="17388" xr:uid="{00000000-0005-0000-0000-0000413E0000}"/>
    <cellStyle name="20% - Accent5 7 2 3 2 2 3 2" xfId="39990" xr:uid="{00000000-0005-0000-0000-0000423E0000}"/>
    <cellStyle name="20% - Accent5 7 2 3 2 2 4" xfId="28689" xr:uid="{00000000-0005-0000-0000-0000433E0000}"/>
    <cellStyle name="20% - Accent5 7 2 3 2 3" xfId="8905" xr:uid="{00000000-0005-0000-0000-0000443E0000}"/>
    <cellStyle name="20% - Accent5 7 2 3 2 3 2" xfId="20206" xr:uid="{00000000-0005-0000-0000-0000453E0000}"/>
    <cellStyle name="20% - Accent5 7 2 3 2 3 2 2" xfId="42808" xr:uid="{00000000-0005-0000-0000-0000463E0000}"/>
    <cellStyle name="20% - Accent5 7 2 3 2 3 3" xfId="31507" xr:uid="{00000000-0005-0000-0000-0000473E0000}"/>
    <cellStyle name="20% - Accent5 7 2 3 2 4" xfId="14556" xr:uid="{00000000-0005-0000-0000-0000483E0000}"/>
    <cellStyle name="20% - Accent5 7 2 3 2 4 2" xfId="37158" xr:uid="{00000000-0005-0000-0000-0000493E0000}"/>
    <cellStyle name="20% - Accent5 7 2 3 2 5" xfId="25857" xr:uid="{00000000-0005-0000-0000-00004A3E0000}"/>
    <cellStyle name="20% - Accent5 7 2 3 3" xfId="4853" xr:uid="{00000000-0005-0000-0000-00004B3E0000}"/>
    <cellStyle name="20% - Accent5 7 2 3 3 2" xfId="10503" xr:uid="{00000000-0005-0000-0000-00004C3E0000}"/>
    <cellStyle name="20% - Accent5 7 2 3 3 2 2" xfId="21804" xr:uid="{00000000-0005-0000-0000-00004D3E0000}"/>
    <cellStyle name="20% - Accent5 7 2 3 3 2 2 2" xfId="44406" xr:uid="{00000000-0005-0000-0000-00004E3E0000}"/>
    <cellStyle name="20% - Accent5 7 2 3 3 2 3" xfId="33105" xr:uid="{00000000-0005-0000-0000-00004F3E0000}"/>
    <cellStyle name="20% - Accent5 7 2 3 3 3" xfId="16154" xr:uid="{00000000-0005-0000-0000-0000503E0000}"/>
    <cellStyle name="20% - Accent5 7 2 3 3 3 2" xfId="38756" xr:uid="{00000000-0005-0000-0000-0000513E0000}"/>
    <cellStyle name="20% - Accent5 7 2 3 3 4" xfId="27455" xr:uid="{00000000-0005-0000-0000-0000523E0000}"/>
    <cellStyle name="20% - Accent5 7 2 3 4" xfId="7040" xr:uid="{00000000-0005-0000-0000-0000533E0000}"/>
    <cellStyle name="20% - Accent5 7 2 3 4 2" xfId="18341" xr:uid="{00000000-0005-0000-0000-0000543E0000}"/>
    <cellStyle name="20% - Accent5 7 2 3 4 2 2" xfId="40943" xr:uid="{00000000-0005-0000-0000-0000553E0000}"/>
    <cellStyle name="20% - Accent5 7 2 3 4 3" xfId="29642" xr:uid="{00000000-0005-0000-0000-0000563E0000}"/>
    <cellStyle name="20% - Accent5 7 2 3 5" xfId="12691" xr:uid="{00000000-0005-0000-0000-0000573E0000}"/>
    <cellStyle name="20% - Accent5 7 2 3 5 2" xfId="35293" xr:uid="{00000000-0005-0000-0000-0000583E0000}"/>
    <cellStyle name="20% - Accent5 7 2 3 6" xfId="23992" xr:uid="{00000000-0005-0000-0000-0000593E0000}"/>
    <cellStyle name="20% - Accent5 7 2 4" xfId="1759" xr:uid="{00000000-0005-0000-0000-00005A3E0000}"/>
    <cellStyle name="20% - Accent5 7 2 4 2" xfId="3677" xr:uid="{00000000-0005-0000-0000-00005B3E0000}"/>
    <cellStyle name="20% - Accent5 7 2 4 2 2" xfId="9388" xr:uid="{00000000-0005-0000-0000-00005C3E0000}"/>
    <cellStyle name="20% - Accent5 7 2 4 2 2 2" xfId="20689" xr:uid="{00000000-0005-0000-0000-00005D3E0000}"/>
    <cellStyle name="20% - Accent5 7 2 4 2 2 2 2" xfId="43291" xr:uid="{00000000-0005-0000-0000-00005E3E0000}"/>
    <cellStyle name="20% - Accent5 7 2 4 2 2 3" xfId="31990" xr:uid="{00000000-0005-0000-0000-00005F3E0000}"/>
    <cellStyle name="20% - Accent5 7 2 4 2 3" xfId="15039" xr:uid="{00000000-0005-0000-0000-0000603E0000}"/>
    <cellStyle name="20% - Accent5 7 2 4 2 3 2" xfId="37641" xr:uid="{00000000-0005-0000-0000-0000613E0000}"/>
    <cellStyle name="20% - Accent5 7 2 4 2 4" xfId="26340" xr:uid="{00000000-0005-0000-0000-0000623E0000}"/>
    <cellStyle name="20% - Accent5 7 2 4 3" xfId="5463" xr:uid="{00000000-0005-0000-0000-0000633E0000}"/>
    <cellStyle name="20% - Accent5 7 2 4 3 2" xfId="11113" xr:uid="{00000000-0005-0000-0000-0000643E0000}"/>
    <cellStyle name="20% - Accent5 7 2 4 3 2 2" xfId="22414" xr:uid="{00000000-0005-0000-0000-0000653E0000}"/>
    <cellStyle name="20% - Accent5 7 2 4 3 2 2 2" xfId="45016" xr:uid="{00000000-0005-0000-0000-0000663E0000}"/>
    <cellStyle name="20% - Accent5 7 2 4 3 2 3" xfId="33715" xr:uid="{00000000-0005-0000-0000-0000673E0000}"/>
    <cellStyle name="20% - Accent5 7 2 4 3 3" xfId="16764" xr:uid="{00000000-0005-0000-0000-0000683E0000}"/>
    <cellStyle name="20% - Accent5 7 2 4 3 3 2" xfId="39366" xr:uid="{00000000-0005-0000-0000-0000693E0000}"/>
    <cellStyle name="20% - Accent5 7 2 4 3 4" xfId="28065" xr:uid="{00000000-0005-0000-0000-00006A3E0000}"/>
    <cellStyle name="20% - Accent5 7 2 4 4" xfId="7615" xr:uid="{00000000-0005-0000-0000-00006B3E0000}"/>
    <cellStyle name="20% - Accent5 7 2 4 4 2" xfId="18916" xr:uid="{00000000-0005-0000-0000-00006C3E0000}"/>
    <cellStyle name="20% - Accent5 7 2 4 4 2 2" xfId="41518" xr:uid="{00000000-0005-0000-0000-00006D3E0000}"/>
    <cellStyle name="20% - Accent5 7 2 4 4 3" xfId="30217" xr:uid="{00000000-0005-0000-0000-00006E3E0000}"/>
    <cellStyle name="20% - Accent5 7 2 4 5" xfId="13266" xr:uid="{00000000-0005-0000-0000-00006F3E0000}"/>
    <cellStyle name="20% - Accent5 7 2 4 5 2" xfId="35868" xr:uid="{00000000-0005-0000-0000-0000703E0000}"/>
    <cellStyle name="20% - Accent5 7 2 4 6" xfId="24567" xr:uid="{00000000-0005-0000-0000-0000713E0000}"/>
    <cellStyle name="20% - Accent5 7 2 5" xfId="2444" xr:uid="{00000000-0005-0000-0000-0000723E0000}"/>
    <cellStyle name="20% - Accent5 7 2 5 2" xfId="8280" xr:uid="{00000000-0005-0000-0000-0000733E0000}"/>
    <cellStyle name="20% - Accent5 7 2 5 2 2" xfId="19581" xr:uid="{00000000-0005-0000-0000-0000743E0000}"/>
    <cellStyle name="20% - Accent5 7 2 5 2 2 2" xfId="42183" xr:uid="{00000000-0005-0000-0000-0000753E0000}"/>
    <cellStyle name="20% - Accent5 7 2 5 2 3" xfId="30882" xr:uid="{00000000-0005-0000-0000-0000763E0000}"/>
    <cellStyle name="20% - Accent5 7 2 5 3" xfId="13931" xr:uid="{00000000-0005-0000-0000-0000773E0000}"/>
    <cellStyle name="20% - Accent5 7 2 5 3 2" xfId="36533" xr:uid="{00000000-0005-0000-0000-0000783E0000}"/>
    <cellStyle name="20% - Accent5 7 2 5 4" xfId="25232" xr:uid="{00000000-0005-0000-0000-0000793E0000}"/>
    <cellStyle name="20% - Accent5 7 2 6" xfId="4229" xr:uid="{00000000-0005-0000-0000-00007A3E0000}"/>
    <cellStyle name="20% - Accent5 7 2 6 2" xfId="9879" xr:uid="{00000000-0005-0000-0000-00007B3E0000}"/>
    <cellStyle name="20% - Accent5 7 2 6 2 2" xfId="21180" xr:uid="{00000000-0005-0000-0000-00007C3E0000}"/>
    <cellStyle name="20% - Accent5 7 2 6 2 2 2" xfId="43782" xr:uid="{00000000-0005-0000-0000-00007D3E0000}"/>
    <cellStyle name="20% - Accent5 7 2 6 2 3" xfId="32481" xr:uid="{00000000-0005-0000-0000-00007E3E0000}"/>
    <cellStyle name="20% - Accent5 7 2 6 3" xfId="15530" xr:uid="{00000000-0005-0000-0000-00007F3E0000}"/>
    <cellStyle name="20% - Accent5 7 2 6 3 2" xfId="38132" xr:uid="{00000000-0005-0000-0000-0000803E0000}"/>
    <cellStyle name="20% - Accent5 7 2 6 4" xfId="26831" xr:uid="{00000000-0005-0000-0000-0000813E0000}"/>
    <cellStyle name="20% - Accent5 7 2 7" xfId="6709" xr:uid="{00000000-0005-0000-0000-0000823E0000}"/>
    <cellStyle name="20% - Accent5 7 2 7 2" xfId="18010" xr:uid="{00000000-0005-0000-0000-0000833E0000}"/>
    <cellStyle name="20% - Accent5 7 2 7 2 2" xfId="40612" xr:uid="{00000000-0005-0000-0000-0000843E0000}"/>
    <cellStyle name="20% - Accent5 7 2 7 3" xfId="29311" xr:uid="{00000000-0005-0000-0000-0000853E0000}"/>
    <cellStyle name="20% - Accent5 7 2 8" xfId="12360" xr:uid="{00000000-0005-0000-0000-0000863E0000}"/>
    <cellStyle name="20% - Accent5 7 2 8 2" xfId="34962" xr:uid="{00000000-0005-0000-0000-0000873E0000}"/>
    <cellStyle name="20% - Accent5 7 2 9" xfId="23661" xr:uid="{00000000-0005-0000-0000-0000883E0000}"/>
    <cellStyle name="20% - Accent5 7 3" xfId="1216" xr:uid="{00000000-0005-0000-0000-0000893E0000}"/>
    <cellStyle name="20% - Accent5 7 3 2" xfId="1761" xr:uid="{00000000-0005-0000-0000-00008A3E0000}"/>
    <cellStyle name="20% - Accent5 7 3 2 2" xfId="3284" xr:uid="{00000000-0005-0000-0000-00008B3E0000}"/>
    <cellStyle name="20% - Accent5 7 3 2 2 2" xfId="6256" xr:uid="{00000000-0005-0000-0000-00008C3E0000}"/>
    <cellStyle name="20% - Accent5 7 3 2 2 2 2" xfId="11906" xr:uid="{00000000-0005-0000-0000-00008D3E0000}"/>
    <cellStyle name="20% - Accent5 7 3 2 2 2 2 2" xfId="23207" xr:uid="{00000000-0005-0000-0000-00008E3E0000}"/>
    <cellStyle name="20% - Accent5 7 3 2 2 2 2 2 2" xfId="45809" xr:uid="{00000000-0005-0000-0000-00008F3E0000}"/>
    <cellStyle name="20% - Accent5 7 3 2 2 2 2 3" xfId="34508" xr:uid="{00000000-0005-0000-0000-0000903E0000}"/>
    <cellStyle name="20% - Accent5 7 3 2 2 2 3" xfId="17557" xr:uid="{00000000-0005-0000-0000-0000913E0000}"/>
    <cellStyle name="20% - Accent5 7 3 2 2 2 3 2" xfId="40159" xr:uid="{00000000-0005-0000-0000-0000923E0000}"/>
    <cellStyle name="20% - Accent5 7 3 2 2 2 4" xfId="28858" xr:uid="{00000000-0005-0000-0000-0000933E0000}"/>
    <cellStyle name="20% - Accent5 7 3 2 2 3" xfId="9074" xr:uid="{00000000-0005-0000-0000-0000943E0000}"/>
    <cellStyle name="20% - Accent5 7 3 2 2 3 2" xfId="20375" xr:uid="{00000000-0005-0000-0000-0000953E0000}"/>
    <cellStyle name="20% - Accent5 7 3 2 2 3 2 2" xfId="42977" xr:uid="{00000000-0005-0000-0000-0000963E0000}"/>
    <cellStyle name="20% - Accent5 7 3 2 2 3 3" xfId="31676" xr:uid="{00000000-0005-0000-0000-0000973E0000}"/>
    <cellStyle name="20% - Accent5 7 3 2 2 4" xfId="14725" xr:uid="{00000000-0005-0000-0000-0000983E0000}"/>
    <cellStyle name="20% - Accent5 7 3 2 2 4 2" xfId="37327" xr:uid="{00000000-0005-0000-0000-0000993E0000}"/>
    <cellStyle name="20% - Accent5 7 3 2 2 5" xfId="26026" xr:uid="{00000000-0005-0000-0000-00009A3E0000}"/>
    <cellStyle name="20% - Accent5 7 3 2 3" xfId="5022" xr:uid="{00000000-0005-0000-0000-00009B3E0000}"/>
    <cellStyle name="20% - Accent5 7 3 2 3 2" xfId="10672" xr:uid="{00000000-0005-0000-0000-00009C3E0000}"/>
    <cellStyle name="20% - Accent5 7 3 2 3 2 2" xfId="21973" xr:uid="{00000000-0005-0000-0000-00009D3E0000}"/>
    <cellStyle name="20% - Accent5 7 3 2 3 2 2 2" xfId="44575" xr:uid="{00000000-0005-0000-0000-00009E3E0000}"/>
    <cellStyle name="20% - Accent5 7 3 2 3 2 3" xfId="33274" xr:uid="{00000000-0005-0000-0000-00009F3E0000}"/>
    <cellStyle name="20% - Accent5 7 3 2 3 3" xfId="16323" xr:uid="{00000000-0005-0000-0000-0000A03E0000}"/>
    <cellStyle name="20% - Accent5 7 3 2 3 3 2" xfId="38925" xr:uid="{00000000-0005-0000-0000-0000A13E0000}"/>
    <cellStyle name="20% - Accent5 7 3 2 3 4" xfId="27624" xr:uid="{00000000-0005-0000-0000-0000A23E0000}"/>
    <cellStyle name="20% - Accent5 7 3 2 4" xfId="7617" xr:uid="{00000000-0005-0000-0000-0000A33E0000}"/>
    <cellStyle name="20% - Accent5 7 3 2 4 2" xfId="18918" xr:uid="{00000000-0005-0000-0000-0000A43E0000}"/>
    <cellStyle name="20% - Accent5 7 3 2 4 2 2" xfId="41520" xr:uid="{00000000-0005-0000-0000-0000A53E0000}"/>
    <cellStyle name="20% - Accent5 7 3 2 4 3" xfId="30219" xr:uid="{00000000-0005-0000-0000-0000A63E0000}"/>
    <cellStyle name="20% - Accent5 7 3 2 5" xfId="13268" xr:uid="{00000000-0005-0000-0000-0000A73E0000}"/>
    <cellStyle name="20% - Accent5 7 3 2 5 2" xfId="35870" xr:uid="{00000000-0005-0000-0000-0000A83E0000}"/>
    <cellStyle name="20% - Accent5 7 3 2 6" xfId="24569" xr:uid="{00000000-0005-0000-0000-0000A93E0000}"/>
    <cellStyle name="20% - Accent5 7 3 3" xfId="2613" xr:uid="{00000000-0005-0000-0000-0000AA3E0000}"/>
    <cellStyle name="20% - Accent5 7 3 3 2" xfId="5632" xr:uid="{00000000-0005-0000-0000-0000AB3E0000}"/>
    <cellStyle name="20% - Accent5 7 3 3 2 2" xfId="11282" xr:uid="{00000000-0005-0000-0000-0000AC3E0000}"/>
    <cellStyle name="20% - Accent5 7 3 3 2 2 2" xfId="22583" xr:uid="{00000000-0005-0000-0000-0000AD3E0000}"/>
    <cellStyle name="20% - Accent5 7 3 3 2 2 2 2" xfId="45185" xr:uid="{00000000-0005-0000-0000-0000AE3E0000}"/>
    <cellStyle name="20% - Accent5 7 3 3 2 2 3" xfId="33884" xr:uid="{00000000-0005-0000-0000-0000AF3E0000}"/>
    <cellStyle name="20% - Accent5 7 3 3 2 3" xfId="16933" xr:uid="{00000000-0005-0000-0000-0000B03E0000}"/>
    <cellStyle name="20% - Accent5 7 3 3 2 3 2" xfId="39535" xr:uid="{00000000-0005-0000-0000-0000B13E0000}"/>
    <cellStyle name="20% - Accent5 7 3 3 2 4" xfId="28234" xr:uid="{00000000-0005-0000-0000-0000B23E0000}"/>
    <cellStyle name="20% - Accent5 7 3 3 3" xfId="8449" xr:uid="{00000000-0005-0000-0000-0000B33E0000}"/>
    <cellStyle name="20% - Accent5 7 3 3 3 2" xfId="19750" xr:uid="{00000000-0005-0000-0000-0000B43E0000}"/>
    <cellStyle name="20% - Accent5 7 3 3 3 2 2" xfId="42352" xr:uid="{00000000-0005-0000-0000-0000B53E0000}"/>
    <cellStyle name="20% - Accent5 7 3 3 3 3" xfId="31051" xr:uid="{00000000-0005-0000-0000-0000B63E0000}"/>
    <cellStyle name="20% - Accent5 7 3 3 4" xfId="14100" xr:uid="{00000000-0005-0000-0000-0000B73E0000}"/>
    <cellStyle name="20% - Accent5 7 3 3 4 2" xfId="36702" xr:uid="{00000000-0005-0000-0000-0000B83E0000}"/>
    <cellStyle name="20% - Accent5 7 3 3 5" xfId="25401" xr:uid="{00000000-0005-0000-0000-0000B93E0000}"/>
    <cellStyle name="20% - Accent5 7 3 4" xfId="4398" xr:uid="{00000000-0005-0000-0000-0000BA3E0000}"/>
    <cellStyle name="20% - Accent5 7 3 4 2" xfId="10048" xr:uid="{00000000-0005-0000-0000-0000BB3E0000}"/>
    <cellStyle name="20% - Accent5 7 3 4 2 2" xfId="21349" xr:uid="{00000000-0005-0000-0000-0000BC3E0000}"/>
    <cellStyle name="20% - Accent5 7 3 4 2 2 2" xfId="43951" xr:uid="{00000000-0005-0000-0000-0000BD3E0000}"/>
    <cellStyle name="20% - Accent5 7 3 4 2 3" xfId="32650" xr:uid="{00000000-0005-0000-0000-0000BE3E0000}"/>
    <cellStyle name="20% - Accent5 7 3 4 3" xfId="15699" xr:uid="{00000000-0005-0000-0000-0000BF3E0000}"/>
    <cellStyle name="20% - Accent5 7 3 4 3 2" xfId="38301" xr:uid="{00000000-0005-0000-0000-0000C03E0000}"/>
    <cellStyle name="20% - Accent5 7 3 4 4" xfId="27000" xr:uid="{00000000-0005-0000-0000-0000C13E0000}"/>
    <cellStyle name="20% - Accent5 7 3 5" xfId="7195" xr:uid="{00000000-0005-0000-0000-0000C23E0000}"/>
    <cellStyle name="20% - Accent5 7 3 5 2" xfId="18496" xr:uid="{00000000-0005-0000-0000-0000C33E0000}"/>
    <cellStyle name="20% - Accent5 7 3 5 2 2" xfId="41098" xr:uid="{00000000-0005-0000-0000-0000C43E0000}"/>
    <cellStyle name="20% - Accent5 7 3 5 3" xfId="29797" xr:uid="{00000000-0005-0000-0000-0000C53E0000}"/>
    <cellStyle name="20% - Accent5 7 3 6" xfId="12846" xr:uid="{00000000-0005-0000-0000-0000C63E0000}"/>
    <cellStyle name="20% - Accent5 7 3 6 2" xfId="35448" xr:uid="{00000000-0005-0000-0000-0000C73E0000}"/>
    <cellStyle name="20% - Accent5 7 3 7" xfId="24147" xr:uid="{00000000-0005-0000-0000-0000C83E0000}"/>
    <cellStyle name="20% - Accent5 7 4" xfId="907" xr:uid="{00000000-0005-0000-0000-0000C93E0000}"/>
    <cellStyle name="20% - Accent5 7 4 2" xfId="2977" xr:uid="{00000000-0005-0000-0000-0000CA3E0000}"/>
    <cellStyle name="20% - Accent5 7 4 2 2" xfId="5949" xr:uid="{00000000-0005-0000-0000-0000CB3E0000}"/>
    <cellStyle name="20% - Accent5 7 4 2 2 2" xfId="11599" xr:uid="{00000000-0005-0000-0000-0000CC3E0000}"/>
    <cellStyle name="20% - Accent5 7 4 2 2 2 2" xfId="22900" xr:uid="{00000000-0005-0000-0000-0000CD3E0000}"/>
    <cellStyle name="20% - Accent5 7 4 2 2 2 2 2" xfId="45502" xr:uid="{00000000-0005-0000-0000-0000CE3E0000}"/>
    <cellStyle name="20% - Accent5 7 4 2 2 2 3" xfId="34201" xr:uid="{00000000-0005-0000-0000-0000CF3E0000}"/>
    <cellStyle name="20% - Accent5 7 4 2 2 3" xfId="17250" xr:uid="{00000000-0005-0000-0000-0000D03E0000}"/>
    <cellStyle name="20% - Accent5 7 4 2 2 3 2" xfId="39852" xr:uid="{00000000-0005-0000-0000-0000D13E0000}"/>
    <cellStyle name="20% - Accent5 7 4 2 2 4" xfId="28551" xr:uid="{00000000-0005-0000-0000-0000D23E0000}"/>
    <cellStyle name="20% - Accent5 7 4 2 3" xfId="8767" xr:uid="{00000000-0005-0000-0000-0000D33E0000}"/>
    <cellStyle name="20% - Accent5 7 4 2 3 2" xfId="20068" xr:uid="{00000000-0005-0000-0000-0000D43E0000}"/>
    <cellStyle name="20% - Accent5 7 4 2 3 2 2" xfId="42670" xr:uid="{00000000-0005-0000-0000-0000D53E0000}"/>
    <cellStyle name="20% - Accent5 7 4 2 3 3" xfId="31369" xr:uid="{00000000-0005-0000-0000-0000D63E0000}"/>
    <cellStyle name="20% - Accent5 7 4 2 4" xfId="14418" xr:uid="{00000000-0005-0000-0000-0000D73E0000}"/>
    <cellStyle name="20% - Accent5 7 4 2 4 2" xfId="37020" xr:uid="{00000000-0005-0000-0000-0000D83E0000}"/>
    <cellStyle name="20% - Accent5 7 4 2 5" xfId="25719" xr:uid="{00000000-0005-0000-0000-0000D93E0000}"/>
    <cellStyle name="20% - Accent5 7 4 3" xfId="4715" xr:uid="{00000000-0005-0000-0000-0000DA3E0000}"/>
    <cellStyle name="20% - Accent5 7 4 3 2" xfId="10365" xr:uid="{00000000-0005-0000-0000-0000DB3E0000}"/>
    <cellStyle name="20% - Accent5 7 4 3 2 2" xfId="21666" xr:uid="{00000000-0005-0000-0000-0000DC3E0000}"/>
    <cellStyle name="20% - Accent5 7 4 3 2 2 2" xfId="44268" xr:uid="{00000000-0005-0000-0000-0000DD3E0000}"/>
    <cellStyle name="20% - Accent5 7 4 3 2 3" xfId="32967" xr:uid="{00000000-0005-0000-0000-0000DE3E0000}"/>
    <cellStyle name="20% - Accent5 7 4 3 3" xfId="16016" xr:uid="{00000000-0005-0000-0000-0000DF3E0000}"/>
    <cellStyle name="20% - Accent5 7 4 3 3 2" xfId="38618" xr:uid="{00000000-0005-0000-0000-0000E03E0000}"/>
    <cellStyle name="20% - Accent5 7 4 3 4" xfId="27317" xr:uid="{00000000-0005-0000-0000-0000E13E0000}"/>
    <cellStyle name="20% - Accent5 7 4 4" xfId="6902" xr:uid="{00000000-0005-0000-0000-0000E23E0000}"/>
    <cellStyle name="20% - Accent5 7 4 4 2" xfId="18203" xr:uid="{00000000-0005-0000-0000-0000E33E0000}"/>
    <cellStyle name="20% - Accent5 7 4 4 2 2" xfId="40805" xr:uid="{00000000-0005-0000-0000-0000E43E0000}"/>
    <cellStyle name="20% - Accent5 7 4 4 3" xfId="29504" xr:uid="{00000000-0005-0000-0000-0000E53E0000}"/>
    <cellStyle name="20% - Accent5 7 4 5" xfId="12553" xr:uid="{00000000-0005-0000-0000-0000E63E0000}"/>
    <cellStyle name="20% - Accent5 7 4 5 2" xfId="35155" xr:uid="{00000000-0005-0000-0000-0000E73E0000}"/>
    <cellStyle name="20% - Accent5 7 4 6" xfId="23854" xr:uid="{00000000-0005-0000-0000-0000E83E0000}"/>
    <cellStyle name="20% - Accent5 7 5" xfId="1758" xr:uid="{00000000-0005-0000-0000-0000E93E0000}"/>
    <cellStyle name="20% - Accent5 7 5 2" xfId="3676" xr:uid="{00000000-0005-0000-0000-0000EA3E0000}"/>
    <cellStyle name="20% - Accent5 7 5 2 2" xfId="9387" xr:uid="{00000000-0005-0000-0000-0000EB3E0000}"/>
    <cellStyle name="20% - Accent5 7 5 2 2 2" xfId="20688" xr:uid="{00000000-0005-0000-0000-0000EC3E0000}"/>
    <cellStyle name="20% - Accent5 7 5 2 2 2 2" xfId="43290" xr:uid="{00000000-0005-0000-0000-0000ED3E0000}"/>
    <cellStyle name="20% - Accent5 7 5 2 2 3" xfId="31989" xr:uid="{00000000-0005-0000-0000-0000EE3E0000}"/>
    <cellStyle name="20% - Accent5 7 5 2 3" xfId="15038" xr:uid="{00000000-0005-0000-0000-0000EF3E0000}"/>
    <cellStyle name="20% - Accent5 7 5 2 3 2" xfId="37640" xr:uid="{00000000-0005-0000-0000-0000F03E0000}"/>
    <cellStyle name="20% - Accent5 7 5 2 4" xfId="26339" xr:uid="{00000000-0005-0000-0000-0000F13E0000}"/>
    <cellStyle name="20% - Accent5 7 5 3" xfId="5325" xr:uid="{00000000-0005-0000-0000-0000F23E0000}"/>
    <cellStyle name="20% - Accent5 7 5 3 2" xfId="10975" xr:uid="{00000000-0005-0000-0000-0000F33E0000}"/>
    <cellStyle name="20% - Accent5 7 5 3 2 2" xfId="22276" xr:uid="{00000000-0005-0000-0000-0000F43E0000}"/>
    <cellStyle name="20% - Accent5 7 5 3 2 2 2" xfId="44878" xr:uid="{00000000-0005-0000-0000-0000F53E0000}"/>
    <cellStyle name="20% - Accent5 7 5 3 2 3" xfId="33577" xr:uid="{00000000-0005-0000-0000-0000F63E0000}"/>
    <cellStyle name="20% - Accent5 7 5 3 3" xfId="16626" xr:uid="{00000000-0005-0000-0000-0000F73E0000}"/>
    <cellStyle name="20% - Accent5 7 5 3 3 2" xfId="39228" xr:uid="{00000000-0005-0000-0000-0000F83E0000}"/>
    <cellStyle name="20% - Accent5 7 5 3 4" xfId="27927" xr:uid="{00000000-0005-0000-0000-0000F93E0000}"/>
    <cellStyle name="20% - Accent5 7 5 4" xfId="7614" xr:uid="{00000000-0005-0000-0000-0000FA3E0000}"/>
    <cellStyle name="20% - Accent5 7 5 4 2" xfId="18915" xr:uid="{00000000-0005-0000-0000-0000FB3E0000}"/>
    <cellStyle name="20% - Accent5 7 5 4 2 2" xfId="41517" xr:uid="{00000000-0005-0000-0000-0000FC3E0000}"/>
    <cellStyle name="20% - Accent5 7 5 4 3" xfId="30216" xr:uid="{00000000-0005-0000-0000-0000FD3E0000}"/>
    <cellStyle name="20% - Accent5 7 5 5" xfId="13265" xr:uid="{00000000-0005-0000-0000-0000FE3E0000}"/>
    <cellStyle name="20% - Accent5 7 5 5 2" xfId="35867" xr:uid="{00000000-0005-0000-0000-0000FF3E0000}"/>
    <cellStyle name="20% - Accent5 7 5 6" xfId="24566" xr:uid="{00000000-0005-0000-0000-0000003F0000}"/>
    <cellStyle name="20% - Accent5 7 6" xfId="2304" xr:uid="{00000000-0005-0000-0000-0000013F0000}"/>
    <cellStyle name="20% - Accent5 7 6 2" xfId="8140" xr:uid="{00000000-0005-0000-0000-0000023F0000}"/>
    <cellStyle name="20% - Accent5 7 6 2 2" xfId="19441" xr:uid="{00000000-0005-0000-0000-0000033F0000}"/>
    <cellStyle name="20% - Accent5 7 6 2 2 2" xfId="42043" xr:uid="{00000000-0005-0000-0000-0000043F0000}"/>
    <cellStyle name="20% - Accent5 7 6 2 3" xfId="30742" xr:uid="{00000000-0005-0000-0000-0000053F0000}"/>
    <cellStyle name="20% - Accent5 7 6 3" xfId="13791" xr:uid="{00000000-0005-0000-0000-0000063F0000}"/>
    <cellStyle name="20% - Accent5 7 6 3 2" xfId="36393" xr:uid="{00000000-0005-0000-0000-0000073F0000}"/>
    <cellStyle name="20% - Accent5 7 6 4" xfId="25092" xr:uid="{00000000-0005-0000-0000-0000083F0000}"/>
    <cellStyle name="20% - Accent5 7 7" xfId="4091" xr:uid="{00000000-0005-0000-0000-0000093F0000}"/>
    <cellStyle name="20% - Accent5 7 7 2" xfId="9741" xr:uid="{00000000-0005-0000-0000-00000A3F0000}"/>
    <cellStyle name="20% - Accent5 7 7 2 2" xfId="21042" xr:uid="{00000000-0005-0000-0000-00000B3F0000}"/>
    <cellStyle name="20% - Accent5 7 7 2 2 2" xfId="43644" xr:uid="{00000000-0005-0000-0000-00000C3F0000}"/>
    <cellStyle name="20% - Accent5 7 7 2 3" xfId="32343" xr:uid="{00000000-0005-0000-0000-00000D3F0000}"/>
    <cellStyle name="20% - Accent5 7 7 3" xfId="15392" xr:uid="{00000000-0005-0000-0000-00000E3F0000}"/>
    <cellStyle name="20% - Accent5 7 7 3 2" xfId="37994" xr:uid="{00000000-0005-0000-0000-00000F3F0000}"/>
    <cellStyle name="20% - Accent5 7 7 4" xfId="26693" xr:uid="{00000000-0005-0000-0000-0000103F0000}"/>
    <cellStyle name="20% - Accent5 7 8" xfId="6542" xr:uid="{00000000-0005-0000-0000-0000113F0000}"/>
    <cellStyle name="20% - Accent5 7 8 2" xfId="17843" xr:uid="{00000000-0005-0000-0000-0000123F0000}"/>
    <cellStyle name="20% - Accent5 7 8 2 2" xfId="40445" xr:uid="{00000000-0005-0000-0000-0000133F0000}"/>
    <cellStyle name="20% - Accent5 7 8 3" xfId="29144" xr:uid="{00000000-0005-0000-0000-0000143F0000}"/>
    <cellStyle name="20% - Accent5 7 9" xfId="12193" xr:uid="{00000000-0005-0000-0000-0000153F0000}"/>
    <cellStyle name="20% - Accent5 7 9 2" xfId="34795" xr:uid="{00000000-0005-0000-0000-0000163F0000}"/>
    <cellStyle name="20% - Accent5 8" xfId="502" xr:uid="{00000000-0005-0000-0000-0000173F0000}"/>
    <cellStyle name="20% - Accent5 8 2" xfId="1273" xr:uid="{00000000-0005-0000-0000-0000183F0000}"/>
    <cellStyle name="20% - Accent5 8 2 2" xfId="1763" xr:uid="{00000000-0005-0000-0000-0000193F0000}"/>
    <cellStyle name="20% - Accent5 8 2 2 2" xfId="3342" xr:uid="{00000000-0005-0000-0000-00001A3F0000}"/>
    <cellStyle name="20% - Accent5 8 2 2 2 2" xfId="6314" xr:uid="{00000000-0005-0000-0000-00001B3F0000}"/>
    <cellStyle name="20% - Accent5 8 2 2 2 2 2" xfId="11964" xr:uid="{00000000-0005-0000-0000-00001C3F0000}"/>
    <cellStyle name="20% - Accent5 8 2 2 2 2 2 2" xfId="23265" xr:uid="{00000000-0005-0000-0000-00001D3F0000}"/>
    <cellStyle name="20% - Accent5 8 2 2 2 2 2 2 2" xfId="45867" xr:uid="{00000000-0005-0000-0000-00001E3F0000}"/>
    <cellStyle name="20% - Accent5 8 2 2 2 2 2 3" xfId="34566" xr:uid="{00000000-0005-0000-0000-00001F3F0000}"/>
    <cellStyle name="20% - Accent5 8 2 2 2 2 3" xfId="17615" xr:uid="{00000000-0005-0000-0000-0000203F0000}"/>
    <cellStyle name="20% - Accent5 8 2 2 2 2 3 2" xfId="40217" xr:uid="{00000000-0005-0000-0000-0000213F0000}"/>
    <cellStyle name="20% - Accent5 8 2 2 2 2 4" xfId="28916" xr:uid="{00000000-0005-0000-0000-0000223F0000}"/>
    <cellStyle name="20% - Accent5 8 2 2 2 3" xfId="9132" xr:uid="{00000000-0005-0000-0000-0000233F0000}"/>
    <cellStyle name="20% - Accent5 8 2 2 2 3 2" xfId="20433" xr:uid="{00000000-0005-0000-0000-0000243F0000}"/>
    <cellStyle name="20% - Accent5 8 2 2 2 3 2 2" xfId="43035" xr:uid="{00000000-0005-0000-0000-0000253F0000}"/>
    <cellStyle name="20% - Accent5 8 2 2 2 3 3" xfId="31734" xr:uid="{00000000-0005-0000-0000-0000263F0000}"/>
    <cellStyle name="20% - Accent5 8 2 2 2 4" xfId="14783" xr:uid="{00000000-0005-0000-0000-0000273F0000}"/>
    <cellStyle name="20% - Accent5 8 2 2 2 4 2" xfId="37385" xr:uid="{00000000-0005-0000-0000-0000283F0000}"/>
    <cellStyle name="20% - Accent5 8 2 2 2 5" xfId="26084" xr:uid="{00000000-0005-0000-0000-0000293F0000}"/>
    <cellStyle name="20% - Accent5 8 2 2 3" xfId="5080" xr:uid="{00000000-0005-0000-0000-00002A3F0000}"/>
    <cellStyle name="20% - Accent5 8 2 2 3 2" xfId="10730" xr:uid="{00000000-0005-0000-0000-00002B3F0000}"/>
    <cellStyle name="20% - Accent5 8 2 2 3 2 2" xfId="22031" xr:uid="{00000000-0005-0000-0000-00002C3F0000}"/>
    <cellStyle name="20% - Accent5 8 2 2 3 2 2 2" xfId="44633" xr:uid="{00000000-0005-0000-0000-00002D3F0000}"/>
    <cellStyle name="20% - Accent5 8 2 2 3 2 3" xfId="33332" xr:uid="{00000000-0005-0000-0000-00002E3F0000}"/>
    <cellStyle name="20% - Accent5 8 2 2 3 3" xfId="16381" xr:uid="{00000000-0005-0000-0000-00002F3F0000}"/>
    <cellStyle name="20% - Accent5 8 2 2 3 3 2" xfId="38983" xr:uid="{00000000-0005-0000-0000-0000303F0000}"/>
    <cellStyle name="20% - Accent5 8 2 2 3 4" xfId="27682" xr:uid="{00000000-0005-0000-0000-0000313F0000}"/>
    <cellStyle name="20% - Accent5 8 2 2 4" xfId="7619" xr:uid="{00000000-0005-0000-0000-0000323F0000}"/>
    <cellStyle name="20% - Accent5 8 2 2 4 2" xfId="18920" xr:uid="{00000000-0005-0000-0000-0000333F0000}"/>
    <cellStyle name="20% - Accent5 8 2 2 4 2 2" xfId="41522" xr:uid="{00000000-0005-0000-0000-0000343F0000}"/>
    <cellStyle name="20% - Accent5 8 2 2 4 3" xfId="30221" xr:uid="{00000000-0005-0000-0000-0000353F0000}"/>
    <cellStyle name="20% - Accent5 8 2 2 5" xfId="13270" xr:uid="{00000000-0005-0000-0000-0000363F0000}"/>
    <cellStyle name="20% - Accent5 8 2 2 5 2" xfId="35872" xr:uid="{00000000-0005-0000-0000-0000373F0000}"/>
    <cellStyle name="20% - Accent5 8 2 2 6" xfId="24571" xr:uid="{00000000-0005-0000-0000-0000383F0000}"/>
    <cellStyle name="20% - Accent5 8 2 3" xfId="2671" xr:uid="{00000000-0005-0000-0000-0000393F0000}"/>
    <cellStyle name="20% - Accent5 8 2 3 2" xfId="5690" xr:uid="{00000000-0005-0000-0000-00003A3F0000}"/>
    <cellStyle name="20% - Accent5 8 2 3 2 2" xfId="11340" xr:uid="{00000000-0005-0000-0000-00003B3F0000}"/>
    <cellStyle name="20% - Accent5 8 2 3 2 2 2" xfId="22641" xr:uid="{00000000-0005-0000-0000-00003C3F0000}"/>
    <cellStyle name="20% - Accent5 8 2 3 2 2 2 2" xfId="45243" xr:uid="{00000000-0005-0000-0000-00003D3F0000}"/>
    <cellStyle name="20% - Accent5 8 2 3 2 2 3" xfId="33942" xr:uid="{00000000-0005-0000-0000-00003E3F0000}"/>
    <cellStyle name="20% - Accent5 8 2 3 2 3" xfId="16991" xr:uid="{00000000-0005-0000-0000-00003F3F0000}"/>
    <cellStyle name="20% - Accent5 8 2 3 2 3 2" xfId="39593" xr:uid="{00000000-0005-0000-0000-0000403F0000}"/>
    <cellStyle name="20% - Accent5 8 2 3 2 4" xfId="28292" xr:uid="{00000000-0005-0000-0000-0000413F0000}"/>
    <cellStyle name="20% - Accent5 8 2 3 3" xfId="8507" xr:uid="{00000000-0005-0000-0000-0000423F0000}"/>
    <cellStyle name="20% - Accent5 8 2 3 3 2" xfId="19808" xr:uid="{00000000-0005-0000-0000-0000433F0000}"/>
    <cellStyle name="20% - Accent5 8 2 3 3 2 2" xfId="42410" xr:uid="{00000000-0005-0000-0000-0000443F0000}"/>
    <cellStyle name="20% - Accent5 8 2 3 3 3" xfId="31109" xr:uid="{00000000-0005-0000-0000-0000453F0000}"/>
    <cellStyle name="20% - Accent5 8 2 3 4" xfId="14158" xr:uid="{00000000-0005-0000-0000-0000463F0000}"/>
    <cellStyle name="20% - Accent5 8 2 3 4 2" xfId="36760" xr:uid="{00000000-0005-0000-0000-0000473F0000}"/>
    <cellStyle name="20% - Accent5 8 2 3 5" xfId="25459" xr:uid="{00000000-0005-0000-0000-0000483F0000}"/>
    <cellStyle name="20% - Accent5 8 2 4" xfId="4456" xr:uid="{00000000-0005-0000-0000-0000493F0000}"/>
    <cellStyle name="20% - Accent5 8 2 4 2" xfId="10106" xr:uid="{00000000-0005-0000-0000-00004A3F0000}"/>
    <cellStyle name="20% - Accent5 8 2 4 2 2" xfId="21407" xr:uid="{00000000-0005-0000-0000-00004B3F0000}"/>
    <cellStyle name="20% - Accent5 8 2 4 2 2 2" xfId="44009" xr:uid="{00000000-0005-0000-0000-00004C3F0000}"/>
    <cellStyle name="20% - Accent5 8 2 4 2 3" xfId="32708" xr:uid="{00000000-0005-0000-0000-00004D3F0000}"/>
    <cellStyle name="20% - Accent5 8 2 4 3" xfId="15757" xr:uid="{00000000-0005-0000-0000-00004E3F0000}"/>
    <cellStyle name="20% - Accent5 8 2 4 3 2" xfId="38359" xr:uid="{00000000-0005-0000-0000-00004F3F0000}"/>
    <cellStyle name="20% - Accent5 8 2 4 4" xfId="27058" xr:uid="{00000000-0005-0000-0000-0000503F0000}"/>
    <cellStyle name="20% - Accent5 8 2 5" xfId="7252" xr:uid="{00000000-0005-0000-0000-0000513F0000}"/>
    <cellStyle name="20% - Accent5 8 2 5 2" xfId="18553" xr:uid="{00000000-0005-0000-0000-0000523F0000}"/>
    <cellStyle name="20% - Accent5 8 2 5 2 2" xfId="41155" xr:uid="{00000000-0005-0000-0000-0000533F0000}"/>
    <cellStyle name="20% - Accent5 8 2 5 3" xfId="29854" xr:uid="{00000000-0005-0000-0000-0000543F0000}"/>
    <cellStyle name="20% - Accent5 8 2 6" xfId="12903" xr:uid="{00000000-0005-0000-0000-0000553F0000}"/>
    <cellStyle name="20% - Accent5 8 2 6 2" xfId="35505" xr:uid="{00000000-0005-0000-0000-0000563F0000}"/>
    <cellStyle name="20% - Accent5 8 2 7" xfId="24204" xr:uid="{00000000-0005-0000-0000-0000573F0000}"/>
    <cellStyle name="20% - Accent5 8 3" xfId="970" xr:uid="{00000000-0005-0000-0000-0000583F0000}"/>
    <cellStyle name="20% - Accent5 8 3 2" xfId="3034" xr:uid="{00000000-0005-0000-0000-0000593F0000}"/>
    <cellStyle name="20% - Accent5 8 3 2 2" xfId="6006" xr:uid="{00000000-0005-0000-0000-00005A3F0000}"/>
    <cellStyle name="20% - Accent5 8 3 2 2 2" xfId="11656" xr:uid="{00000000-0005-0000-0000-00005B3F0000}"/>
    <cellStyle name="20% - Accent5 8 3 2 2 2 2" xfId="22957" xr:uid="{00000000-0005-0000-0000-00005C3F0000}"/>
    <cellStyle name="20% - Accent5 8 3 2 2 2 2 2" xfId="45559" xr:uid="{00000000-0005-0000-0000-00005D3F0000}"/>
    <cellStyle name="20% - Accent5 8 3 2 2 2 3" xfId="34258" xr:uid="{00000000-0005-0000-0000-00005E3F0000}"/>
    <cellStyle name="20% - Accent5 8 3 2 2 3" xfId="17307" xr:uid="{00000000-0005-0000-0000-00005F3F0000}"/>
    <cellStyle name="20% - Accent5 8 3 2 2 3 2" xfId="39909" xr:uid="{00000000-0005-0000-0000-0000603F0000}"/>
    <cellStyle name="20% - Accent5 8 3 2 2 4" xfId="28608" xr:uid="{00000000-0005-0000-0000-0000613F0000}"/>
    <cellStyle name="20% - Accent5 8 3 2 3" xfId="8824" xr:uid="{00000000-0005-0000-0000-0000623F0000}"/>
    <cellStyle name="20% - Accent5 8 3 2 3 2" xfId="20125" xr:uid="{00000000-0005-0000-0000-0000633F0000}"/>
    <cellStyle name="20% - Accent5 8 3 2 3 2 2" xfId="42727" xr:uid="{00000000-0005-0000-0000-0000643F0000}"/>
    <cellStyle name="20% - Accent5 8 3 2 3 3" xfId="31426" xr:uid="{00000000-0005-0000-0000-0000653F0000}"/>
    <cellStyle name="20% - Accent5 8 3 2 4" xfId="14475" xr:uid="{00000000-0005-0000-0000-0000663F0000}"/>
    <cellStyle name="20% - Accent5 8 3 2 4 2" xfId="37077" xr:uid="{00000000-0005-0000-0000-0000673F0000}"/>
    <cellStyle name="20% - Accent5 8 3 2 5" xfId="25776" xr:uid="{00000000-0005-0000-0000-0000683F0000}"/>
    <cellStyle name="20% - Accent5 8 3 3" xfId="4772" xr:uid="{00000000-0005-0000-0000-0000693F0000}"/>
    <cellStyle name="20% - Accent5 8 3 3 2" xfId="10422" xr:uid="{00000000-0005-0000-0000-00006A3F0000}"/>
    <cellStyle name="20% - Accent5 8 3 3 2 2" xfId="21723" xr:uid="{00000000-0005-0000-0000-00006B3F0000}"/>
    <cellStyle name="20% - Accent5 8 3 3 2 2 2" xfId="44325" xr:uid="{00000000-0005-0000-0000-00006C3F0000}"/>
    <cellStyle name="20% - Accent5 8 3 3 2 3" xfId="33024" xr:uid="{00000000-0005-0000-0000-00006D3F0000}"/>
    <cellStyle name="20% - Accent5 8 3 3 3" xfId="16073" xr:uid="{00000000-0005-0000-0000-00006E3F0000}"/>
    <cellStyle name="20% - Accent5 8 3 3 3 2" xfId="38675" xr:uid="{00000000-0005-0000-0000-00006F3F0000}"/>
    <cellStyle name="20% - Accent5 8 3 3 4" xfId="27374" xr:uid="{00000000-0005-0000-0000-0000703F0000}"/>
    <cellStyle name="20% - Accent5 8 3 4" xfId="6959" xr:uid="{00000000-0005-0000-0000-0000713F0000}"/>
    <cellStyle name="20% - Accent5 8 3 4 2" xfId="18260" xr:uid="{00000000-0005-0000-0000-0000723F0000}"/>
    <cellStyle name="20% - Accent5 8 3 4 2 2" xfId="40862" xr:uid="{00000000-0005-0000-0000-0000733F0000}"/>
    <cellStyle name="20% - Accent5 8 3 4 3" xfId="29561" xr:uid="{00000000-0005-0000-0000-0000743F0000}"/>
    <cellStyle name="20% - Accent5 8 3 5" xfId="12610" xr:uid="{00000000-0005-0000-0000-0000753F0000}"/>
    <cellStyle name="20% - Accent5 8 3 5 2" xfId="35212" xr:uid="{00000000-0005-0000-0000-0000763F0000}"/>
    <cellStyle name="20% - Accent5 8 3 6" xfId="23911" xr:uid="{00000000-0005-0000-0000-0000773F0000}"/>
    <cellStyle name="20% - Accent5 8 4" xfId="1762" xr:uid="{00000000-0005-0000-0000-0000783F0000}"/>
    <cellStyle name="20% - Accent5 8 4 2" xfId="3679" xr:uid="{00000000-0005-0000-0000-0000793F0000}"/>
    <cellStyle name="20% - Accent5 8 4 2 2" xfId="9390" xr:uid="{00000000-0005-0000-0000-00007A3F0000}"/>
    <cellStyle name="20% - Accent5 8 4 2 2 2" xfId="20691" xr:uid="{00000000-0005-0000-0000-00007B3F0000}"/>
    <cellStyle name="20% - Accent5 8 4 2 2 2 2" xfId="43293" xr:uid="{00000000-0005-0000-0000-00007C3F0000}"/>
    <cellStyle name="20% - Accent5 8 4 2 2 3" xfId="31992" xr:uid="{00000000-0005-0000-0000-00007D3F0000}"/>
    <cellStyle name="20% - Accent5 8 4 2 3" xfId="15041" xr:uid="{00000000-0005-0000-0000-00007E3F0000}"/>
    <cellStyle name="20% - Accent5 8 4 2 3 2" xfId="37643" xr:uid="{00000000-0005-0000-0000-00007F3F0000}"/>
    <cellStyle name="20% - Accent5 8 4 2 4" xfId="26342" xr:uid="{00000000-0005-0000-0000-0000803F0000}"/>
    <cellStyle name="20% - Accent5 8 4 3" xfId="5382" xr:uid="{00000000-0005-0000-0000-0000813F0000}"/>
    <cellStyle name="20% - Accent5 8 4 3 2" xfId="11032" xr:uid="{00000000-0005-0000-0000-0000823F0000}"/>
    <cellStyle name="20% - Accent5 8 4 3 2 2" xfId="22333" xr:uid="{00000000-0005-0000-0000-0000833F0000}"/>
    <cellStyle name="20% - Accent5 8 4 3 2 2 2" xfId="44935" xr:uid="{00000000-0005-0000-0000-0000843F0000}"/>
    <cellStyle name="20% - Accent5 8 4 3 2 3" xfId="33634" xr:uid="{00000000-0005-0000-0000-0000853F0000}"/>
    <cellStyle name="20% - Accent5 8 4 3 3" xfId="16683" xr:uid="{00000000-0005-0000-0000-0000863F0000}"/>
    <cellStyle name="20% - Accent5 8 4 3 3 2" xfId="39285" xr:uid="{00000000-0005-0000-0000-0000873F0000}"/>
    <cellStyle name="20% - Accent5 8 4 3 4" xfId="27984" xr:uid="{00000000-0005-0000-0000-0000883F0000}"/>
    <cellStyle name="20% - Accent5 8 4 4" xfId="7618" xr:uid="{00000000-0005-0000-0000-0000893F0000}"/>
    <cellStyle name="20% - Accent5 8 4 4 2" xfId="18919" xr:uid="{00000000-0005-0000-0000-00008A3F0000}"/>
    <cellStyle name="20% - Accent5 8 4 4 2 2" xfId="41521" xr:uid="{00000000-0005-0000-0000-00008B3F0000}"/>
    <cellStyle name="20% - Accent5 8 4 4 3" xfId="30220" xr:uid="{00000000-0005-0000-0000-00008C3F0000}"/>
    <cellStyle name="20% - Accent5 8 4 5" xfId="13269" xr:uid="{00000000-0005-0000-0000-00008D3F0000}"/>
    <cellStyle name="20% - Accent5 8 4 5 2" xfId="35871" xr:uid="{00000000-0005-0000-0000-00008E3F0000}"/>
    <cellStyle name="20% - Accent5 8 4 6" xfId="24570" xr:uid="{00000000-0005-0000-0000-00008F3F0000}"/>
    <cellStyle name="20% - Accent5 8 5" xfId="2363" xr:uid="{00000000-0005-0000-0000-0000903F0000}"/>
    <cellStyle name="20% - Accent5 8 5 2" xfId="8199" xr:uid="{00000000-0005-0000-0000-0000913F0000}"/>
    <cellStyle name="20% - Accent5 8 5 2 2" xfId="19500" xr:uid="{00000000-0005-0000-0000-0000923F0000}"/>
    <cellStyle name="20% - Accent5 8 5 2 2 2" xfId="42102" xr:uid="{00000000-0005-0000-0000-0000933F0000}"/>
    <cellStyle name="20% - Accent5 8 5 2 3" xfId="30801" xr:uid="{00000000-0005-0000-0000-0000943F0000}"/>
    <cellStyle name="20% - Accent5 8 5 3" xfId="13850" xr:uid="{00000000-0005-0000-0000-0000953F0000}"/>
    <cellStyle name="20% - Accent5 8 5 3 2" xfId="36452" xr:uid="{00000000-0005-0000-0000-0000963F0000}"/>
    <cellStyle name="20% - Accent5 8 5 4" xfId="25151" xr:uid="{00000000-0005-0000-0000-0000973F0000}"/>
    <cellStyle name="20% - Accent5 8 6" xfId="4148" xr:uid="{00000000-0005-0000-0000-0000983F0000}"/>
    <cellStyle name="20% - Accent5 8 6 2" xfId="9798" xr:uid="{00000000-0005-0000-0000-0000993F0000}"/>
    <cellStyle name="20% - Accent5 8 6 2 2" xfId="21099" xr:uid="{00000000-0005-0000-0000-00009A3F0000}"/>
    <cellStyle name="20% - Accent5 8 6 2 2 2" xfId="43701" xr:uid="{00000000-0005-0000-0000-00009B3F0000}"/>
    <cellStyle name="20% - Accent5 8 6 2 3" xfId="32400" xr:uid="{00000000-0005-0000-0000-00009C3F0000}"/>
    <cellStyle name="20% - Accent5 8 6 3" xfId="15449" xr:uid="{00000000-0005-0000-0000-00009D3F0000}"/>
    <cellStyle name="20% - Accent5 8 6 3 2" xfId="38051" xr:uid="{00000000-0005-0000-0000-00009E3F0000}"/>
    <cellStyle name="20% - Accent5 8 6 4" xfId="26750" xr:uid="{00000000-0005-0000-0000-00009F3F0000}"/>
    <cellStyle name="20% - Accent5 8 7" xfId="6599" xr:uid="{00000000-0005-0000-0000-0000A03F0000}"/>
    <cellStyle name="20% - Accent5 8 7 2" xfId="17900" xr:uid="{00000000-0005-0000-0000-0000A13F0000}"/>
    <cellStyle name="20% - Accent5 8 7 2 2" xfId="40502" xr:uid="{00000000-0005-0000-0000-0000A23F0000}"/>
    <cellStyle name="20% - Accent5 8 7 3" xfId="29201" xr:uid="{00000000-0005-0000-0000-0000A33F0000}"/>
    <cellStyle name="20% - Accent5 8 8" xfId="12250" xr:uid="{00000000-0005-0000-0000-0000A43F0000}"/>
    <cellStyle name="20% - Accent5 8 8 2" xfId="34852" xr:uid="{00000000-0005-0000-0000-0000A53F0000}"/>
    <cellStyle name="20% - Accent5 8 9" xfId="23551" xr:uid="{00000000-0005-0000-0000-0000A63F0000}"/>
    <cellStyle name="20% - Accent5 9" xfId="704" xr:uid="{00000000-0005-0000-0000-0000A73F0000}"/>
    <cellStyle name="20% - Accent5 9 2" xfId="767" xr:uid="{00000000-0005-0000-0000-0000A83F0000}"/>
    <cellStyle name="20% - Accent5 9 2 2" xfId="3174" xr:uid="{00000000-0005-0000-0000-0000A93F0000}"/>
    <cellStyle name="20% - Accent5 9 2 2 2" xfId="6146" xr:uid="{00000000-0005-0000-0000-0000AA3F0000}"/>
    <cellStyle name="20% - Accent5 9 2 2 2 2" xfId="11796" xr:uid="{00000000-0005-0000-0000-0000AB3F0000}"/>
    <cellStyle name="20% - Accent5 9 2 2 2 2 2" xfId="23097" xr:uid="{00000000-0005-0000-0000-0000AC3F0000}"/>
    <cellStyle name="20% - Accent5 9 2 2 2 2 2 2" xfId="45699" xr:uid="{00000000-0005-0000-0000-0000AD3F0000}"/>
    <cellStyle name="20% - Accent5 9 2 2 2 2 3" xfId="34398" xr:uid="{00000000-0005-0000-0000-0000AE3F0000}"/>
    <cellStyle name="20% - Accent5 9 2 2 2 3" xfId="17447" xr:uid="{00000000-0005-0000-0000-0000AF3F0000}"/>
    <cellStyle name="20% - Accent5 9 2 2 2 3 2" xfId="40049" xr:uid="{00000000-0005-0000-0000-0000B03F0000}"/>
    <cellStyle name="20% - Accent5 9 2 2 2 4" xfId="28748" xr:uid="{00000000-0005-0000-0000-0000B13F0000}"/>
    <cellStyle name="20% - Accent5 9 2 2 3" xfId="8964" xr:uid="{00000000-0005-0000-0000-0000B23F0000}"/>
    <cellStyle name="20% - Accent5 9 2 2 3 2" xfId="20265" xr:uid="{00000000-0005-0000-0000-0000B33F0000}"/>
    <cellStyle name="20% - Accent5 9 2 2 3 2 2" xfId="42867" xr:uid="{00000000-0005-0000-0000-0000B43F0000}"/>
    <cellStyle name="20% - Accent5 9 2 2 3 3" xfId="31566" xr:uid="{00000000-0005-0000-0000-0000B53F0000}"/>
    <cellStyle name="20% - Accent5 9 2 2 4" xfId="14615" xr:uid="{00000000-0005-0000-0000-0000B63F0000}"/>
    <cellStyle name="20% - Accent5 9 2 2 4 2" xfId="37217" xr:uid="{00000000-0005-0000-0000-0000B73F0000}"/>
    <cellStyle name="20% - Accent5 9 2 2 5" xfId="25916" xr:uid="{00000000-0005-0000-0000-0000B83F0000}"/>
    <cellStyle name="20% - Accent5 9 2 3" xfId="4912" xr:uid="{00000000-0005-0000-0000-0000B93F0000}"/>
    <cellStyle name="20% - Accent5 9 2 3 2" xfId="10562" xr:uid="{00000000-0005-0000-0000-0000BA3F0000}"/>
    <cellStyle name="20% - Accent5 9 2 3 2 2" xfId="21863" xr:uid="{00000000-0005-0000-0000-0000BB3F0000}"/>
    <cellStyle name="20% - Accent5 9 2 3 2 2 2" xfId="44465" xr:uid="{00000000-0005-0000-0000-0000BC3F0000}"/>
    <cellStyle name="20% - Accent5 9 2 3 2 3" xfId="33164" xr:uid="{00000000-0005-0000-0000-0000BD3F0000}"/>
    <cellStyle name="20% - Accent5 9 2 3 3" xfId="16213" xr:uid="{00000000-0005-0000-0000-0000BE3F0000}"/>
    <cellStyle name="20% - Accent5 9 2 3 3 2" xfId="38815" xr:uid="{00000000-0005-0000-0000-0000BF3F0000}"/>
    <cellStyle name="20% - Accent5 9 2 3 4" xfId="27514" xr:uid="{00000000-0005-0000-0000-0000C03F0000}"/>
    <cellStyle name="20% - Accent5 9 2 4" xfId="6788" xr:uid="{00000000-0005-0000-0000-0000C13F0000}"/>
    <cellStyle name="20% - Accent5 9 2 4 2" xfId="18089" xr:uid="{00000000-0005-0000-0000-0000C23F0000}"/>
    <cellStyle name="20% - Accent5 9 2 4 2 2" xfId="40691" xr:uid="{00000000-0005-0000-0000-0000C33F0000}"/>
    <cellStyle name="20% - Accent5 9 2 4 3" xfId="29390" xr:uid="{00000000-0005-0000-0000-0000C43F0000}"/>
    <cellStyle name="20% - Accent5 9 2 5" xfId="12439" xr:uid="{00000000-0005-0000-0000-0000C53F0000}"/>
    <cellStyle name="20% - Accent5 9 2 5 2" xfId="35041" xr:uid="{00000000-0005-0000-0000-0000C63F0000}"/>
    <cellStyle name="20% - Accent5 9 2 6" xfId="23740" xr:uid="{00000000-0005-0000-0000-0000C73F0000}"/>
    <cellStyle name="20% - Accent5 9 3" xfId="1764" xr:uid="{00000000-0005-0000-0000-0000C83F0000}"/>
    <cellStyle name="20% - Accent5 9 3 2" xfId="3680" xr:uid="{00000000-0005-0000-0000-0000C93F0000}"/>
    <cellStyle name="20% - Accent5 9 3 2 2" xfId="9391" xr:uid="{00000000-0005-0000-0000-0000CA3F0000}"/>
    <cellStyle name="20% - Accent5 9 3 2 2 2" xfId="20692" xr:uid="{00000000-0005-0000-0000-0000CB3F0000}"/>
    <cellStyle name="20% - Accent5 9 3 2 2 2 2" xfId="43294" xr:uid="{00000000-0005-0000-0000-0000CC3F0000}"/>
    <cellStyle name="20% - Accent5 9 3 2 2 3" xfId="31993" xr:uid="{00000000-0005-0000-0000-0000CD3F0000}"/>
    <cellStyle name="20% - Accent5 9 3 2 3" xfId="15042" xr:uid="{00000000-0005-0000-0000-0000CE3F0000}"/>
    <cellStyle name="20% - Accent5 9 3 2 3 2" xfId="37644" xr:uid="{00000000-0005-0000-0000-0000CF3F0000}"/>
    <cellStyle name="20% - Accent5 9 3 2 4" xfId="26343" xr:uid="{00000000-0005-0000-0000-0000D03F0000}"/>
    <cellStyle name="20% - Accent5 9 3 3" xfId="5522" xr:uid="{00000000-0005-0000-0000-0000D13F0000}"/>
    <cellStyle name="20% - Accent5 9 3 3 2" xfId="11172" xr:uid="{00000000-0005-0000-0000-0000D23F0000}"/>
    <cellStyle name="20% - Accent5 9 3 3 2 2" xfId="22473" xr:uid="{00000000-0005-0000-0000-0000D33F0000}"/>
    <cellStyle name="20% - Accent5 9 3 3 2 2 2" xfId="45075" xr:uid="{00000000-0005-0000-0000-0000D43F0000}"/>
    <cellStyle name="20% - Accent5 9 3 3 2 3" xfId="33774" xr:uid="{00000000-0005-0000-0000-0000D53F0000}"/>
    <cellStyle name="20% - Accent5 9 3 3 3" xfId="16823" xr:uid="{00000000-0005-0000-0000-0000D63F0000}"/>
    <cellStyle name="20% - Accent5 9 3 3 3 2" xfId="39425" xr:uid="{00000000-0005-0000-0000-0000D73F0000}"/>
    <cellStyle name="20% - Accent5 9 3 3 4" xfId="28124" xr:uid="{00000000-0005-0000-0000-0000D83F0000}"/>
    <cellStyle name="20% - Accent5 9 3 4" xfId="7620" xr:uid="{00000000-0005-0000-0000-0000D93F0000}"/>
    <cellStyle name="20% - Accent5 9 3 4 2" xfId="18921" xr:uid="{00000000-0005-0000-0000-0000DA3F0000}"/>
    <cellStyle name="20% - Accent5 9 3 4 2 2" xfId="41523" xr:uid="{00000000-0005-0000-0000-0000DB3F0000}"/>
    <cellStyle name="20% - Accent5 9 3 4 3" xfId="30222" xr:uid="{00000000-0005-0000-0000-0000DC3F0000}"/>
    <cellStyle name="20% - Accent5 9 3 5" xfId="13271" xr:uid="{00000000-0005-0000-0000-0000DD3F0000}"/>
    <cellStyle name="20% - Accent5 9 3 5 2" xfId="35873" xr:uid="{00000000-0005-0000-0000-0000DE3F0000}"/>
    <cellStyle name="20% - Accent5 9 3 6" xfId="24572" xr:uid="{00000000-0005-0000-0000-0000DF3F0000}"/>
    <cellStyle name="20% - Accent5 9 4" xfId="2503" xr:uid="{00000000-0005-0000-0000-0000E03F0000}"/>
    <cellStyle name="20% - Accent5 9 4 2" xfId="8339" xr:uid="{00000000-0005-0000-0000-0000E13F0000}"/>
    <cellStyle name="20% - Accent5 9 4 2 2" xfId="19640" xr:uid="{00000000-0005-0000-0000-0000E23F0000}"/>
    <cellStyle name="20% - Accent5 9 4 2 2 2" xfId="42242" xr:uid="{00000000-0005-0000-0000-0000E33F0000}"/>
    <cellStyle name="20% - Accent5 9 4 2 3" xfId="30941" xr:uid="{00000000-0005-0000-0000-0000E43F0000}"/>
    <cellStyle name="20% - Accent5 9 4 3" xfId="13990" xr:uid="{00000000-0005-0000-0000-0000E53F0000}"/>
    <cellStyle name="20% - Accent5 9 4 3 2" xfId="36592" xr:uid="{00000000-0005-0000-0000-0000E63F0000}"/>
    <cellStyle name="20% - Accent5 9 4 4" xfId="25291" xr:uid="{00000000-0005-0000-0000-0000E73F0000}"/>
    <cellStyle name="20% - Accent5 9 5" xfId="4288" xr:uid="{00000000-0005-0000-0000-0000E83F0000}"/>
    <cellStyle name="20% - Accent5 9 5 2" xfId="9938" xr:uid="{00000000-0005-0000-0000-0000E93F0000}"/>
    <cellStyle name="20% - Accent5 9 5 2 2" xfId="21239" xr:uid="{00000000-0005-0000-0000-0000EA3F0000}"/>
    <cellStyle name="20% - Accent5 9 5 2 2 2" xfId="43841" xr:uid="{00000000-0005-0000-0000-0000EB3F0000}"/>
    <cellStyle name="20% - Accent5 9 5 2 3" xfId="32540" xr:uid="{00000000-0005-0000-0000-0000EC3F0000}"/>
    <cellStyle name="20% - Accent5 9 5 3" xfId="15589" xr:uid="{00000000-0005-0000-0000-0000ED3F0000}"/>
    <cellStyle name="20% - Accent5 9 5 3 2" xfId="38191" xr:uid="{00000000-0005-0000-0000-0000EE3F0000}"/>
    <cellStyle name="20% - Accent5 9 5 4" xfId="26890" xr:uid="{00000000-0005-0000-0000-0000EF3F0000}"/>
    <cellStyle name="20% - Accent5 9 6" xfId="6767" xr:uid="{00000000-0005-0000-0000-0000F03F0000}"/>
    <cellStyle name="20% - Accent5 9 6 2" xfId="18068" xr:uid="{00000000-0005-0000-0000-0000F13F0000}"/>
    <cellStyle name="20% - Accent5 9 6 2 2" xfId="40670" xr:uid="{00000000-0005-0000-0000-0000F23F0000}"/>
    <cellStyle name="20% - Accent5 9 6 3" xfId="29369" xr:uid="{00000000-0005-0000-0000-0000F33F0000}"/>
    <cellStyle name="20% - Accent5 9 7" xfId="12418" xr:uid="{00000000-0005-0000-0000-0000F43F0000}"/>
    <cellStyle name="20% - Accent5 9 7 2" xfId="35020" xr:uid="{00000000-0005-0000-0000-0000F53F0000}"/>
    <cellStyle name="20% - Accent5 9 8" xfId="23719" xr:uid="{00000000-0005-0000-0000-0000F63F0000}"/>
    <cellStyle name="20% - Accent6" xfId="39" builtinId="50" customBuiltin="1"/>
    <cellStyle name="20% - Accent6 10" xfId="837" xr:uid="{00000000-0005-0000-0000-0000F83F0000}"/>
    <cellStyle name="20% - Accent6 10 2" xfId="1765" xr:uid="{00000000-0005-0000-0000-0000F93F0000}"/>
    <cellStyle name="20% - Accent6 10 2 2" xfId="3477" xr:uid="{00000000-0005-0000-0000-0000FA3F0000}"/>
    <cellStyle name="20% - Accent6 10 2 2 2" xfId="6449" xr:uid="{00000000-0005-0000-0000-0000FB3F0000}"/>
    <cellStyle name="20% - Accent6 10 2 2 2 2" xfId="12099" xr:uid="{00000000-0005-0000-0000-0000FC3F0000}"/>
    <cellStyle name="20% - Accent6 10 2 2 2 2 2" xfId="23400" xr:uid="{00000000-0005-0000-0000-0000FD3F0000}"/>
    <cellStyle name="20% - Accent6 10 2 2 2 2 2 2" xfId="46002" xr:uid="{00000000-0005-0000-0000-0000FE3F0000}"/>
    <cellStyle name="20% - Accent6 10 2 2 2 2 3" xfId="34701" xr:uid="{00000000-0005-0000-0000-0000FF3F0000}"/>
    <cellStyle name="20% - Accent6 10 2 2 2 3" xfId="17750" xr:uid="{00000000-0005-0000-0000-000000400000}"/>
    <cellStyle name="20% - Accent6 10 2 2 2 3 2" xfId="40352" xr:uid="{00000000-0005-0000-0000-000001400000}"/>
    <cellStyle name="20% - Accent6 10 2 2 2 4" xfId="29051" xr:uid="{00000000-0005-0000-0000-000002400000}"/>
    <cellStyle name="20% - Accent6 10 2 2 3" xfId="9267" xr:uid="{00000000-0005-0000-0000-000003400000}"/>
    <cellStyle name="20% - Accent6 10 2 2 3 2" xfId="20568" xr:uid="{00000000-0005-0000-0000-000004400000}"/>
    <cellStyle name="20% - Accent6 10 2 2 3 2 2" xfId="43170" xr:uid="{00000000-0005-0000-0000-000005400000}"/>
    <cellStyle name="20% - Accent6 10 2 2 3 3" xfId="31869" xr:uid="{00000000-0005-0000-0000-000006400000}"/>
    <cellStyle name="20% - Accent6 10 2 2 4" xfId="14918" xr:uid="{00000000-0005-0000-0000-000007400000}"/>
    <cellStyle name="20% - Accent6 10 2 2 4 2" xfId="37520" xr:uid="{00000000-0005-0000-0000-000008400000}"/>
    <cellStyle name="20% - Accent6 10 2 2 5" xfId="26219" xr:uid="{00000000-0005-0000-0000-000009400000}"/>
    <cellStyle name="20% - Accent6 10 2 3" xfId="5215" xr:uid="{00000000-0005-0000-0000-00000A400000}"/>
    <cellStyle name="20% - Accent6 10 2 3 2" xfId="10865" xr:uid="{00000000-0005-0000-0000-00000B400000}"/>
    <cellStyle name="20% - Accent6 10 2 3 2 2" xfId="22166" xr:uid="{00000000-0005-0000-0000-00000C400000}"/>
    <cellStyle name="20% - Accent6 10 2 3 2 2 2" xfId="44768" xr:uid="{00000000-0005-0000-0000-00000D400000}"/>
    <cellStyle name="20% - Accent6 10 2 3 2 3" xfId="33467" xr:uid="{00000000-0005-0000-0000-00000E400000}"/>
    <cellStyle name="20% - Accent6 10 2 3 3" xfId="16516" xr:uid="{00000000-0005-0000-0000-00000F400000}"/>
    <cellStyle name="20% - Accent6 10 2 3 3 2" xfId="39118" xr:uid="{00000000-0005-0000-0000-000010400000}"/>
    <cellStyle name="20% - Accent6 10 2 3 4" xfId="27817" xr:uid="{00000000-0005-0000-0000-000011400000}"/>
    <cellStyle name="20% - Accent6 10 2 4" xfId="7621" xr:uid="{00000000-0005-0000-0000-000012400000}"/>
    <cellStyle name="20% - Accent6 10 2 4 2" xfId="18922" xr:uid="{00000000-0005-0000-0000-000013400000}"/>
    <cellStyle name="20% - Accent6 10 2 4 2 2" xfId="41524" xr:uid="{00000000-0005-0000-0000-000014400000}"/>
    <cellStyle name="20% - Accent6 10 2 4 3" xfId="30223" xr:uid="{00000000-0005-0000-0000-000015400000}"/>
    <cellStyle name="20% - Accent6 10 2 5" xfId="13272" xr:uid="{00000000-0005-0000-0000-000016400000}"/>
    <cellStyle name="20% - Accent6 10 2 5 2" xfId="35874" xr:uid="{00000000-0005-0000-0000-000017400000}"/>
    <cellStyle name="20% - Accent6 10 2 6" xfId="24573" xr:uid="{00000000-0005-0000-0000-000018400000}"/>
    <cellStyle name="20% - Accent6 10 3" xfId="2808" xr:uid="{00000000-0005-0000-0000-000019400000}"/>
    <cellStyle name="20% - Accent6 10 3 2" xfId="5825" xr:uid="{00000000-0005-0000-0000-00001A400000}"/>
    <cellStyle name="20% - Accent6 10 3 2 2" xfId="11475" xr:uid="{00000000-0005-0000-0000-00001B400000}"/>
    <cellStyle name="20% - Accent6 10 3 2 2 2" xfId="22776" xr:uid="{00000000-0005-0000-0000-00001C400000}"/>
    <cellStyle name="20% - Accent6 10 3 2 2 2 2" xfId="45378" xr:uid="{00000000-0005-0000-0000-00001D400000}"/>
    <cellStyle name="20% - Accent6 10 3 2 2 3" xfId="34077" xr:uid="{00000000-0005-0000-0000-00001E400000}"/>
    <cellStyle name="20% - Accent6 10 3 2 3" xfId="17126" xr:uid="{00000000-0005-0000-0000-00001F400000}"/>
    <cellStyle name="20% - Accent6 10 3 2 3 2" xfId="39728" xr:uid="{00000000-0005-0000-0000-000020400000}"/>
    <cellStyle name="20% - Accent6 10 3 2 4" xfId="28427" xr:uid="{00000000-0005-0000-0000-000021400000}"/>
    <cellStyle name="20% - Accent6 10 3 3" xfId="8642" xr:uid="{00000000-0005-0000-0000-000022400000}"/>
    <cellStyle name="20% - Accent6 10 3 3 2" xfId="19943" xr:uid="{00000000-0005-0000-0000-000023400000}"/>
    <cellStyle name="20% - Accent6 10 3 3 2 2" xfId="42545" xr:uid="{00000000-0005-0000-0000-000024400000}"/>
    <cellStyle name="20% - Accent6 10 3 3 3" xfId="31244" xr:uid="{00000000-0005-0000-0000-000025400000}"/>
    <cellStyle name="20% - Accent6 10 3 4" xfId="14293" xr:uid="{00000000-0005-0000-0000-000026400000}"/>
    <cellStyle name="20% - Accent6 10 3 4 2" xfId="36895" xr:uid="{00000000-0005-0000-0000-000027400000}"/>
    <cellStyle name="20% - Accent6 10 3 5" xfId="25594" xr:uid="{00000000-0005-0000-0000-000028400000}"/>
    <cellStyle name="20% - Accent6 10 4" xfId="4591" xr:uid="{00000000-0005-0000-0000-000029400000}"/>
    <cellStyle name="20% - Accent6 10 4 2" xfId="10241" xr:uid="{00000000-0005-0000-0000-00002A400000}"/>
    <cellStyle name="20% - Accent6 10 4 2 2" xfId="21542" xr:uid="{00000000-0005-0000-0000-00002B400000}"/>
    <cellStyle name="20% - Accent6 10 4 2 2 2" xfId="44144" xr:uid="{00000000-0005-0000-0000-00002C400000}"/>
    <cellStyle name="20% - Accent6 10 4 2 3" xfId="32843" xr:uid="{00000000-0005-0000-0000-00002D400000}"/>
    <cellStyle name="20% - Accent6 10 4 3" xfId="15892" xr:uid="{00000000-0005-0000-0000-00002E400000}"/>
    <cellStyle name="20% - Accent6 10 4 3 2" xfId="38494" xr:uid="{00000000-0005-0000-0000-00002F400000}"/>
    <cellStyle name="20% - Accent6 10 4 4" xfId="27193" xr:uid="{00000000-0005-0000-0000-000030400000}"/>
    <cellStyle name="20% - Accent6 10 5" xfId="6842" xr:uid="{00000000-0005-0000-0000-000031400000}"/>
    <cellStyle name="20% - Accent6 10 5 2" xfId="18143" xr:uid="{00000000-0005-0000-0000-000032400000}"/>
    <cellStyle name="20% - Accent6 10 5 2 2" xfId="40745" xr:uid="{00000000-0005-0000-0000-000033400000}"/>
    <cellStyle name="20% - Accent6 10 5 3" xfId="29444" xr:uid="{00000000-0005-0000-0000-000034400000}"/>
    <cellStyle name="20% - Accent6 10 6" xfId="12493" xr:uid="{00000000-0005-0000-0000-000035400000}"/>
    <cellStyle name="20% - Accent6 10 6 2" xfId="35095" xr:uid="{00000000-0005-0000-0000-000036400000}"/>
    <cellStyle name="20% - Accent6 10 7" xfId="23794" xr:uid="{00000000-0005-0000-0000-000037400000}"/>
    <cellStyle name="20% - Accent6 11" xfId="831" xr:uid="{00000000-0005-0000-0000-000038400000}"/>
    <cellStyle name="20% - Accent6 11 2" xfId="1766" xr:uid="{00000000-0005-0000-0000-000039400000}"/>
    <cellStyle name="20% - Accent6 11 2 2" xfId="3681" xr:uid="{00000000-0005-0000-0000-00003A400000}"/>
    <cellStyle name="20% - Accent6 11 2 2 2" xfId="9392" xr:uid="{00000000-0005-0000-0000-00003B400000}"/>
    <cellStyle name="20% - Accent6 11 2 2 2 2" xfId="20693" xr:uid="{00000000-0005-0000-0000-00003C400000}"/>
    <cellStyle name="20% - Accent6 11 2 2 2 2 2" xfId="43295" xr:uid="{00000000-0005-0000-0000-00003D400000}"/>
    <cellStyle name="20% - Accent6 11 2 2 2 3" xfId="31994" xr:uid="{00000000-0005-0000-0000-00003E400000}"/>
    <cellStyle name="20% - Accent6 11 2 2 3" xfId="15043" xr:uid="{00000000-0005-0000-0000-00003F400000}"/>
    <cellStyle name="20% - Accent6 11 2 2 3 2" xfId="37645" xr:uid="{00000000-0005-0000-0000-000040400000}"/>
    <cellStyle name="20% - Accent6 11 2 2 4" xfId="26344" xr:uid="{00000000-0005-0000-0000-000041400000}"/>
    <cellStyle name="20% - Accent6 11 2 3" xfId="7622" xr:uid="{00000000-0005-0000-0000-000042400000}"/>
    <cellStyle name="20% - Accent6 11 2 3 2" xfId="18923" xr:uid="{00000000-0005-0000-0000-000043400000}"/>
    <cellStyle name="20% - Accent6 11 2 3 2 2" xfId="41525" xr:uid="{00000000-0005-0000-0000-000044400000}"/>
    <cellStyle name="20% - Accent6 11 2 3 3" xfId="30224" xr:uid="{00000000-0005-0000-0000-000045400000}"/>
    <cellStyle name="20% - Accent6 11 2 4" xfId="13273" xr:uid="{00000000-0005-0000-0000-000046400000}"/>
    <cellStyle name="20% - Accent6 11 2 4 2" xfId="35875" xr:uid="{00000000-0005-0000-0000-000047400000}"/>
    <cellStyle name="20% - Accent6 11 2 5" xfId="24574" xr:uid="{00000000-0005-0000-0000-000048400000}"/>
    <cellStyle name="20% - Accent6 11 3" xfId="2187" xr:uid="{00000000-0005-0000-0000-000049400000}"/>
    <cellStyle name="20% - Accent6 11 3 2" xfId="8031" xr:uid="{00000000-0005-0000-0000-00004A400000}"/>
    <cellStyle name="20% - Accent6 11 3 2 2" xfId="19332" xr:uid="{00000000-0005-0000-0000-00004B400000}"/>
    <cellStyle name="20% - Accent6 11 3 2 2 2" xfId="41934" xr:uid="{00000000-0005-0000-0000-00004C400000}"/>
    <cellStyle name="20% - Accent6 11 3 2 3" xfId="30633" xr:uid="{00000000-0005-0000-0000-00004D400000}"/>
    <cellStyle name="20% - Accent6 11 3 3" xfId="13682" xr:uid="{00000000-0005-0000-0000-00004E400000}"/>
    <cellStyle name="20% - Accent6 11 3 3 2" xfId="36284" xr:uid="{00000000-0005-0000-0000-00004F400000}"/>
    <cellStyle name="20% - Accent6 11 3 4" xfId="24983" xr:uid="{00000000-0005-0000-0000-000050400000}"/>
    <cellStyle name="20% - Accent6 11 4" xfId="3983" xr:uid="{00000000-0005-0000-0000-000051400000}"/>
    <cellStyle name="20% - Accent6 11 4 2" xfId="9633" xr:uid="{00000000-0005-0000-0000-000052400000}"/>
    <cellStyle name="20% - Accent6 11 4 2 2" xfId="20934" xr:uid="{00000000-0005-0000-0000-000053400000}"/>
    <cellStyle name="20% - Accent6 11 4 2 2 2" xfId="43536" xr:uid="{00000000-0005-0000-0000-000054400000}"/>
    <cellStyle name="20% - Accent6 11 4 2 3" xfId="32235" xr:uid="{00000000-0005-0000-0000-000055400000}"/>
    <cellStyle name="20% - Accent6 11 4 3" xfId="15284" xr:uid="{00000000-0005-0000-0000-000056400000}"/>
    <cellStyle name="20% - Accent6 11 4 3 2" xfId="37886" xr:uid="{00000000-0005-0000-0000-000057400000}"/>
    <cellStyle name="20% - Accent6 11 4 4" xfId="26585" xr:uid="{00000000-0005-0000-0000-000058400000}"/>
    <cellStyle name="20% - Accent6 11 5" xfId="6837" xr:uid="{00000000-0005-0000-0000-000059400000}"/>
    <cellStyle name="20% - Accent6 11 5 2" xfId="18138" xr:uid="{00000000-0005-0000-0000-00005A400000}"/>
    <cellStyle name="20% - Accent6 11 5 2 2" xfId="40740" xr:uid="{00000000-0005-0000-0000-00005B400000}"/>
    <cellStyle name="20% - Accent6 11 5 3" xfId="29439" xr:uid="{00000000-0005-0000-0000-00005C400000}"/>
    <cellStyle name="20% - Accent6 11 6" xfId="12488" xr:uid="{00000000-0005-0000-0000-00005D400000}"/>
    <cellStyle name="20% - Accent6 11 6 2" xfId="35090" xr:uid="{00000000-0005-0000-0000-00005E400000}"/>
    <cellStyle name="20% - Accent6 11 7" xfId="23789" xr:uid="{00000000-0005-0000-0000-00005F400000}"/>
    <cellStyle name="20% - Accent6 12" xfId="1426" xr:uid="{00000000-0005-0000-0000-000060400000}"/>
    <cellStyle name="20% - Accent6 12 2" xfId="3948" xr:uid="{00000000-0005-0000-0000-000061400000}"/>
    <cellStyle name="20% - Accent6 12 2 2" xfId="9617" xr:uid="{00000000-0005-0000-0000-000062400000}"/>
    <cellStyle name="20% - Accent6 12 2 2 2" xfId="20918" xr:uid="{00000000-0005-0000-0000-000063400000}"/>
    <cellStyle name="20% - Accent6 12 2 2 2 2" xfId="43520" xr:uid="{00000000-0005-0000-0000-000064400000}"/>
    <cellStyle name="20% - Accent6 12 2 2 3" xfId="32219" xr:uid="{00000000-0005-0000-0000-000065400000}"/>
    <cellStyle name="20% - Accent6 12 2 3" xfId="15268" xr:uid="{00000000-0005-0000-0000-000066400000}"/>
    <cellStyle name="20% - Accent6 12 2 3 2" xfId="37870" xr:uid="{00000000-0005-0000-0000-000067400000}"/>
    <cellStyle name="20% - Accent6 12 2 4" xfId="26569" xr:uid="{00000000-0005-0000-0000-000068400000}"/>
    <cellStyle name="20% - Accent6 13" xfId="3508" xr:uid="{00000000-0005-0000-0000-000069400000}"/>
    <cellStyle name="20% - Accent6 14" xfId="111" xr:uid="{00000000-0005-0000-0000-00006A400000}"/>
    <cellStyle name="20% - Accent6 2" xfId="58" xr:uid="{00000000-0005-0000-0000-00006B400000}"/>
    <cellStyle name="20% - Accent6 2 2" xfId="287" xr:uid="{00000000-0005-0000-0000-00006C400000}"/>
    <cellStyle name="20% - Accent6 2 2 10" xfId="23448" xr:uid="{00000000-0005-0000-0000-00006D400000}"/>
    <cellStyle name="20% - Accent6 2 2 2" xfId="597" xr:uid="{00000000-0005-0000-0000-00006E400000}"/>
    <cellStyle name="20% - Accent6 2 2 2 2" xfId="1308" xr:uid="{00000000-0005-0000-0000-00006F400000}"/>
    <cellStyle name="20% - Accent6 2 2 2 2 2" xfId="1769" xr:uid="{00000000-0005-0000-0000-000070400000}"/>
    <cellStyle name="20% - Accent6 2 2 2 2 2 2" xfId="3377" xr:uid="{00000000-0005-0000-0000-000071400000}"/>
    <cellStyle name="20% - Accent6 2 2 2 2 2 2 2" xfId="6349" xr:uid="{00000000-0005-0000-0000-000072400000}"/>
    <cellStyle name="20% - Accent6 2 2 2 2 2 2 2 2" xfId="11999" xr:uid="{00000000-0005-0000-0000-000073400000}"/>
    <cellStyle name="20% - Accent6 2 2 2 2 2 2 2 2 2" xfId="23300" xr:uid="{00000000-0005-0000-0000-000074400000}"/>
    <cellStyle name="20% - Accent6 2 2 2 2 2 2 2 2 2 2" xfId="45902" xr:uid="{00000000-0005-0000-0000-000075400000}"/>
    <cellStyle name="20% - Accent6 2 2 2 2 2 2 2 2 3" xfId="34601" xr:uid="{00000000-0005-0000-0000-000076400000}"/>
    <cellStyle name="20% - Accent6 2 2 2 2 2 2 2 3" xfId="17650" xr:uid="{00000000-0005-0000-0000-000077400000}"/>
    <cellStyle name="20% - Accent6 2 2 2 2 2 2 2 3 2" xfId="40252" xr:uid="{00000000-0005-0000-0000-000078400000}"/>
    <cellStyle name="20% - Accent6 2 2 2 2 2 2 2 4" xfId="28951" xr:uid="{00000000-0005-0000-0000-000079400000}"/>
    <cellStyle name="20% - Accent6 2 2 2 2 2 2 3" xfId="9167" xr:uid="{00000000-0005-0000-0000-00007A400000}"/>
    <cellStyle name="20% - Accent6 2 2 2 2 2 2 3 2" xfId="20468" xr:uid="{00000000-0005-0000-0000-00007B400000}"/>
    <cellStyle name="20% - Accent6 2 2 2 2 2 2 3 2 2" xfId="43070" xr:uid="{00000000-0005-0000-0000-00007C400000}"/>
    <cellStyle name="20% - Accent6 2 2 2 2 2 2 3 3" xfId="31769" xr:uid="{00000000-0005-0000-0000-00007D400000}"/>
    <cellStyle name="20% - Accent6 2 2 2 2 2 2 4" xfId="14818" xr:uid="{00000000-0005-0000-0000-00007E400000}"/>
    <cellStyle name="20% - Accent6 2 2 2 2 2 2 4 2" xfId="37420" xr:uid="{00000000-0005-0000-0000-00007F400000}"/>
    <cellStyle name="20% - Accent6 2 2 2 2 2 2 5" xfId="26119" xr:uid="{00000000-0005-0000-0000-000080400000}"/>
    <cellStyle name="20% - Accent6 2 2 2 2 2 3" xfId="5115" xr:uid="{00000000-0005-0000-0000-000081400000}"/>
    <cellStyle name="20% - Accent6 2 2 2 2 2 3 2" xfId="10765" xr:uid="{00000000-0005-0000-0000-000082400000}"/>
    <cellStyle name="20% - Accent6 2 2 2 2 2 3 2 2" xfId="22066" xr:uid="{00000000-0005-0000-0000-000083400000}"/>
    <cellStyle name="20% - Accent6 2 2 2 2 2 3 2 2 2" xfId="44668" xr:uid="{00000000-0005-0000-0000-000084400000}"/>
    <cellStyle name="20% - Accent6 2 2 2 2 2 3 2 3" xfId="33367" xr:uid="{00000000-0005-0000-0000-000085400000}"/>
    <cellStyle name="20% - Accent6 2 2 2 2 2 3 3" xfId="16416" xr:uid="{00000000-0005-0000-0000-000086400000}"/>
    <cellStyle name="20% - Accent6 2 2 2 2 2 3 3 2" xfId="39018" xr:uid="{00000000-0005-0000-0000-000087400000}"/>
    <cellStyle name="20% - Accent6 2 2 2 2 2 3 4" xfId="27717" xr:uid="{00000000-0005-0000-0000-000088400000}"/>
    <cellStyle name="20% - Accent6 2 2 2 2 2 4" xfId="7625" xr:uid="{00000000-0005-0000-0000-000089400000}"/>
    <cellStyle name="20% - Accent6 2 2 2 2 2 4 2" xfId="18926" xr:uid="{00000000-0005-0000-0000-00008A400000}"/>
    <cellStyle name="20% - Accent6 2 2 2 2 2 4 2 2" xfId="41528" xr:uid="{00000000-0005-0000-0000-00008B400000}"/>
    <cellStyle name="20% - Accent6 2 2 2 2 2 4 3" xfId="30227" xr:uid="{00000000-0005-0000-0000-00008C400000}"/>
    <cellStyle name="20% - Accent6 2 2 2 2 2 5" xfId="13276" xr:uid="{00000000-0005-0000-0000-00008D400000}"/>
    <cellStyle name="20% - Accent6 2 2 2 2 2 5 2" xfId="35878" xr:uid="{00000000-0005-0000-0000-00008E400000}"/>
    <cellStyle name="20% - Accent6 2 2 2 2 2 6" xfId="24577" xr:uid="{00000000-0005-0000-0000-00008F400000}"/>
    <cellStyle name="20% - Accent6 2 2 2 2 3" xfId="2706" xr:uid="{00000000-0005-0000-0000-000090400000}"/>
    <cellStyle name="20% - Accent6 2 2 2 2 3 2" xfId="5725" xr:uid="{00000000-0005-0000-0000-000091400000}"/>
    <cellStyle name="20% - Accent6 2 2 2 2 3 2 2" xfId="11375" xr:uid="{00000000-0005-0000-0000-000092400000}"/>
    <cellStyle name="20% - Accent6 2 2 2 2 3 2 2 2" xfId="22676" xr:uid="{00000000-0005-0000-0000-000093400000}"/>
    <cellStyle name="20% - Accent6 2 2 2 2 3 2 2 2 2" xfId="45278" xr:uid="{00000000-0005-0000-0000-000094400000}"/>
    <cellStyle name="20% - Accent6 2 2 2 2 3 2 2 3" xfId="33977" xr:uid="{00000000-0005-0000-0000-000095400000}"/>
    <cellStyle name="20% - Accent6 2 2 2 2 3 2 3" xfId="17026" xr:uid="{00000000-0005-0000-0000-000096400000}"/>
    <cellStyle name="20% - Accent6 2 2 2 2 3 2 3 2" xfId="39628" xr:uid="{00000000-0005-0000-0000-000097400000}"/>
    <cellStyle name="20% - Accent6 2 2 2 2 3 2 4" xfId="28327" xr:uid="{00000000-0005-0000-0000-000098400000}"/>
    <cellStyle name="20% - Accent6 2 2 2 2 3 3" xfId="8542" xr:uid="{00000000-0005-0000-0000-000099400000}"/>
    <cellStyle name="20% - Accent6 2 2 2 2 3 3 2" xfId="19843" xr:uid="{00000000-0005-0000-0000-00009A400000}"/>
    <cellStyle name="20% - Accent6 2 2 2 2 3 3 2 2" xfId="42445" xr:uid="{00000000-0005-0000-0000-00009B400000}"/>
    <cellStyle name="20% - Accent6 2 2 2 2 3 3 3" xfId="31144" xr:uid="{00000000-0005-0000-0000-00009C400000}"/>
    <cellStyle name="20% - Accent6 2 2 2 2 3 4" xfId="14193" xr:uid="{00000000-0005-0000-0000-00009D400000}"/>
    <cellStyle name="20% - Accent6 2 2 2 2 3 4 2" xfId="36795" xr:uid="{00000000-0005-0000-0000-00009E400000}"/>
    <cellStyle name="20% - Accent6 2 2 2 2 3 5" xfId="25494" xr:uid="{00000000-0005-0000-0000-00009F400000}"/>
    <cellStyle name="20% - Accent6 2 2 2 2 4" xfId="4491" xr:uid="{00000000-0005-0000-0000-0000A0400000}"/>
    <cellStyle name="20% - Accent6 2 2 2 2 4 2" xfId="10141" xr:uid="{00000000-0005-0000-0000-0000A1400000}"/>
    <cellStyle name="20% - Accent6 2 2 2 2 4 2 2" xfId="21442" xr:uid="{00000000-0005-0000-0000-0000A2400000}"/>
    <cellStyle name="20% - Accent6 2 2 2 2 4 2 2 2" xfId="44044" xr:uid="{00000000-0005-0000-0000-0000A3400000}"/>
    <cellStyle name="20% - Accent6 2 2 2 2 4 2 3" xfId="32743" xr:uid="{00000000-0005-0000-0000-0000A4400000}"/>
    <cellStyle name="20% - Accent6 2 2 2 2 4 3" xfId="15792" xr:uid="{00000000-0005-0000-0000-0000A5400000}"/>
    <cellStyle name="20% - Accent6 2 2 2 2 4 3 2" xfId="38394" xr:uid="{00000000-0005-0000-0000-0000A6400000}"/>
    <cellStyle name="20% - Accent6 2 2 2 2 4 4" xfId="27093" xr:uid="{00000000-0005-0000-0000-0000A7400000}"/>
    <cellStyle name="20% - Accent6 2 2 2 2 5" xfId="7287" xr:uid="{00000000-0005-0000-0000-0000A8400000}"/>
    <cellStyle name="20% - Accent6 2 2 2 2 5 2" xfId="18588" xr:uid="{00000000-0005-0000-0000-0000A9400000}"/>
    <cellStyle name="20% - Accent6 2 2 2 2 5 2 2" xfId="41190" xr:uid="{00000000-0005-0000-0000-0000AA400000}"/>
    <cellStyle name="20% - Accent6 2 2 2 2 5 3" xfId="29889" xr:uid="{00000000-0005-0000-0000-0000AB400000}"/>
    <cellStyle name="20% - Accent6 2 2 2 2 6" xfId="12938" xr:uid="{00000000-0005-0000-0000-0000AC400000}"/>
    <cellStyle name="20% - Accent6 2 2 2 2 6 2" xfId="35540" xr:uid="{00000000-0005-0000-0000-0000AD400000}"/>
    <cellStyle name="20% - Accent6 2 2 2 2 7" xfId="24239" xr:uid="{00000000-0005-0000-0000-0000AE400000}"/>
    <cellStyle name="20% - Accent6 2 2 2 3" xfId="1006" xr:uid="{00000000-0005-0000-0000-0000AF400000}"/>
    <cellStyle name="20% - Accent6 2 2 2 3 2" xfId="3069" xr:uid="{00000000-0005-0000-0000-0000B0400000}"/>
    <cellStyle name="20% - Accent6 2 2 2 3 2 2" xfId="6041" xr:uid="{00000000-0005-0000-0000-0000B1400000}"/>
    <cellStyle name="20% - Accent6 2 2 2 3 2 2 2" xfId="11691" xr:uid="{00000000-0005-0000-0000-0000B2400000}"/>
    <cellStyle name="20% - Accent6 2 2 2 3 2 2 2 2" xfId="22992" xr:uid="{00000000-0005-0000-0000-0000B3400000}"/>
    <cellStyle name="20% - Accent6 2 2 2 3 2 2 2 2 2" xfId="45594" xr:uid="{00000000-0005-0000-0000-0000B4400000}"/>
    <cellStyle name="20% - Accent6 2 2 2 3 2 2 2 3" xfId="34293" xr:uid="{00000000-0005-0000-0000-0000B5400000}"/>
    <cellStyle name="20% - Accent6 2 2 2 3 2 2 3" xfId="17342" xr:uid="{00000000-0005-0000-0000-0000B6400000}"/>
    <cellStyle name="20% - Accent6 2 2 2 3 2 2 3 2" xfId="39944" xr:uid="{00000000-0005-0000-0000-0000B7400000}"/>
    <cellStyle name="20% - Accent6 2 2 2 3 2 2 4" xfId="28643" xr:uid="{00000000-0005-0000-0000-0000B8400000}"/>
    <cellStyle name="20% - Accent6 2 2 2 3 2 3" xfId="8859" xr:uid="{00000000-0005-0000-0000-0000B9400000}"/>
    <cellStyle name="20% - Accent6 2 2 2 3 2 3 2" xfId="20160" xr:uid="{00000000-0005-0000-0000-0000BA400000}"/>
    <cellStyle name="20% - Accent6 2 2 2 3 2 3 2 2" xfId="42762" xr:uid="{00000000-0005-0000-0000-0000BB400000}"/>
    <cellStyle name="20% - Accent6 2 2 2 3 2 3 3" xfId="31461" xr:uid="{00000000-0005-0000-0000-0000BC400000}"/>
    <cellStyle name="20% - Accent6 2 2 2 3 2 4" xfId="14510" xr:uid="{00000000-0005-0000-0000-0000BD400000}"/>
    <cellStyle name="20% - Accent6 2 2 2 3 2 4 2" xfId="37112" xr:uid="{00000000-0005-0000-0000-0000BE400000}"/>
    <cellStyle name="20% - Accent6 2 2 2 3 2 5" xfId="25811" xr:uid="{00000000-0005-0000-0000-0000BF400000}"/>
    <cellStyle name="20% - Accent6 2 2 2 3 3" xfId="4807" xr:uid="{00000000-0005-0000-0000-0000C0400000}"/>
    <cellStyle name="20% - Accent6 2 2 2 3 3 2" xfId="10457" xr:uid="{00000000-0005-0000-0000-0000C1400000}"/>
    <cellStyle name="20% - Accent6 2 2 2 3 3 2 2" xfId="21758" xr:uid="{00000000-0005-0000-0000-0000C2400000}"/>
    <cellStyle name="20% - Accent6 2 2 2 3 3 2 2 2" xfId="44360" xr:uid="{00000000-0005-0000-0000-0000C3400000}"/>
    <cellStyle name="20% - Accent6 2 2 2 3 3 2 3" xfId="33059" xr:uid="{00000000-0005-0000-0000-0000C4400000}"/>
    <cellStyle name="20% - Accent6 2 2 2 3 3 3" xfId="16108" xr:uid="{00000000-0005-0000-0000-0000C5400000}"/>
    <cellStyle name="20% - Accent6 2 2 2 3 3 3 2" xfId="38710" xr:uid="{00000000-0005-0000-0000-0000C6400000}"/>
    <cellStyle name="20% - Accent6 2 2 2 3 3 4" xfId="27409" xr:uid="{00000000-0005-0000-0000-0000C7400000}"/>
    <cellStyle name="20% - Accent6 2 2 2 3 4" xfId="6994" xr:uid="{00000000-0005-0000-0000-0000C8400000}"/>
    <cellStyle name="20% - Accent6 2 2 2 3 4 2" xfId="18295" xr:uid="{00000000-0005-0000-0000-0000C9400000}"/>
    <cellStyle name="20% - Accent6 2 2 2 3 4 2 2" xfId="40897" xr:uid="{00000000-0005-0000-0000-0000CA400000}"/>
    <cellStyle name="20% - Accent6 2 2 2 3 4 3" xfId="29596" xr:uid="{00000000-0005-0000-0000-0000CB400000}"/>
    <cellStyle name="20% - Accent6 2 2 2 3 5" xfId="12645" xr:uid="{00000000-0005-0000-0000-0000CC400000}"/>
    <cellStyle name="20% - Accent6 2 2 2 3 5 2" xfId="35247" xr:uid="{00000000-0005-0000-0000-0000CD400000}"/>
    <cellStyle name="20% - Accent6 2 2 2 3 6" xfId="23946" xr:uid="{00000000-0005-0000-0000-0000CE400000}"/>
    <cellStyle name="20% - Accent6 2 2 2 4" xfId="1768" xr:uid="{00000000-0005-0000-0000-0000CF400000}"/>
    <cellStyle name="20% - Accent6 2 2 2 4 2" xfId="3683" xr:uid="{00000000-0005-0000-0000-0000D0400000}"/>
    <cellStyle name="20% - Accent6 2 2 2 4 2 2" xfId="9394" xr:uid="{00000000-0005-0000-0000-0000D1400000}"/>
    <cellStyle name="20% - Accent6 2 2 2 4 2 2 2" xfId="20695" xr:uid="{00000000-0005-0000-0000-0000D2400000}"/>
    <cellStyle name="20% - Accent6 2 2 2 4 2 2 2 2" xfId="43297" xr:uid="{00000000-0005-0000-0000-0000D3400000}"/>
    <cellStyle name="20% - Accent6 2 2 2 4 2 2 3" xfId="31996" xr:uid="{00000000-0005-0000-0000-0000D4400000}"/>
    <cellStyle name="20% - Accent6 2 2 2 4 2 3" xfId="15045" xr:uid="{00000000-0005-0000-0000-0000D5400000}"/>
    <cellStyle name="20% - Accent6 2 2 2 4 2 3 2" xfId="37647" xr:uid="{00000000-0005-0000-0000-0000D6400000}"/>
    <cellStyle name="20% - Accent6 2 2 2 4 2 4" xfId="26346" xr:uid="{00000000-0005-0000-0000-0000D7400000}"/>
    <cellStyle name="20% - Accent6 2 2 2 4 3" xfId="5417" xr:uid="{00000000-0005-0000-0000-0000D8400000}"/>
    <cellStyle name="20% - Accent6 2 2 2 4 3 2" xfId="11067" xr:uid="{00000000-0005-0000-0000-0000D9400000}"/>
    <cellStyle name="20% - Accent6 2 2 2 4 3 2 2" xfId="22368" xr:uid="{00000000-0005-0000-0000-0000DA400000}"/>
    <cellStyle name="20% - Accent6 2 2 2 4 3 2 2 2" xfId="44970" xr:uid="{00000000-0005-0000-0000-0000DB400000}"/>
    <cellStyle name="20% - Accent6 2 2 2 4 3 2 3" xfId="33669" xr:uid="{00000000-0005-0000-0000-0000DC400000}"/>
    <cellStyle name="20% - Accent6 2 2 2 4 3 3" xfId="16718" xr:uid="{00000000-0005-0000-0000-0000DD400000}"/>
    <cellStyle name="20% - Accent6 2 2 2 4 3 3 2" xfId="39320" xr:uid="{00000000-0005-0000-0000-0000DE400000}"/>
    <cellStyle name="20% - Accent6 2 2 2 4 3 4" xfId="28019" xr:uid="{00000000-0005-0000-0000-0000DF400000}"/>
    <cellStyle name="20% - Accent6 2 2 2 4 4" xfId="7624" xr:uid="{00000000-0005-0000-0000-0000E0400000}"/>
    <cellStyle name="20% - Accent6 2 2 2 4 4 2" xfId="18925" xr:uid="{00000000-0005-0000-0000-0000E1400000}"/>
    <cellStyle name="20% - Accent6 2 2 2 4 4 2 2" xfId="41527" xr:uid="{00000000-0005-0000-0000-0000E2400000}"/>
    <cellStyle name="20% - Accent6 2 2 2 4 4 3" xfId="30226" xr:uid="{00000000-0005-0000-0000-0000E3400000}"/>
    <cellStyle name="20% - Accent6 2 2 2 4 5" xfId="13275" xr:uid="{00000000-0005-0000-0000-0000E4400000}"/>
    <cellStyle name="20% - Accent6 2 2 2 4 5 2" xfId="35877" xr:uid="{00000000-0005-0000-0000-0000E5400000}"/>
    <cellStyle name="20% - Accent6 2 2 2 4 6" xfId="24576" xr:uid="{00000000-0005-0000-0000-0000E6400000}"/>
    <cellStyle name="20% - Accent6 2 2 2 5" xfId="2398" xr:uid="{00000000-0005-0000-0000-0000E7400000}"/>
    <cellStyle name="20% - Accent6 2 2 2 5 2" xfId="8234" xr:uid="{00000000-0005-0000-0000-0000E8400000}"/>
    <cellStyle name="20% - Accent6 2 2 2 5 2 2" xfId="19535" xr:uid="{00000000-0005-0000-0000-0000E9400000}"/>
    <cellStyle name="20% - Accent6 2 2 2 5 2 2 2" xfId="42137" xr:uid="{00000000-0005-0000-0000-0000EA400000}"/>
    <cellStyle name="20% - Accent6 2 2 2 5 2 3" xfId="30836" xr:uid="{00000000-0005-0000-0000-0000EB400000}"/>
    <cellStyle name="20% - Accent6 2 2 2 5 3" xfId="13885" xr:uid="{00000000-0005-0000-0000-0000EC400000}"/>
    <cellStyle name="20% - Accent6 2 2 2 5 3 2" xfId="36487" xr:uid="{00000000-0005-0000-0000-0000ED400000}"/>
    <cellStyle name="20% - Accent6 2 2 2 5 4" xfId="25186" xr:uid="{00000000-0005-0000-0000-0000EE400000}"/>
    <cellStyle name="20% - Accent6 2 2 2 6" xfId="4183" xr:uid="{00000000-0005-0000-0000-0000EF400000}"/>
    <cellStyle name="20% - Accent6 2 2 2 6 2" xfId="9833" xr:uid="{00000000-0005-0000-0000-0000F0400000}"/>
    <cellStyle name="20% - Accent6 2 2 2 6 2 2" xfId="21134" xr:uid="{00000000-0005-0000-0000-0000F1400000}"/>
    <cellStyle name="20% - Accent6 2 2 2 6 2 2 2" xfId="43736" xr:uid="{00000000-0005-0000-0000-0000F2400000}"/>
    <cellStyle name="20% - Accent6 2 2 2 6 2 3" xfId="32435" xr:uid="{00000000-0005-0000-0000-0000F3400000}"/>
    <cellStyle name="20% - Accent6 2 2 2 6 3" xfId="15484" xr:uid="{00000000-0005-0000-0000-0000F4400000}"/>
    <cellStyle name="20% - Accent6 2 2 2 6 3 2" xfId="38086" xr:uid="{00000000-0005-0000-0000-0000F5400000}"/>
    <cellStyle name="20% - Accent6 2 2 2 6 4" xfId="26785" xr:uid="{00000000-0005-0000-0000-0000F6400000}"/>
    <cellStyle name="20% - Accent6 2 2 2 7" xfId="6663" xr:uid="{00000000-0005-0000-0000-0000F7400000}"/>
    <cellStyle name="20% - Accent6 2 2 2 7 2" xfId="17964" xr:uid="{00000000-0005-0000-0000-0000F8400000}"/>
    <cellStyle name="20% - Accent6 2 2 2 7 2 2" xfId="40566" xr:uid="{00000000-0005-0000-0000-0000F9400000}"/>
    <cellStyle name="20% - Accent6 2 2 2 7 3" xfId="29265" xr:uid="{00000000-0005-0000-0000-0000FA400000}"/>
    <cellStyle name="20% - Accent6 2 2 2 8" xfId="12314" xr:uid="{00000000-0005-0000-0000-0000FB400000}"/>
    <cellStyle name="20% - Accent6 2 2 2 8 2" xfId="34916" xr:uid="{00000000-0005-0000-0000-0000FC400000}"/>
    <cellStyle name="20% - Accent6 2 2 2 9" xfId="23615" xr:uid="{00000000-0005-0000-0000-0000FD400000}"/>
    <cellStyle name="20% - Accent6 2 2 3" xfId="1170" xr:uid="{00000000-0005-0000-0000-0000FE400000}"/>
    <cellStyle name="20% - Accent6 2 2 3 2" xfId="1770" xr:uid="{00000000-0005-0000-0000-0000FF400000}"/>
    <cellStyle name="20% - Accent6 2 2 3 2 2" xfId="3238" xr:uid="{00000000-0005-0000-0000-000000410000}"/>
    <cellStyle name="20% - Accent6 2 2 3 2 2 2" xfId="6210" xr:uid="{00000000-0005-0000-0000-000001410000}"/>
    <cellStyle name="20% - Accent6 2 2 3 2 2 2 2" xfId="11860" xr:uid="{00000000-0005-0000-0000-000002410000}"/>
    <cellStyle name="20% - Accent6 2 2 3 2 2 2 2 2" xfId="23161" xr:uid="{00000000-0005-0000-0000-000003410000}"/>
    <cellStyle name="20% - Accent6 2 2 3 2 2 2 2 2 2" xfId="45763" xr:uid="{00000000-0005-0000-0000-000004410000}"/>
    <cellStyle name="20% - Accent6 2 2 3 2 2 2 2 3" xfId="34462" xr:uid="{00000000-0005-0000-0000-000005410000}"/>
    <cellStyle name="20% - Accent6 2 2 3 2 2 2 3" xfId="17511" xr:uid="{00000000-0005-0000-0000-000006410000}"/>
    <cellStyle name="20% - Accent6 2 2 3 2 2 2 3 2" xfId="40113" xr:uid="{00000000-0005-0000-0000-000007410000}"/>
    <cellStyle name="20% - Accent6 2 2 3 2 2 2 4" xfId="28812" xr:uid="{00000000-0005-0000-0000-000008410000}"/>
    <cellStyle name="20% - Accent6 2 2 3 2 2 3" xfId="9028" xr:uid="{00000000-0005-0000-0000-000009410000}"/>
    <cellStyle name="20% - Accent6 2 2 3 2 2 3 2" xfId="20329" xr:uid="{00000000-0005-0000-0000-00000A410000}"/>
    <cellStyle name="20% - Accent6 2 2 3 2 2 3 2 2" xfId="42931" xr:uid="{00000000-0005-0000-0000-00000B410000}"/>
    <cellStyle name="20% - Accent6 2 2 3 2 2 3 3" xfId="31630" xr:uid="{00000000-0005-0000-0000-00000C410000}"/>
    <cellStyle name="20% - Accent6 2 2 3 2 2 4" xfId="14679" xr:uid="{00000000-0005-0000-0000-00000D410000}"/>
    <cellStyle name="20% - Accent6 2 2 3 2 2 4 2" xfId="37281" xr:uid="{00000000-0005-0000-0000-00000E410000}"/>
    <cellStyle name="20% - Accent6 2 2 3 2 2 5" xfId="25980" xr:uid="{00000000-0005-0000-0000-00000F410000}"/>
    <cellStyle name="20% - Accent6 2 2 3 2 3" xfId="4976" xr:uid="{00000000-0005-0000-0000-000010410000}"/>
    <cellStyle name="20% - Accent6 2 2 3 2 3 2" xfId="10626" xr:uid="{00000000-0005-0000-0000-000011410000}"/>
    <cellStyle name="20% - Accent6 2 2 3 2 3 2 2" xfId="21927" xr:uid="{00000000-0005-0000-0000-000012410000}"/>
    <cellStyle name="20% - Accent6 2 2 3 2 3 2 2 2" xfId="44529" xr:uid="{00000000-0005-0000-0000-000013410000}"/>
    <cellStyle name="20% - Accent6 2 2 3 2 3 2 3" xfId="33228" xr:uid="{00000000-0005-0000-0000-000014410000}"/>
    <cellStyle name="20% - Accent6 2 2 3 2 3 3" xfId="16277" xr:uid="{00000000-0005-0000-0000-000015410000}"/>
    <cellStyle name="20% - Accent6 2 2 3 2 3 3 2" xfId="38879" xr:uid="{00000000-0005-0000-0000-000016410000}"/>
    <cellStyle name="20% - Accent6 2 2 3 2 3 4" xfId="27578" xr:uid="{00000000-0005-0000-0000-000017410000}"/>
    <cellStyle name="20% - Accent6 2 2 3 2 4" xfId="7626" xr:uid="{00000000-0005-0000-0000-000018410000}"/>
    <cellStyle name="20% - Accent6 2 2 3 2 4 2" xfId="18927" xr:uid="{00000000-0005-0000-0000-000019410000}"/>
    <cellStyle name="20% - Accent6 2 2 3 2 4 2 2" xfId="41529" xr:uid="{00000000-0005-0000-0000-00001A410000}"/>
    <cellStyle name="20% - Accent6 2 2 3 2 4 3" xfId="30228" xr:uid="{00000000-0005-0000-0000-00001B410000}"/>
    <cellStyle name="20% - Accent6 2 2 3 2 5" xfId="13277" xr:uid="{00000000-0005-0000-0000-00001C410000}"/>
    <cellStyle name="20% - Accent6 2 2 3 2 5 2" xfId="35879" xr:uid="{00000000-0005-0000-0000-00001D410000}"/>
    <cellStyle name="20% - Accent6 2 2 3 2 6" xfId="24578" xr:uid="{00000000-0005-0000-0000-00001E410000}"/>
    <cellStyle name="20% - Accent6 2 2 3 3" xfId="2567" xr:uid="{00000000-0005-0000-0000-00001F410000}"/>
    <cellStyle name="20% - Accent6 2 2 3 3 2" xfId="5586" xr:uid="{00000000-0005-0000-0000-000020410000}"/>
    <cellStyle name="20% - Accent6 2 2 3 3 2 2" xfId="11236" xr:uid="{00000000-0005-0000-0000-000021410000}"/>
    <cellStyle name="20% - Accent6 2 2 3 3 2 2 2" xfId="22537" xr:uid="{00000000-0005-0000-0000-000022410000}"/>
    <cellStyle name="20% - Accent6 2 2 3 3 2 2 2 2" xfId="45139" xr:uid="{00000000-0005-0000-0000-000023410000}"/>
    <cellStyle name="20% - Accent6 2 2 3 3 2 2 3" xfId="33838" xr:uid="{00000000-0005-0000-0000-000024410000}"/>
    <cellStyle name="20% - Accent6 2 2 3 3 2 3" xfId="16887" xr:uid="{00000000-0005-0000-0000-000025410000}"/>
    <cellStyle name="20% - Accent6 2 2 3 3 2 3 2" xfId="39489" xr:uid="{00000000-0005-0000-0000-000026410000}"/>
    <cellStyle name="20% - Accent6 2 2 3 3 2 4" xfId="28188" xr:uid="{00000000-0005-0000-0000-000027410000}"/>
    <cellStyle name="20% - Accent6 2 2 3 3 3" xfId="8403" xr:uid="{00000000-0005-0000-0000-000028410000}"/>
    <cellStyle name="20% - Accent6 2 2 3 3 3 2" xfId="19704" xr:uid="{00000000-0005-0000-0000-000029410000}"/>
    <cellStyle name="20% - Accent6 2 2 3 3 3 2 2" xfId="42306" xr:uid="{00000000-0005-0000-0000-00002A410000}"/>
    <cellStyle name="20% - Accent6 2 2 3 3 3 3" xfId="31005" xr:uid="{00000000-0005-0000-0000-00002B410000}"/>
    <cellStyle name="20% - Accent6 2 2 3 3 4" xfId="14054" xr:uid="{00000000-0005-0000-0000-00002C410000}"/>
    <cellStyle name="20% - Accent6 2 2 3 3 4 2" xfId="36656" xr:uid="{00000000-0005-0000-0000-00002D410000}"/>
    <cellStyle name="20% - Accent6 2 2 3 3 5" xfId="25355" xr:uid="{00000000-0005-0000-0000-00002E410000}"/>
    <cellStyle name="20% - Accent6 2 2 3 4" xfId="4352" xr:uid="{00000000-0005-0000-0000-00002F410000}"/>
    <cellStyle name="20% - Accent6 2 2 3 4 2" xfId="10002" xr:uid="{00000000-0005-0000-0000-000030410000}"/>
    <cellStyle name="20% - Accent6 2 2 3 4 2 2" xfId="21303" xr:uid="{00000000-0005-0000-0000-000031410000}"/>
    <cellStyle name="20% - Accent6 2 2 3 4 2 2 2" xfId="43905" xr:uid="{00000000-0005-0000-0000-000032410000}"/>
    <cellStyle name="20% - Accent6 2 2 3 4 2 3" xfId="32604" xr:uid="{00000000-0005-0000-0000-000033410000}"/>
    <cellStyle name="20% - Accent6 2 2 3 4 3" xfId="15653" xr:uid="{00000000-0005-0000-0000-000034410000}"/>
    <cellStyle name="20% - Accent6 2 2 3 4 3 2" xfId="38255" xr:uid="{00000000-0005-0000-0000-000035410000}"/>
    <cellStyle name="20% - Accent6 2 2 3 4 4" xfId="26954" xr:uid="{00000000-0005-0000-0000-000036410000}"/>
    <cellStyle name="20% - Accent6 2 2 3 5" xfId="7149" xr:uid="{00000000-0005-0000-0000-000037410000}"/>
    <cellStyle name="20% - Accent6 2 2 3 5 2" xfId="18450" xr:uid="{00000000-0005-0000-0000-000038410000}"/>
    <cellStyle name="20% - Accent6 2 2 3 5 2 2" xfId="41052" xr:uid="{00000000-0005-0000-0000-000039410000}"/>
    <cellStyle name="20% - Accent6 2 2 3 5 3" xfId="29751" xr:uid="{00000000-0005-0000-0000-00003A410000}"/>
    <cellStyle name="20% - Accent6 2 2 3 6" xfId="12800" xr:uid="{00000000-0005-0000-0000-00003B410000}"/>
    <cellStyle name="20% - Accent6 2 2 3 6 2" xfId="35402" xr:uid="{00000000-0005-0000-0000-00003C410000}"/>
    <cellStyle name="20% - Accent6 2 2 3 7" xfId="24101" xr:uid="{00000000-0005-0000-0000-00003D410000}"/>
    <cellStyle name="20% - Accent6 2 2 4" xfId="850" xr:uid="{00000000-0005-0000-0000-00003E410000}"/>
    <cellStyle name="20% - Accent6 2 2 4 2" xfId="2931" xr:uid="{00000000-0005-0000-0000-00003F410000}"/>
    <cellStyle name="20% - Accent6 2 2 4 2 2" xfId="5903" xr:uid="{00000000-0005-0000-0000-000040410000}"/>
    <cellStyle name="20% - Accent6 2 2 4 2 2 2" xfId="11553" xr:uid="{00000000-0005-0000-0000-000041410000}"/>
    <cellStyle name="20% - Accent6 2 2 4 2 2 2 2" xfId="22854" xr:uid="{00000000-0005-0000-0000-000042410000}"/>
    <cellStyle name="20% - Accent6 2 2 4 2 2 2 2 2" xfId="45456" xr:uid="{00000000-0005-0000-0000-000043410000}"/>
    <cellStyle name="20% - Accent6 2 2 4 2 2 2 3" xfId="34155" xr:uid="{00000000-0005-0000-0000-000044410000}"/>
    <cellStyle name="20% - Accent6 2 2 4 2 2 3" xfId="17204" xr:uid="{00000000-0005-0000-0000-000045410000}"/>
    <cellStyle name="20% - Accent6 2 2 4 2 2 3 2" xfId="39806" xr:uid="{00000000-0005-0000-0000-000046410000}"/>
    <cellStyle name="20% - Accent6 2 2 4 2 2 4" xfId="28505" xr:uid="{00000000-0005-0000-0000-000047410000}"/>
    <cellStyle name="20% - Accent6 2 2 4 2 3" xfId="8721" xr:uid="{00000000-0005-0000-0000-000048410000}"/>
    <cellStyle name="20% - Accent6 2 2 4 2 3 2" xfId="20022" xr:uid="{00000000-0005-0000-0000-000049410000}"/>
    <cellStyle name="20% - Accent6 2 2 4 2 3 2 2" xfId="42624" xr:uid="{00000000-0005-0000-0000-00004A410000}"/>
    <cellStyle name="20% - Accent6 2 2 4 2 3 3" xfId="31323" xr:uid="{00000000-0005-0000-0000-00004B410000}"/>
    <cellStyle name="20% - Accent6 2 2 4 2 4" xfId="14372" xr:uid="{00000000-0005-0000-0000-00004C410000}"/>
    <cellStyle name="20% - Accent6 2 2 4 2 4 2" xfId="36974" xr:uid="{00000000-0005-0000-0000-00004D410000}"/>
    <cellStyle name="20% - Accent6 2 2 4 2 5" xfId="25673" xr:uid="{00000000-0005-0000-0000-00004E410000}"/>
    <cellStyle name="20% - Accent6 2 2 4 3" xfId="4669" xr:uid="{00000000-0005-0000-0000-00004F410000}"/>
    <cellStyle name="20% - Accent6 2 2 4 3 2" xfId="10319" xr:uid="{00000000-0005-0000-0000-000050410000}"/>
    <cellStyle name="20% - Accent6 2 2 4 3 2 2" xfId="21620" xr:uid="{00000000-0005-0000-0000-000051410000}"/>
    <cellStyle name="20% - Accent6 2 2 4 3 2 2 2" xfId="44222" xr:uid="{00000000-0005-0000-0000-000052410000}"/>
    <cellStyle name="20% - Accent6 2 2 4 3 2 3" xfId="32921" xr:uid="{00000000-0005-0000-0000-000053410000}"/>
    <cellStyle name="20% - Accent6 2 2 4 3 3" xfId="15970" xr:uid="{00000000-0005-0000-0000-000054410000}"/>
    <cellStyle name="20% - Accent6 2 2 4 3 3 2" xfId="38572" xr:uid="{00000000-0005-0000-0000-000055410000}"/>
    <cellStyle name="20% - Accent6 2 2 4 3 4" xfId="27271" xr:uid="{00000000-0005-0000-0000-000056410000}"/>
    <cellStyle name="20% - Accent6 2 2 4 4" xfId="6855" xr:uid="{00000000-0005-0000-0000-000057410000}"/>
    <cellStyle name="20% - Accent6 2 2 4 4 2" xfId="18156" xr:uid="{00000000-0005-0000-0000-000058410000}"/>
    <cellStyle name="20% - Accent6 2 2 4 4 2 2" xfId="40758" xr:uid="{00000000-0005-0000-0000-000059410000}"/>
    <cellStyle name="20% - Accent6 2 2 4 4 3" xfId="29457" xr:uid="{00000000-0005-0000-0000-00005A410000}"/>
    <cellStyle name="20% - Accent6 2 2 4 5" xfId="12506" xr:uid="{00000000-0005-0000-0000-00005B410000}"/>
    <cellStyle name="20% - Accent6 2 2 4 5 2" xfId="35108" xr:uid="{00000000-0005-0000-0000-00005C410000}"/>
    <cellStyle name="20% - Accent6 2 2 4 6" xfId="23807" xr:uid="{00000000-0005-0000-0000-00005D410000}"/>
    <cellStyle name="20% - Accent6 2 2 5" xfId="1767" xr:uid="{00000000-0005-0000-0000-00005E410000}"/>
    <cellStyle name="20% - Accent6 2 2 5 2" xfId="3682" xr:uid="{00000000-0005-0000-0000-00005F410000}"/>
    <cellStyle name="20% - Accent6 2 2 5 2 2" xfId="9393" xr:uid="{00000000-0005-0000-0000-000060410000}"/>
    <cellStyle name="20% - Accent6 2 2 5 2 2 2" xfId="20694" xr:uid="{00000000-0005-0000-0000-000061410000}"/>
    <cellStyle name="20% - Accent6 2 2 5 2 2 2 2" xfId="43296" xr:uid="{00000000-0005-0000-0000-000062410000}"/>
    <cellStyle name="20% - Accent6 2 2 5 2 2 3" xfId="31995" xr:uid="{00000000-0005-0000-0000-000063410000}"/>
    <cellStyle name="20% - Accent6 2 2 5 2 3" xfId="15044" xr:uid="{00000000-0005-0000-0000-000064410000}"/>
    <cellStyle name="20% - Accent6 2 2 5 2 3 2" xfId="37646" xr:uid="{00000000-0005-0000-0000-000065410000}"/>
    <cellStyle name="20% - Accent6 2 2 5 2 4" xfId="26345" xr:uid="{00000000-0005-0000-0000-000066410000}"/>
    <cellStyle name="20% - Accent6 2 2 5 3" xfId="5279" xr:uid="{00000000-0005-0000-0000-000067410000}"/>
    <cellStyle name="20% - Accent6 2 2 5 3 2" xfId="10929" xr:uid="{00000000-0005-0000-0000-000068410000}"/>
    <cellStyle name="20% - Accent6 2 2 5 3 2 2" xfId="22230" xr:uid="{00000000-0005-0000-0000-000069410000}"/>
    <cellStyle name="20% - Accent6 2 2 5 3 2 2 2" xfId="44832" xr:uid="{00000000-0005-0000-0000-00006A410000}"/>
    <cellStyle name="20% - Accent6 2 2 5 3 2 3" xfId="33531" xr:uid="{00000000-0005-0000-0000-00006B410000}"/>
    <cellStyle name="20% - Accent6 2 2 5 3 3" xfId="16580" xr:uid="{00000000-0005-0000-0000-00006C410000}"/>
    <cellStyle name="20% - Accent6 2 2 5 3 3 2" xfId="39182" xr:uid="{00000000-0005-0000-0000-00006D410000}"/>
    <cellStyle name="20% - Accent6 2 2 5 3 4" xfId="27881" xr:uid="{00000000-0005-0000-0000-00006E410000}"/>
    <cellStyle name="20% - Accent6 2 2 5 4" xfId="7623" xr:uid="{00000000-0005-0000-0000-00006F410000}"/>
    <cellStyle name="20% - Accent6 2 2 5 4 2" xfId="18924" xr:uid="{00000000-0005-0000-0000-000070410000}"/>
    <cellStyle name="20% - Accent6 2 2 5 4 2 2" xfId="41526" xr:uid="{00000000-0005-0000-0000-000071410000}"/>
    <cellStyle name="20% - Accent6 2 2 5 4 3" xfId="30225" xr:uid="{00000000-0005-0000-0000-000072410000}"/>
    <cellStyle name="20% - Accent6 2 2 5 5" xfId="13274" xr:uid="{00000000-0005-0000-0000-000073410000}"/>
    <cellStyle name="20% - Accent6 2 2 5 5 2" xfId="35876" xr:uid="{00000000-0005-0000-0000-000074410000}"/>
    <cellStyle name="20% - Accent6 2 2 5 6" xfId="24575" xr:uid="{00000000-0005-0000-0000-000075410000}"/>
    <cellStyle name="20% - Accent6 2 2 6" xfId="2253" xr:uid="{00000000-0005-0000-0000-000076410000}"/>
    <cellStyle name="20% - Accent6 2 2 6 2" xfId="8093" xr:uid="{00000000-0005-0000-0000-000077410000}"/>
    <cellStyle name="20% - Accent6 2 2 6 2 2" xfId="19394" xr:uid="{00000000-0005-0000-0000-000078410000}"/>
    <cellStyle name="20% - Accent6 2 2 6 2 2 2" xfId="41996" xr:uid="{00000000-0005-0000-0000-000079410000}"/>
    <cellStyle name="20% - Accent6 2 2 6 2 3" xfId="30695" xr:uid="{00000000-0005-0000-0000-00007A410000}"/>
    <cellStyle name="20% - Accent6 2 2 6 3" xfId="13744" xr:uid="{00000000-0005-0000-0000-00007B410000}"/>
    <cellStyle name="20% - Accent6 2 2 6 3 2" xfId="36346" xr:uid="{00000000-0005-0000-0000-00007C410000}"/>
    <cellStyle name="20% - Accent6 2 2 6 4" xfId="25045" xr:uid="{00000000-0005-0000-0000-00007D410000}"/>
    <cellStyle name="20% - Accent6 2 2 7" xfId="4045" xr:uid="{00000000-0005-0000-0000-00007E410000}"/>
    <cellStyle name="20% - Accent6 2 2 7 2" xfId="9695" xr:uid="{00000000-0005-0000-0000-00007F410000}"/>
    <cellStyle name="20% - Accent6 2 2 7 2 2" xfId="20996" xr:uid="{00000000-0005-0000-0000-000080410000}"/>
    <cellStyle name="20% - Accent6 2 2 7 2 2 2" xfId="43598" xr:uid="{00000000-0005-0000-0000-000081410000}"/>
    <cellStyle name="20% - Accent6 2 2 7 2 3" xfId="32297" xr:uid="{00000000-0005-0000-0000-000082410000}"/>
    <cellStyle name="20% - Accent6 2 2 7 3" xfId="15346" xr:uid="{00000000-0005-0000-0000-000083410000}"/>
    <cellStyle name="20% - Accent6 2 2 7 3 2" xfId="37948" xr:uid="{00000000-0005-0000-0000-000084410000}"/>
    <cellStyle name="20% - Accent6 2 2 7 4" xfId="26647" xr:uid="{00000000-0005-0000-0000-000085410000}"/>
    <cellStyle name="20% - Accent6 2 2 8" xfId="6496" xr:uid="{00000000-0005-0000-0000-000086410000}"/>
    <cellStyle name="20% - Accent6 2 2 8 2" xfId="17797" xr:uid="{00000000-0005-0000-0000-000087410000}"/>
    <cellStyle name="20% - Accent6 2 2 8 2 2" xfId="40399" xr:uid="{00000000-0005-0000-0000-000088410000}"/>
    <cellStyle name="20% - Accent6 2 2 8 3" xfId="29098" xr:uid="{00000000-0005-0000-0000-000089410000}"/>
    <cellStyle name="20% - Accent6 2 2 9" xfId="12147" xr:uid="{00000000-0005-0000-0000-00008A410000}"/>
    <cellStyle name="20% - Accent6 2 2 9 2" xfId="34749" xr:uid="{00000000-0005-0000-0000-00008B410000}"/>
    <cellStyle name="20% - Accent6 2 3" xfId="2814" xr:uid="{00000000-0005-0000-0000-00008C410000}"/>
    <cellStyle name="20% - Accent6 2 3 2" xfId="3907" xr:uid="{00000000-0005-0000-0000-00008D410000}"/>
    <cellStyle name="20% - Accent6 2 3 2 2" xfId="5829" xr:uid="{00000000-0005-0000-0000-00008E410000}"/>
    <cellStyle name="20% - Accent6 2 3 2 2 2" xfId="11479" xr:uid="{00000000-0005-0000-0000-00008F410000}"/>
    <cellStyle name="20% - Accent6 2 3 2 2 2 2" xfId="22780" xr:uid="{00000000-0005-0000-0000-000090410000}"/>
    <cellStyle name="20% - Accent6 2 3 2 2 2 2 2" xfId="45382" xr:uid="{00000000-0005-0000-0000-000091410000}"/>
    <cellStyle name="20% - Accent6 2 3 2 2 2 3" xfId="34081" xr:uid="{00000000-0005-0000-0000-000092410000}"/>
    <cellStyle name="20% - Accent6 2 3 2 2 3" xfId="17130" xr:uid="{00000000-0005-0000-0000-000093410000}"/>
    <cellStyle name="20% - Accent6 2 3 2 2 3 2" xfId="39732" xr:uid="{00000000-0005-0000-0000-000094410000}"/>
    <cellStyle name="20% - Accent6 2 3 2 2 4" xfId="28431" xr:uid="{00000000-0005-0000-0000-000095410000}"/>
    <cellStyle name="20% - Accent6 2 3 2 3" xfId="9605" xr:uid="{00000000-0005-0000-0000-000096410000}"/>
    <cellStyle name="20% - Accent6 2 3 2 3 2" xfId="20906" xr:uid="{00000000-0005-0000-0000-000097410000}"/>
    <cellStyle name="20% - Accent6 2 3 2 3 2 2" xfId="43508" xr:uid="{00000000-0005-0000-0000-000098410000}"/>
    <cellStyle name="20% - Accent6 2 3 2 3 3" xfId="32207" xr:uid="{00000000-0005-0000-0000-000099410000}"/>
    <cellStyle name="20% - Accent6 2 3 2 4" xfId="15256" xr:uid="{00000000-0005-0000-0000-00009A410000}"/>
    <cellStyle name="20% - Accent6 2 3 2 4 2" xfId="37858" xr:uid="{00000000-0005-0000-0000-00009B410000}"/>
    <cellStyle name="20% - Accent6 2 3 2 5" xfId="26557" xr:uid="{00000000-0005-0000-0000-00009C410000}"/>
    <cellStyle name="20% - Accent6 2 3 3" xfId="4595" xr:uid="{00000000-0005-0000-0000-00009D410000}"/>
    <cellStyle name="20% - Accent6 2 3 3 2" xfId="10245" xr:uid="{00000000-0005-0000-0000-00009E410000}"/>
    <cellStyle name="20% - Accent6 2 3 3 2 2" xfId="21546" xr:uid="{00000000-0005-0000-0000-00009F410000}"/>
    <cellStyle name="20% - Accent6 2 3 3 2 2 2" xfId="44148" xr:uid="{00000000-0005-0000-0000-0000A0410000}"/>
    <cellStyle name="20% - Accent6 2 3 3 2 3" xfId="32847" xr:uid="{00000000-0005-0000-0000-0000A1410000}"/>
    <cellStyle name="20% - Accent6 2 3 3 3" xfId="15896" xr:uid="{00000000-0005-0000-0000-0000A2410000}"/>
    <cellStyle name="20% - Accent6 2 3 3 3 2" xfId="38498" xr:uid="{00000000-0005-0000-0000-0000A3410000}"/>
    <cellStyle name="20% - Accent6 2 3 3 4" xfId="27197" xr:uid="{00000000-0005-0000-0000-0000A4410000}"/>
    <cellStyle name="20% - Accent6 2 3 4" xfId="8647" xr:uid="{00000000-0005-0000-0000-0000A5410000}"/>
    <cellStyle name="20% - Accent6 2 3 4 2" xfId="19948" xr:uid="{00000000-0005-0000-0000-0000A6410000}"/>
    <cellStyle name="20% - Accent6 2 3 4 2 2" xfId="42550" xr:uid="{00000000-0005-0000-0000-0000A7410000}"/>
    <cellStyle name="20% - Accent6 2 3 4 3" xfId="31249" xr:uid="{00000000-0005-0000-0000-0000A8410000}"/>
    <cellStyle name="20% - Accent6 2 3 5" xfId="14298" xr:uid="{00000000-0005-0000-0000-0000A9410000}"/>
    <cellStyle name="20% - Accent6 2 3 5 2" xfId="36900" xr:uid="{00000000-0005-0000-0000-0000AA410000}"/>
    <cellStyle name="20% - Accent6 2 3 6" xfId="25599" xr:uid="{00000000-0005-0000-0000-0000AB410000}"/>
    <cellStyle name="20% - Accent6 2 4" xfId="2836" xr:uid="{00000000-0005-0000-0000-0000AC410000}"/>
    <cellStyle name="20% - Accent6 2 5" xfId="3912" xr:uid="{00000000-0005-0000-0000-0000AD410000}"/>
    <cellStyle name="20% - Accent6 2 5 2" xfId="9607" xr:uid="{00000000-0005-0000-0000-0000AE410000}"/>
    <cellStyle name="20% - Accent6 2 5 2 2" xfId="20908" xr:uid="{00000000-0005-0000-0000-0000AF410000}"/>
    <cellStyle name="20% - Accent6 2 5 2 2 2" xfId="43510" xr:uid="{00000000-0005-0000-0000-0000B0410000}"/>
    <cellStyle name="20% - Accent6 2 5 2 3" xfId="32209" xr:uid="{00000000-0005-0000-0000-0000B1410000}"/>
    <cellStyle name="20% - Accent6 2 5 3" xfId="15258" xr:uid="{00000000-0005-0000-0000-0000B2410000}"/>
    <cellStyle name="20% - Accent6 2 5 3 2" xfId="37860" xr:uid="{00000000-0005-0000-0000-0000B3410000}"/>
    <cellStyle name="20% - Accent6 2 5 4" xfId="26559" xr:uid="{00000000-0005-0000-0000-0000B4410000}"/>
    <cellStyle name="20% - Accent6 2 6" xfId="3592" xr:uid="{00000000-0005-0000-0000-0000B5410000}"/>
    <cellStyle name="20% - Accent6 2 7" xfId="156" xr:uid="{00000000-0005-0000-0000-0000B6410000}"/>
    <cellStyle name="20% - Accent6 3" xfId="230" xr:uid="{00000000-0005-0000-0000-0000B7410000}"/>
    <cellStyle name="20% - Accent6 3 2" xfId="354" xr:uid="{00000000-0005-0000-0000-0000B8410000}"/>
    <cellStyle name="20% - Accent6 3 2 10" xfId="23463" xr:uid="{00000000-0005-0000-0000-0000B9410000}"/>
    <cellStyle name="20% - Accent6 3 2 2" xfId="613" xr:uid="{00000000-0005-0000-0000-0000BA410000}"/>
    <cellStyle name="20% - Accent6 3 2 2 2" xfId="1323" xr:uid="{00000000-0005-0000-0000-0000BB410000}"/>
    <cellStyle name="20% - Accent6 3 2 2 2 2" xfId="1773" xr:uid="{00000000-0005-0000-0000-0000BC410000}"/>
    <cellStyle name="20% - Accent6 3 2 2 2 2 2" xfId="3392" xr:uid="{00000000-0005-0000-0000-0000BD410000}"/>
    <cellStyle name="20% - Accent6 3 2 2 2 2 2 2" xfId="6364" xr:uid="{00000000-0005-0000-0000-0000BE410000}"/>
    <cellStyle name="20% - Accent6 3 2 2 2 2 2 2 2" xfId="12014" xr:uid="{00000000-0005-0000-0000-0000BF410000}"/>
    <cellStyle name="20% - Accent6 3 2 2 2 2 2 2 2 2" xfId="23315" xr:uid="{00000000-0005-0000-0000-0000C0410000}"/>
    <cellStyle name="20% - Accent6 3 2 2 2 2 2 2 2 2 2" xfId="45917" xr:uid="{00000000-0005-0000-0000-0000C1410000}"/>
    <cellStyle name="20% - Accent6 3 2 2 2 2 2 2 2 3" xfId="34616" xr:uid="{00000000-0005-0000-0000-0000C2410000}"/>
    <cellStyle name="20% - Accent6 3 2 2 2 2 2 2 3" xfId="17665" xr:uid="{00000000-0005-0000-0000-0000C3410000}"/>
    <cellStyle name="20% - Accent6 3 2 2 2 2 2 2 3 2" xfId="40267" xr:uid="{00000000-0005-0000-0000-0000C4410000}"/>
    <cellStyle name="20% - Accent6 3 2 2 2 2 2 2 4" xfId="28966" xr:uid="{00000000-0005-0000-0000-0000C5410000}"/>
    <cellStyle name="20% - Accent6 3 2 2 2 2 2 3" xfId="9182" xr:uid="{00000000-0005-0000-0000-0000C6410000}"/>
    <cellStyle name="20% - Accent6 3 2 2 2 2 2 3 2" xfId="20483" xr:uid="{00000000-0005-0000-0000-0000C7410000}"/>
    <cellStyle name="20% - Accent6 3 2 2 2 2 2 3 2 2" xfId="43085" xr:uid="{00000000-0005-0000-0000-0000C8410000}"/>
    <cellStyle name="20% - Accent6 3 2 2 2 2 2 3 3" xfId="31784" xr:uid="{00000000-0005-0000-0000-0000C9410000}"/>
    <cellStyle name="20% - Accent6 3 2 2 2 2 2 4" xfId="14833" xr:uid="{00000000-0005-0000-0000-0000CA410000}"/>
    <cellStyle name="20% - Accent6 3 2 2 2 2 2 4 2" xfId="37435" xr:uid="{00000000-0005-0000-0000-0000CB410000}"/>
    <cellStyle name="20% - Accent6 3 2 2 2 2 2 5" xfId="26134" xr:uid="{00000000-0005-0000-0000-0000CC410000}"/>
    <cellStyle name="20% - Accent6 3 2 2 2 2 3" xfId="5130" xr:uid="{00000000-0005-0000-0000-0000CD410000}"/>
    <cellStyle name="20% - Accent6 3 2 2 2 2 3 2" xfId="10780" xr:uid="{00000000-0005-0000-0000-0000CE410000}"/>
    <cellStyle name="20% - Accent6 3 2 2 2 2 3 2 2" xfId="22081" xr:uid="{00000000-0005-0000-0000-0000CF410000}"/>
    <cellStyle name="20% - Accent6 3 2 2 2 2 3 2 2 2" xfId="44683" xr:uid="{00000000-0005-0000-0000-0000D0410000}"/>
    <cellStyle name="20% - Accent6 3 2 2 2 2 3 2 3" xfId="33382" xr:uid="{00000000-0005-0000-0000-0000D1410000}"/>
    <cellStyle name="20% - Accent6 3 2 2 2 2 3 3" xfId="16431" xr:uid="{00000000-0005-0000-0000-0000D2410000}"/>
    <cellStyle name="20% - Accent6 3 2 2 2 2 3 3 2" xfId="39033" xr:uid="{00000000-0005-0000-0000-0000D3410000}"/>
    <cellStyle name="20% - Accent6 3 2 2 2 2 3 4" xfId="27732" xr:uid="{00000000-0005-0000-0000-0000D4410000}"/>
    <cellStyle name="20% - Accent6 3 2 2 2 2 4" xfId="7629" xr:uid="{00000000-0005-0000-0000-0000D5410000}"/>
    <cellStyle name="20% - Accent6 3 2 2 2 2 4 2" xfId="18930" xr:uid="{00000000-0005-0000-0000-0000D6410000}"/>
    <cellStyle name="20% - Accent6 3 2 2 2 2 4 2 2" xfId="41532" xr:uid="{00000000-0005-0000-0000-0000D7410000}"/>
    <cellStyle name="20% - Accent6 3 2 2 2 2 4 3" xfId="30231" xr:uid="{00000000-0005-0000-0000-0000D8410000}"/>
    <cellStyle name="20% - Accent6 3 2 2 2 2 5" xfId="13280" xr:uid="{00000000-0005-0000-0000-0000D9410000}"/>
    <cellStyle name="20% - Accent6 3 2 2 2 2 5 2" xfId="35882" xr:uid="{00000000-0005-0000-0000-0000DA410000}"/>
    <cellStyle name="20% - Accent6 3 2 2 2 2 6" xfId="24581" xr:uid="{00000000-0005-0000-0000-0000DB410000}"/>
    <cellStyle name="20% - Accent6 3 2 2 2 3" xfId="2721" xr:uid="{00000000-0005-0000-0000-0000DC410000}"/>
    <cellStyle name="20% - Accent6 3 2 2 2 3 2" xfId="5740" xr:uid="{00000000-0005-0000-0000-0000DD410000}"/>
    <cellStyle name="20% - Accent6 3 2 2 2 3 2 2" xfId="11390" xr:uid="{00000000-0005-0000-0000-0000DE410000}"/>
    <cellStyle name="20% - Accent6 3 2 2 2 3 2 2 2" xfId="22691" xr:uid="{00000000-0005-0000-0000-0000DF410000}"/>
    <cellStyle name="20% - Accent6 3 2 2 2 3 2 2 2 2" xfId="45293" xr:uid="{00000000-0005-0000-0000-0000E0410000}"/>
    <cellStyle name="20% - Accent6 3 2 2 2 3 2 2 3" xfId="33992" xr:uid="{00000000-0005-0000-0000-0000E1410000}"/>
    <cellStyle name="20% - Accent6 3 2 2 2 3 2 3" xfId="17041" xr:uid="{00000000-0005-0000-0000-0000E2410000}"/>
    <cellStyle name="20% - Accent6 3 2 2 2 3 2 3 2" xfId="39643" xr:uid="{00000000-0005-0000-0000-0000E3410000}"/>
    <cellStyle name="20% - Accent6 3 2 2 2 3 2 4" xfId="28342" xr:uid="{00000000-0005-0000-0000-0000E4410000}"/>
    <cellStyle name="20% - Accent6 3 2 2 2 3 3" xfId="8557" xr:uid="{00000000-0005-0000-0000-0000E5410000}"/>
    <cellStyle name="20% - Accent6 3 2 2 2 3 3 2" xfId="19858" xr:uid="{00000000-0005-0000-0000-0000E6410000}"/>
    <cellStyle name="20% - Accent6 3 2 2 2 3 3 2 2" xfId="42460" xr:uid="{00000000-0005-0000-0000-0000E7410000}"/>
    <cellStyle name="20% - Accent6 3 2 2 2 3 3 3" xfId="31159" xr:uid="{00000000-0005-0000-0000-0000E8410000}"/>
    <cellStyle name="20% - Accent6 3 2 2 2 3 4" xfId="14208" xr:uid="{00000000-0005-0000-0000-0000E9410000}"/>
    <cellStyle name="20% - Accent6 3 2 2 2 3 4 2" xfId="36810" xr:uid="{00000000-0005-0000-0000-0000EA410000}"/>
    <cellStyle name="20% - Accent6 3 2 2 2 3 5" xfId="25509" xr:uid="{00000000-0005-0000-0000-0000EB410000}"/>
    <cellStyle name="20% - Accent6 3 2 2 2 4" xfId="4506" xr:uid="{00000000-0005-0000-0000-0000EC410000}"/>
    <cellStyle name="20% - Accent6 3 2 2 2 4 2" xfId="10156" xr:uid="{00000000-0005-0000-0000-0000ED410000}"/>
    <cellStyle name="20% - Accent6 3 2 2 2 4 2 2" xfId="21457" xr:uid="{00000000-0005-0000-0000-0000EE410000}"/>
    <cellStyle name="20% - Accent6 3 2 2 2 4 2 2 2" xfId="44059" xr:uid="{00000000-0005-0000-0000-0000EF410000}"/>
    <cellStyle name="20% - Accent6 3 2 2 2 4 2 3" xfId="32758" xr:uid="{00000000-0005-0000-0000-0000F0410000}"/>
    <cellStyle name="20% - Accent6 3 2 2 2 4 3" xfId="15807" xr:uid="{00000000-0005-0000-0000-0000F1410000}"/>
    <cellStyle name="20% - Accent6 3 2 2 2 4 3 2" xfId="38409" xr:uid="{00000000-0005-0000-0000-0000F2410000}"/>
    <cellStyle name="20% - Accent6 3 2 2 2 4 4" xfId="27108" xr:uid="{00000000-0005-0000-0000-0000F3410000}"/>
    <cellStyle name="20% - Accent6 3 2 2 2 5" xfId="7302" xr:uid="{00000000-0005-0000-0000-0000F4410000}"/>
    <cellStyle name="20% - Accent6 3 2 2 2 5 2" xfId="18603" xr:uid="{00000000-0005-0000-0000-0000F5410000}"/>
    <cellStyle name="20% - Accent6 3 2 2 2 5 2 2" xfId="41205" xr:uid="{00000000-0005-0000-0000-0000F6410000}"/>
    <cellStyle name="20% - Accent6 3 2 2 2 5 3" xfId="29904" xr:uid="{00000000-0005-0000-0000-0000F7410000}"/>
    <cellStyle name="20% - Accent6 3 2 2 2 6" xfId="12953" xr:uid="{00000000-0005-0000-0000-0000F8410000}"/>
    <cellStyle name="20% - Accent6 3 2 2 2 6 2" xfId="35555" xr:uid="{00000000-0005-0000-0000-0000F9410000}"/>
    <cellStyle name="20% - Accent6 3 2 2 2 7" xfId="24254" xr:uid="{00000000-0005-0000-0000-0000FA410000}"/>
    <cellStyle name="20% - Accent6 3 2 2 3" xfId="1021" xr:uid="{00000000-0005-0000-0000-0000FB410000}"/>
    <cellStyle name="20% - Accent6 3 2 2 3 2" xfId="3084" xr:uid="{00000000-0005-0000-0000-0000FC410000}"/>
    <cellStyle name="20% - Accent6 3 2 2 3 2 2" xfId="6056" xr:uid="{00000000-0005-0000-0000-0000FD410000}"/>
    <cellStyle name="20% - Accent6 3 2 2 3 2 2 2" xfId="11706" xr:uid="{00000000-0005-0000-0000-0000FE410000}"/>
    <cellStyle name="20% - Accent6 3 2 2 3 2 2 2 2" xfId="23007" xr:uid="{00000000-0005-0000-0000-0000FF410000}"/>
    <cellStyle name="20% - Accent6 3 2 2 3 2 2 2 2 2" xfId="45609" xr:uid="{00000000-0005-0000-0000-000000420000}"/>
    <cellStyle name="20% - Accent6 3 2 2 3 2 2 2 3" xfId="34308" xr:uid="{00000000-0005-0000-0000-000001420000}"/>
    <cellStyle name="20% - Accent6 3 2 2 3 2 2 3" xfId="17357" xr:uid="{00000000-0005-0000-0000-000002420000}"/>
    <cellStyle name="20% - Accent6 3 2 2 3 2 2 3 2" xfId="39959" xr:uid="{00000000-0005-0000-0000-000003420000}"/>
    <cellStyle name="20% - Accent6 3 2 2 3 2 2 4" xfId="28658" xr:uid="{00000000-0005-0000-0000-000004420000}"/>
    <cellStyle name="20% - Accent6 3 2 2 3 2 3" xfId="8874" xr:uid="{00000000-0005-0000-0000-000005420000}"/>
    <cellStyle name="20% - Accent6 3 2 2 3 2 3 2" xfId="20175" xr:uid="{00000000-0005-0000-0000-000006420000}"/>
    <cellStyle name="20% - Accent6 3 2 2 3 2 3 2 2" xfId="42777" xr:uid="{00000000-0005-0000-0000-000007420000}"/>
    <cellStyle name="20% - Accent6 3 2 2 3 2 3 3" xfId="31476" xr:uid="{00000000-0005-0000-0000-000008420000}"/>
    <cellStyle name="20% - Accent6 3 2 2 3 2 4" xfId="14525" xr:uid="{00000000-0005-0000-0000-000009420000}"/>
    <cellStyle name="20% - Accent6 3 2 2 3 2 4 2" xfId="37127" xr:uid="{00000000-0005-0000-0000-00000A420000}"/>
    <cellStyle name="20% - Accent6 3 2 2 3 2 5" xfId="25826" xr:uid="{00000000-0005-0000-0000-00000B420000}"/>
    <cellStyle name="20% - Accent6 3 2 2 3 3" xfId="4822" xr:uid="{00000000-0005-0000-0000-00000C420000}"/>
    <cellStyle name="20% - Accent6 3 2 2 3 3 2" xfId="10472" xr:uid="{00000000-0005-0000-0000-00000D420000}"/>
    <cellStyle name="20% - Accent6 3 2 2 3 3 2 2" xfId="21773" xr:uid="{00000000-0005-0000-0000-00000E420000}"/>
    <cellStyle name="20% - Accent6 3 2 2 3 3 2 2 2" xfId="44375" xr:uid="{00000000-0005-0000-0000-00000F420000}"/>
    <cellStyle name="20% - Accent6 3 2 2 3 3 2 3" xfId="33074" xr:uid="{00000000-0005-0000-0000-000010420000}"/>
    <cellStyle name="20% - Accent6 3 2 2 3 3 3" xfId="16123" xr:uid="{00000000-0005-0000-0000-000011420000}"/>
    <cellStyle name="20% - Accent6 3 2 2 3 3 3 2" xfId="38725" xr:uid="{00000000-0005-0000-0000-000012420000}"/>
    <cellStyle name="20% - Accent6 3 2 2 3 3 4" xfId="27424" xr:uid="{00000000-0005-0000-0000-000013420000}"/>
    <cellStyle name="20% - Accent6 3 2 2 3 4" xfId="7009" xr:uid="{00000000-0005-0000-0000-000014420000}"/>
    <cellStyle name="20% - Accent6 3 2 2 3 4 2" xfId="18310" xr:uid="{00000000-0005-0000-0000-000015420000}"/>
    <cellStyle name="20% - Accent6 3 2 2 3 4 2 2" xfId="40912" xr:uid="{00000000-0005-0000-0000-000016420000}"/>
    <cellStyle name="20% - Accent6 3 2 2 3 4 3" xfId="29611" xr:uid="{00000000-0005-0000-0000-000017420000}"/>
    <cellStyle name="20% - Accent6 3 2 2 3 5" xfId="12660" xr:uid="{00000000-0005-0000-0000-000018420000}"/>
    <cellStyle name="20% - Accent6 3 2 2 3 5 2" xfId="35262" xr:uid="{00000000-0005-0000-0000-000019420000}"/>
    <cellStyle name="20% - Accent6 3 2 2 3 6" xfId="23961" xr:uid="{00000000-0005-0000-0000-00001A420000}"/>
    <cellStyle name="20% - Accent6 3 2 2 4" xfId="1772" xr:uid="{00000000-0005-0000-0000-00001B420000}"/>
    <cellStyle name="20% - Accent6 3 2 2 4 2" xfId="3685" xr:uid="{00000000-0005-0000-0000-00001C420000}"/>
    <cellStyle name="20% - Accent6 3 2 2 4 2 2" xfId="9396" xr:uid="{00000000-0005-0000-0000-00001D420000}"/>
    <cellStyle name="20% - Accent6 3 2 2 4 2 2 2" xfId="20697" xr:uid="{00000000-0005-0000-0000-00001E420000}"/>
    <cellStyle name="20% - Accent6 3 2 2 4 2 2 2 2" xfId="43299" xr:uid="{00000000-0005-0000-0000-00001F420000}"/>
    <cellStyle name="20% - Accent6 3 2 2 4 2 2 3" xfId="31998" xr:uid="{00000000-0005-0000-0000-000020420000}"/>
    <cellStyle name="20% - Accent6 3 2 2 4 2 3" xfId="15047" xr:uid="{00000000-0005-0000-0000-000021420000}"/>
    <cellStyle name="20% - Accent6 3 2 2 4 2 3 2" xfId="37649" xr:uid="{00000000-0005-0000-0000-000022420000}"/>
    <cellStyle name="20% - Accent6 3 2 2 4 2 4" xfId="26348" xr:uid="{00000000-0005-0000-0000-000023420000}"/>
    <cellStyle name="20% - Accent6 3 2 2 4 3" xfId="5432" xr:uid="{00000000-0005-0000-0000-000024420000}"/>
    <cellStyle name="20% - Accent6 3 2 2 4 3 2" xfId="11082" xr:uid="{00000000-0005-0000-0000-000025420000}"/>
    <cellStyle name="20% - Accent6 3 2 2 4 3 2 2" xfId="22383" xr:uid="{00000000-0005-0000-0000-000026420000}"/>
    <cellStyle name="20% - Accent6 3 2 2 4 3 2 2 2" xfId="44985" xr:uid="{00000000-0005-0000-0000-000027420000}"/>
    <cellStyle name="20% - Accent6 3 2 2 4 3 2 3" xfId="33684" xr:uid="{00000000-0005-0000-0000-000028420000}"/>
    <cellStyle name="20% - Accent6 3 2 2 4 3 3" xfId="16733" xr:uid="{00000000-0005-0000-0000-000029420000}"/>
    <cellStyle name="20% - Accent6 3 2 2 4 3 3 2" xfId="39335" xr:uid="{00000000-0005-0000-0000-00002A420000}"/>
    <cellStyle name="20% - Accent6 3 2 2 4 3 4" xfId="28034" xr:uid="{00000000-0005-0000-0000-00002B420000}"/>
    <cellStyle name="20% - Accent6 3 2 2 4 4" xfId="7628" xr:uid="{00000000-0005-0000-0000-00002C420000}"/>
    <cellStyle name="20% - Accent6 3 2 2 4 4 2" xfId="18929" xr:uid="{00000000-0005-0000-0000-00002D420000}"/>
    <cellStyle name="20% - Accent6 3 2 2 4 4 2 2" xfId="41531" xr:uid="{00000000-0005-0000-0000-00002E420000}"/>
    <cellStyle name="20% - Accent6 3 2 2 4 4 3" xfId="30230" xr:uid="{00000000-0005-0000-0000-00002F420000}"/>
    <cellStyle name="20% - Accent6 3 2 2 4 5" xfId="13279" xr:uid="{00000000-0005-0000-0000-000030420000}"/>
    <cellStyle name="20% - Accent6 3 2 2 4 5 2" xfId="35881" xr:uid="{00000000-0005-0000-0000-000031420000}"/>
    <cellStyle name="20% - Accent6 3 2 2 4 6" xfId="24580" xr:uid="{00000000-0005-0000-0000-000032420000}"/>
    <cellStyle name="20% - Accent6 3 2 2 5" xfId="2413" xr:uid="{00000000-0005-0000-0000-000033420000}"/>
    <cellStyle name="20% - Accent6 3 2 2 5 2" xfId="8249" xr:uid="{00000000-0005-0000-0000-000034420000}"/>
    <cellStyle name="20% - Accent6 3 2 2 5 2 2" xfId="19550" xr:uid="{00000000-0005-0000-0000-000035420000}"/>
    <cellStyle name="20% - Accent6 3 2 2 5 2 2 2" xfId="42152" xr:uid="{00000000-0005-0000-0000-000036420000}"/>
    <cellStyle name="20% - Accent6 3 2 2 5 2 3" xfId="30851" xr:uid="{00000000-0005-0000-0000-000037420000}"/>
    <cellStyle name="20% - Accent6 3 2 2 5 3" xfId="13900" xr:uid="{00000000-0005-0000-0000-000038420000}"/>
    <cellStyle name="20% - Accent6 3 2 2 5 3 2" xfId="36502" xr:uid="{00000000-0005-0000-0000-000039420000}"/>
    <cellStyle name="20% - Accent6 3 2 2 5 4" xfId="25201" xr:uid="{00000000-0005-0000-0000-00003A420000}"/>
    <cellStyle name="20% - Accent6 3 2 2 6" xfId="4198" xr:uid="{00000000-0005-0000-0000-00003B420000}"/>
    <cellStyle name="20% - Accent6 3 2 2 6 2" xfId="9848" xr:uid="{00000000-0005-0000-0000-00003C420000}"/>
    <cellStyle name="20% - Accent6 3 2 2 6 2 2" xfId="21149" xr:uid="{00000000-0005-0000-0000-00003D420000}"/>
    <cellStyle name="20% - Accent6 3 2 2 6 2 2 2" xfId="43751" xr:uid="{00000000-0005-0000-0000-00003E420000}"/>
    <cellStyle name="20% - Accent6 3 2 2 6 2 3" xfId="32450" xr:uid="{00000000-0005-0000-0000-00003F420000}"/>
    <cellStyle name="20% - Accent6 3 2 2 6 3" xfId="15499" xr:uid="{00000000-0005-0000-0000-000040420000}"/>
    <cellStyle name="20% - Accent6 3 2 2 6 3 2" xfId="38101" xr:uid="{00000000-0005-0000-0000-000041420000}"/>
    <cellStyle name="20% - Accent6 3 2 2 6 4" xfId="26800" xr:uid="{00000000-0005-0000-0000-000042420000}"/>
    <cellStyle name="20% - Accent6 3 2 2 7" xfId="6678" xr:uid="{00000000-0005-0000-0000-000043420000}"/>
    <cellStyle name="20% - Accent6 3 2 2 7 2" xfId="17979" xr:uid="{00000000-0005-0000-0000-000044420000}"/>
    <cellStyle name="20% - Accent6 3 2 2 7 2 2" xfId="40581" xr:uid="{00000000-0005-0000-0000-000045420000}"/>
    <cellStyle name="20% - Accent6 3 2 2 7 3" xfId="29280" xr:uid="{00000000-0005-0000-0000-000046420000}"/>
    <cellStyle name="20% - Accent6 3 2 2 8" xfId="12329" xr:uid="{00000000-0005-0000-0000-000047420000}"/>
    <cellStyle name="20% - Accent6 3 2 2 8 2" xfId="34931" xr:uid="{00000000-0005-0000-0000-000048420000}"/>
    <cellStyle name="20% - Accent6 3 2 2 9" xfId="23630" xr:uid="{00000000-0005-0000-0000-000049420000}"/>
    <cellStyle name="20% - Accent6 3 2 3" xfId="1185" xr:uid="{00000000-0005-0000-0000-00004A420000}"/>
    <cellStyle name="20% - Accent6 3 2 3 2" xfId="1774" xr:uid="{00000000-0005-0000-0000-00004B420000}"/>
    <cellStyle name="20% - Accent6 3 2 3 2 2" xfId="3253" xr:uid="{00000000-0005-0000-0000-00004C420000}"/>
    <cellStyle name="20% - Accent6 3 2 3 2 2 2" xfId="6225" xr:uid="{00000000-0005-0000-0000-00004D420000}"/>
    <cellStyle name="20% - Accent6 3 2 3 2 2 2 2" xfId="11875" xr:uid="{00000000-0005-0000-0000-00004E420000}"/>
    <cellStyle name="20% - Accent6 3 2 3 2 2 2 2 2" xfId="23176" xr:uid="{00000000-0005-0000-0000-00004F420000}"/>
    <cellStyle name="20% - Accent6 3 2 3 2 2 2 2 2 2" xfId="45778" xr:uid="{00000000-0005-0000-0000-000050420000}"/>
    <cellStyle name="20% - Accent6 3 2 3 2 2 2 2 3" xfId="34477" xr:uid="{00000000-0005-0000-0000-000051420000}"/>
    <cellStyle name="20% - Accent6 3 2 3 2 2 2 3" xfId="17526" xr:uid="{00000000-0005-0000-0000-000052420000}"/>
    <cellStyle name="20% - Accent6 3 2 3 2 2 2 3 2" xfId="40128" xr:uid="{00000000-0005-0000-0000-000053420000}"/>
    <cellStyle name="20% - Accent6 3 2 3 2 2 2 4" xfId="28827" xr:uid="{00000000-0005-0000-0000-000054420000}"/>
    <cellStyle name="20% - Accent6 3 2 3 2 2 3" xfId="9043" xr:uid="{00000000-0005-0000-0000-000055420000}"/>
    <cellStyle name="20% - Accent6 3 2 3 2 2 3 2" xfId="20344" xr:uid="{00000000-0005-0000-0000-000056420000}"/>
    <cellStyle name="20% - Accent6 3 2 3 2 2 3 2 2" xfId="42946" xr:uid="{00000000-0005-0000-0000-000057420000}"/>
    <cellStyle name="20% - Accent6 3 2 3 2 2 3 3" xfId="31645" xr:uid="{00000000-0005-0000-0000-000058420000}"/>
    <cellStyle name="20% - Accent6 3 2 3 2 2 4" xfId="14694" xr:uid="{00000000-0005-0000-0000-000059420000}"/>
    <cellStyle name="20% - Accent6 3 2 3 2 2 4 2" xfId="37296" xr:uid="{00000000-0005-0000-0000-00005A420000}"/>
    <cellStyle name="20% - Accent6 3 2 3 2 2 5" xfId="25995" xr:uid="{00000000-0005-0000-0000-00005B420000}"/>
    <cellStyle name="20% - Accent6 3 2 3 2 3" xfId="4991" xr:uid="{00000000-0005-0000-0000-00005C420000}"/>
    <cellStyle name="20% - Accent6 3 2 3 2 3 2" xfId="10641" xr:uid="{00000000-0005-0000-0000-00005D420000}"/>
    <cellStyle name="20% - Accent6 3 2 3 2 3 2 2" xfId="21942" xr:uid="{00000000-0005-0000-0000-00005E420000}"/>
    <cellStyle name="20% - Accent6 3 2 3 2 3 2 2 2" xfId="44544" xr:uid="{00000000-0005-0000-0000-00005F420000}"/>
    <cellStyle name="20% - Accent6 3 2 3 2 3 2 3" xfId="33243" xr:uid="{00000000-0005-0000-0000-000060420000}"/>
    <cellStyle name="20% - Accent6 3 2 3 2 3 3" xfId="16292" xr:uid="{00000000-0005-0000-0000-000061420000}"/>
    <cellStyle name="20% - Accent6 3 2 3 2 3 3 2" xfId="38894" xr:uid="{00000000-0005-0000-0000-000062420000}"/>
    <cellStyle name="20% - Accent6 3 2 3 2 3 4" xfId="27593" xr:uid="{00000000-0005-0000-0000-000063420000}"/>
    <cellStyle name="20% - Accent6 3 2 3 2 4" xfId="7630" xr:uid="{00000000-0005-0000-0000-000064420000}"/>
    <cellStyle name="20% - Accent6 3 2 3 2 4 2" xfId="18931" xr:uid="{00000000-0005-0000-0000-000065420000}"/>
    <cellStyle name="20% - Accent6 3 2 3 2 4 2 2" xfId="41533" xr:uid="{00000000-0005-0000-0000-000066420000}"/>
    <cellStyle name="20% - Accent6 3 2 3 2 4 3" xfId="30232" xr:uid="{00000000-0005-0000-0000-000067420000}"/>
    <cellStyle name="20% - Accent6 3 2 3 2 5" xfId="13281" xr:uid="{00000000-0005-0000-0000-000068420000}"/>
    <cellStyle name="20% - Accent6 3 2 3 2 5 2" xfId="35883" xr:uid="{00000000-0005-0000-0000-000069420000}"/>
    <cellStyle name="20% - Accent6 3 2 3 2 6" xfId="24582" xr:uid="{00000000-0005-0000-0000-00006A420000}"/>
    <cellStyle name="20% - Accent6 3 2 3 3" xfId="2582" xr:uid="{00000000-0005-0000-0000-00006B420000}"/>
    <cellStyle name="20% - Accent6 3 2 3 3 2" xfId="5601" xr:uid="{00000000-0005-0000-0000-00006C420000}"/>
    <cellStyle name="20% - Accent6 3 2 3 3 2 2" xfId="11251" xr:uid="{00000000-0005-0000-0000-00006D420000}"/>
    <cellStyle name="20% - Accent6 3 2 3 3 2 2 2" xfId="22552" xr:uid="{00000000-0005-0000-0000-00006E420000}"/>
    <cellStyle name="20% - Accent6 3 2 3 3 2 2 2 2" xfId="45154" xr:uid="{00000000-0005-0000-0000-00006F420000}"/>
    <cellStyle name="20% - Accent6 3 2 3 3 2 2 3" xfId="33853" xr:uid="{00000000-0005-0000-0000-000070420000}"/>
    <cellStyle name="20% - Accent6 3 2 3 3 2 3" xfId="16902" xr:uid="{00000000-0005-0000-0000-000071420000}"/>
    <cellStyle name="20% - Accent6 3 2 3 3 2 3 2" xfId="39504" xr:uid="{00000000-0005-0000-0000-000072420000}"/>
    <cellStyle name="20% - Accent6 3 2 3 3 2 4" xfId="28203" xr:uid="{00000000-0005-0000-0000-000073420000}"/>
    <cellStyle name="20% - Accent6 3 2 3 3 3" xfId="8418" xr:uid="{00000000-0005-0000-0000-000074420000}"/>
    <cellStyle name="20% - Accent6 3 2 3 3 3 2" xfId="19719" xr:uid="{00000000-0005-0000-0000-000075420000}"/>
    <cellStyle name="20% - Accent6 3 2 3 3 3 2 2" xfId="42321" xr:uid="{00000000-0005-0000-0000-000076420000}"/>
    <cellStyle name="20% - Accent6 3 2 3 3 3 3" xfId="31020" xr:uid="{00000000-0005-0000-0000-000077420000}"/>
    <cellStyle name="20% - Accent6 3 2 3 3 4" xfId="14069" xr:uid="{00000000-0005-0000-0000-000078420000}"/>
    <cellStyle name="20% - Accent6 3 2 3 3 4 2" xfId="36671" xr:uid="{00000000-0005-0000-0000-000079420000}"/>
    <cellStyle name="20% - Accent6 3 2 3 3 5" xfId="25370" xr:uid="{00000000-0005-0000-0000-00007A420000}"/>
    <cellStyle name="20% - Accent6 3 2 3 4" xfId="4367" xr:uid="{00000000-0005-0000-0000-00007B420000}"/>
    <cellStyle name="20% - Accent6 3 2 3 4 2" xfId="10017" xr:uid="{00000000-0005-0000-0000-00007C420000}"/>
    <cellStyle name="20% - Accent6 3 2 3 4 2 2" xfId="21318" xr:uid="{00000000-0005-0000-0000-00007D420000}"/>
    <cellStyle name="20% - Accent6 3 2 3 4 2 2 2" xfId="43920" xr:uid="{00000000-0005-0000-0000-00007E420000}"/>
    <cellStyle name="20% - Accent6 3 2 3 4 2 3" xfId="32619" xr:uid="{00000000-0005-0000-0000-00007F420000}"/>
    <cellStyle name="20% - Accent6 3 2 3 4 3" xfId="15668" xr:uid="{00000000-0005-0000-0000-000080420000}"/>
    <cellStyle name="20% - Accent6 3 2 3 4 3 2" xfId="38270" xr:uid="{00000000-0005-0000-0000-000081420000}"/>
    <cellStyle name="20% - Accent6 3 2 3 4 4" xfId="26969" xr:uid="{00000000-0005-0000-0000-000082420000}"/>
    <cellStyle name="20% - Accent6 3 2 3 5" xfId="7164" xr:uid="{00000000-0005-0000-0000-000083420000}"/>
    <cellStyle name="20% - Accent6 3 2 3 5 2" xfId="18465" xr:uid="{00000000-0005-0000-0000-000084420000}"/>
    <cellStyle name="20% - Accent6 3 2 3 5 2 2" xfId="41067" xr:uid="{00000000-0005-0000-0000-000085420000}"/>
    <cellStyle name="20% - Accent6 3 2 3 5 3" xfId="29766" xr:uid="{00000000-0005-0000-0000-000086420000}"/>
    <cellStyle name="20% - Accent6 3 2 3 6" xfId="12815" xr:uid="{00000000-0005-0000-0000-000087420000}"/>
    <cellStyle name="20% - Accent6 3 2 3 6 2" xfId="35417" xr:uid="{00000000-0005-0000-0000-000088420000}"/>
    <cellStyle name="20% - Accent6 3 2 3 7" xfId="24116" xr:uid="{00000000-0005-0000-0000-000089420000}"/>
    <cellStyle name="20% - Accent6 3 2 4" xfId="874" xr:uid="{00000000-0005-0000-0000-00008A420000}"/>
    <cellStyle name="20% - Accent6 3 2 4 2" xfId="2946" xr:uid="{00000000-0005-0000-0000-00008B420000}"/>
    <cellStyle name="20% - Accent6 3 2 4 2 2" xfId="5918" xr:uid="{00000000-0005-0000-0000-00008C420000}"/>
    <cellStyle name="20% - Accent6 3 2 4 2 2 2" xfId="11568" xr:uid="{00000000-0005-0000-0000-00008D420000}"/>
    <cellStyle name="20% - Accent6 3 2 4 2 2 2 2" xfId="22869" xr:uid="{00000000-0005-0000-0000-00008E420000}"/>
    <cellStyle name="20% - Accent6 3 2 4 2 2 2 2 2" xfId="45471" xr:uid="{00000000-0005-0000-0000-00008F420000}"/>
    <cellStyle name="20% - Accent6 3 2 4 2 2 2 3" xfId="34170" xr:uid="{00000000-0005-0000-0000-000090420000}"/>
    <cellStyle name="20% - Accent6 3 2 4 2 2 3" xfId="17219" xr:uid="{00000000-0005-0000-0000-000091420000}"/>
    <cellStyle name="20% - Accent6 3 2 4 2 2 3 2" xfId="39821" xr:uid="{00000000-0005-0000-0000-000092420000}"/>
    <cellStyle name="20% - Accent6 3 2 4 2 2 4" xfId="28520" xr:uid="{00000000-0005-0000-0000-000093420000}"/>
    <cellStyle name="20% - Accent6 3 2 4 2 3" xfId="8736" xr:uid="{00000000-0005-0000-0000-000094420000}"/>
    <cellStyle name="20% - Accent6 3 2 4 2 3 2" xfId="20037" xr:uid="{00000000-0005-0000-0000-000095420000}"/>
    <cellStyle name="20% - Accent6 3 2 4 2 3 2 2" xfId="42639" xr:uid="{00000000-0005-0000-0000-000096420000}"/>
    <cellStyle name="20% - Accent6 3 2 4 2 3 3" xfId="31338" xr:uid="{00000000-0005-0000-0000-000097420000}"/>
    <cellStyle name="20% - Accent6 3 2 4 2 4" xfId="14387" xr:uid="{00000000-0005-0000-0000-000098420000}"/>
    <cellStyle name="20% - Accent6 3 2 4 2 4 2" xfId="36989" xr:uid="{00000000-0005-0000-0000-000099420000}"/>
    <cellStyle name="20% - Accent6 3 2 4 2 5" xfId="25688" xr:uid="{00000000-0005-0000-0000-00009A420000}"/>
    <cellStyle name="20% - Accent6 3 2 4 3" xfId="4684" xr:uid="{00000000-0005-0000-0000-00009B420000}"/>
    <cellStyle name="20% - Accent6 3 2 4 3 2" xfId="10334" xr:uid="{00000000-0005-0000-0000-00009C420000}"/>
    <cellStyle name="20% - Accent6 3 2 4 3 2 2" xfId="21635" xr:uid="{00000000-0005-0000-0000-00009D420000}"/>
    <cellStyle name="20% - Accent6 3 2 4 3 2 2 2" xfId="44237" xr:uid="{00000000-0005-0000-0000-00009E420000}"/>
    <cellStyle name="20% - Accent6 3 2 4 3 2 3" xfId="32936" xr:uid="{00000000-0005-0000-0000-00009F420000}"/>
    <cellStyle name="20% - Accent6 3 2 4 3 3" xfId="15985" xr:uid="{00000000-0005-0000-0000-0000A0420000}"/>
    <cellStyle name="20% - Accent6 3 2 4 3 3 2" xfId="38587" xr:uid="{00000000-0005-0000-0000-0000A1420000}"/>
    <cellStyle name="20% - Accent6 3 2 4 3 4" xfId="27286" xr:uid="{00000000-0005-0000-0000-0000A2420000}"/>
    <cellStyle name="20% - Accent6 3 2 4 4" xfId="6871" xr:uid="{00000000-0005-0000-0000-0000A3420000}"/>
    <cellStyle name="20% - Accent6 3 2 4 4 2" xfId="18172" xr:uid="{00000000-0005-0000-0000-0000A4420000}"/>
    <cellStyle name="20% - Accent6 3 2 4 4 2 2" xfId="40774" xr:uid="{00000000-0005-0000-0000-0000A5420000}"/>
    <cellStyle name="20% - Accent6 3 2 4 4 3" xfId="29473" xr:uid="{00000000-0005-0000-0000-0000A6420000}"/>
    <cellStyle name="20% - Accent6 3 2 4 5" xfId="12522" xr:uid="{00000000-0005-0000-0000-0000A7420000}"/>
    <cellStyle name="20% - Accent6 3 2 4 5 2" xfId="35124" xr:uid="{00000000-0005-0000-0000-0000A8420000}"/>
    <cellStyle name="20% - Accent6 3 2 4 6" xfId="23823" xr:uid="{00000000-0005-0000-0000-0000A9420000}"/>
    <cellStyle name="20% - Accent6 3 2 5" xfId="1771" xr:uid="{00000000-0005-0000-0000-0000AA420000}"/>
    <cellStyle name="20% - Accent6 3 2 5 2" xfId="3684" xr:uid="{00000000-0005-0000-0000-0000AB420000}"/>
    <cellStyle name="20% - Accent6 3 2 5 2 2" xfId="9395" xr:uid="{00000000-0005-0000-0000-0000AC420000}"/>
    <cellStyle name="20% - Accent6 3 2 5 2 2 2" xfId="20696" xr:uid="{00000000-0005-0000-0000-0000AD420000}"/>
    <cellStyle name="20% - Accent6 3 2 5 2 2 2 2" xfId="43298" xr:uid="{00000000-0005-0000-0000-0000AE420000}"/>
    <cellStyle name="20% - Accent6 3 2 5 2 2 3" xfId="31997" xr:uid="{00000000-0005-0000-0000-0000AF420000}"/>
    <cellStyle name="20% - Accent6 3 2 5 2 3" xfId="15046" xr:uid="{00000000-0005-0000-0000-0000B0420000}"/>
    <cellStyle name="20% - Accent6 3 2 5 2 3 2" xfId="37648" xr:uid="{00000000-0005-0000-0000-0000B1420000}"/>
    <cellStyle name="20% - Accent6 3 2 5 2 4" xfId="26347" xr:uid="{00000000-0005-0000-0000-0000B2420000}"/>
    <cellStyle name="20% - Accent6 3 2 5 3" xfId="5294" xr:uid="{00000000-0005-0000-0000-0000B3420000}"/>
    <cellStyle name="20% - Accent6 3 2 5 3 2" xfId="10944" xr:uid="{00000000-0005-0000-0000-0000B4420000}"/>
    <cellStyle name="20% - Accent6 3 2 5 3 2 2" xfId="22245" xr:uid="{00000000-0005-0000-0000-0000B5420000}"/>
    <cellStyle name="20% - Accent6 3 2 5 3 2 2 2" xfId="44847" xr:uid="{00000000-0005-0000-0000-0000B6420000}"/>
    <cellStyle name="20% - Accent6 3 2 5 3 2 3" xfId="33546" xr:uid="{00000000-0005-0000-0000-0000B7420000}"/>
    <cellStyle name="20% - Accent6 3 2 5 3 3" xfId="16595" xr:uid="{00000000-0005-0000-0000-0000B8420000}"/>
    <cellStyle name="20% - Accent6 3 2 5 3 3 2" xfId="39197" xr:uid="{00000000-0005-0000-0000-0000B9420000}"/>
    <cellStyle name="20% - Accent6 3 2 5 3 4" xfId="27896" xr:uid="{00000000-0005-0000-0000-0000BA420000}"/>
    <cellStyle name="20% - Accent6 3 2 5 4" xfId="7627" xr:uid="{00000000-0005-0000-0000-0000BB420000}"/>
    <cellStyle name="20% - Accent6 3 2 5 4 2" xfId="18928" xr:uid="{00000000-0005-0000-0000-0000BC420000}"/>
    <cellStyle name="20% - Accent6 3 2 5 4 2 2" xfId="41530" xr:uid="{00000000-0005-0000-0000-0000BD420000}"/>
    <cellStyle name="20% - Accent6 3 2 5 4 3" xfId="30229" xr:uid="{00000000-0005-0000-0000-0000BE420000}"/>
    <cellStyle name="20% - Accent6 3 2 5 5" xfId="13278" xr:uid="{00000000-0005-0000-0000-0000BF420000}"/>
    <cellStyle name="20% - Accent6 3 2 5 5 2" xfId="35880" xr:uid="{00000000-0005-0000-0000-0000C0420000}"/>
    <cellStyle name="20% - Accent6 3 2 5 6" xfId="24579" xr:uid="{00000000-0005-0000-0000-0000C1420000}"/>
    <cellStyle name="20% - Accent6 3 2 6" xfId="2273" xr:uid="{00000000-0005-0000-0000-0000C2420000}"/>
    <cellStyle name="20% - Accent6 3 2 6 2" xfId="8109" xr:uid="{00000000-0005-0000-0000-0000C3420000}"/>
    <cellStyle name="20% - Accent6 3 2 6 2 2" xfId="19410" xr:uid="{00000000-0005-0000-0000-0000C4420000}"/>
    <cellStyle name="20% - Accent6 3 2 6 2 2 2" xfId="42012" xr:uid="{00000000-0005-0000-0000-0000C5420000}"/>
    <cellStyle name="20% - Accent6 3 2 6 2 3" xfId="30711" xr:uid="{00000000-0005-0000-0000-0000C6420000}"/>
    <cellStyle name="20% - Accent6 3 2 6 3" xfId="13760" xr:uid="{00000000-0005-0000-0000-0000C7420000}"/>
    <cellStyle name="20% - Accent6 3 2 6 3 2" xfId="36362" xr:uid="{00000000-0005-0000-0000-0000C8420000}"/>
    <cellStyle name="20% - Accent6 3 2 6 4" xfId="25061" xr:uid="{00000000-0005-0000-0000-0000C9420000}"/>
    <cellStyle name="20% - Accent6 3 2 7" xfId="4060" xr:uid="{00000000-0005-0000-0000-0000CA420000}"/>
    <cellStyle name="20% - Accent6 3 2 7 2" xfId="9710" xr:uid="{00000000-0005-0000-0000-0000CB420000}"/>
    <cellStyle name="20% - Accent6 3 2 7 2 2" xfId="21011" xr:uid="{00000000-0005-0000-0000-0000CC420000}"/>
    <cellStyle name="20% - Accent6 3 2 7 2 2 2" xfId="43613" xr:uid="{00000000-0005-0000-0000-0000CD420000}"/>
    <cellStyle name="20% - Accent6 3 2 7 2 3" xfId="32312" xr:uid="{00000000-0005-0000-0000-0000CE420000}"/>
    <cellStyle name="20% - Accent6 3 2 7 3" xfId="15361" xr:uid="{00000000-0005-0000-0000-0000CF420000}"/>
    <cellStyle name="20% - Accent6 3 2 7 3 2" xfId="37963" xr:uid="{00000000-0005-0000-0000-0000D0420000}"/>
    <cellStyle name="20% - Accent6 3 2 7 4" xfId="26662" xr:uid="{00000000-0005-0000-0000-0000D1420000}"/>
    <cellStyle name="20% - Accent6 3 2 8" xfId="6511" xr:uid="{00000000-0005-0000-0000-0000D2420000}"/>
    <cellStyle name="20% - Accent6 3 2 8 2" xfId="17812" xr:uid="{00000000-0005-0000-0000-0000D3420000}"/>
    <cellStyle name="20% - Accent6 3 2 8 2 2" xfId="40414" xr:uid="{00000000-0005-0000-0000-0000D4420000}"/>
    <cellStyle name="20% - Accent6 3 2 8 3" xfId="29113" xr:uid="{00000000-0005-0000-0000-0000D5420000}"/>
    <cellStyle name="20% - Accent6 3 2 9" xfId="12162" xr:uid="{00000000-0005-0000-0000-0000D6420000}"/>
    <cellStyle name="20% - Accent6 3 2 9 2" xfId="34764" xr:uid="{00000000-0005-0000-0000-0000D7420000}"/>
    <cellStyle name="20% - Accent6 3 3" xfId="417" xr:uid="{00000000-0005-0000-0000-0000D8420000}"/>
    <cellStyle name="20% - Accent6 3 3 10" xfId="23512" xr:uid="{00000000-0005-0000-0000-0000D9420000}"/>
    <cellStyle name="20% - Accent6 3 3 2" xfId="662" xr:uid="{00000000-0005-0000-0000-0000DA420000}"/>
    <cellStyle name="20% - Accent6 3 3 2 2" xfId="1372" xr:uid="{00000000-0005-0000-0000-0000DB420000}"/>
    <cellStyle name="20% - Accent6 3 3 2 2 2" xfId="1777" xr:uid="{00000000-0005-0000-0000-0000DC420000}"/>
    <cellStyle name="20% - Accent6 3 3 2 2 2 2" xfId="3441" xr:uid="{00000000-0005-0000-0000-0000DD420000}"/>
    <cellStyle name="20% - Accent6 3 3 2 2 2 2 2" xfId="6413" xr:uid="{00000000-0005-0000-0000-0000DE420000}"/>
    <cellStyle name="20% - Accent6 3 3 2 2 2 2 2 2" xfId="12063" xr:uid="{00000000-0005-0000-0000-0000DF420000}"/>
    <cellStyle name="20% - Accent6 3 3 2 2 2 2 2 2 2" xfId="23364" xr:uid="{00000000-0005-0000-0000-0000E0420000}"/>
    <cellStyle name="20% - Accent6 3 3 2 2 2 2 2 2 2 2" xfId="45966" xr:uid="{00000000-0005-0000-0000-0000E1420000}"/>
    <cellStyle name="20% - Accent6 3 3 2 2 2 2 2 2 3" xfId="34665" xr:uid="{00000000-0005-0000-0000-0000E2420000}"/>
    <cellStyle name="20% - Accent6 3 3 2 2 2 2 2 3" xfId="17714" xr:uid="{00000000-0005-0000-0000-0000E3420000}"/>
    <cellStyle name="20% - Accent6 3 3 2 2 2 2 2 3 2" xfId="40316" xr:uid="{00000000-0005-0000-0000-0000E4420000}"/>
    <cellStyle name="20% - Accent6 3 3 2 2 2 2 2 4" xfId="29015" xr:uid="{00000000-0005-0000-0000-0000E5420000}"/>
    <cellStyle name="20% - Accent6 3 3 2 2 2 2 3" xfId="9231" xr:uid="{00000000-0005-0000-0000-0000E6420000}"/>
    <cellStyle name="20% - Accent6 3 3 2 2 2 2 3 2" xfId="20532" xr:uid="{00000000-0005-0000-0000-0000E7420000}"/>
    <cellStyle name="20% - Accent6 3 3 2 2 2 2 3 2 2" xfId="43134" xr:uid="{00000000-0005-0000-0000-0000E8420000}"/>
    <cellStyle name="20% - Accent6 3 3 2 2 2 2 3 3" xfId="31833" xr:uid="{00000000-0005-0000-0000-0000E9420000}"/>
    <cellStyle name="20% - Accent6 3 3 2 2 2 2 4" xfId="14882" xr:uid="{00000000-0005-0000-0000-0000EA420000}"/>
    <cellStyle name="20% - Accent6 3 3 2 2 2 2 4 2" xfId="37484" xr:uid="{00000000-0005-0000-0000-0000EB420000}"/>
    <cellStyle name="20% - Accent6 3 3 2 2 2 2 5" xfId="26183" xr:uid="{00000000-0005-0000-0000-0000EC420000}"/>
    <cellStyle name="20% - Accent6 3 3 2 2 2 3" xfId="5179" xr:uid="{00000000-0005-0000-0000-0000ED420000}"/>
    <cellStyle name="20% - Accent6 3 3 2 2 2 3 2" xfId="10829" xr:uid="{00000000-0005-0000-0000-0000EE420000}"/>
    <cellStyle name="20% - Accent6 3 3 2 2 2 3 2 2" xfId="22130" xr:uid="{00000000-0005-0000-0000-0000EF420000}"/>
    <cellStyle name="20% - Accent6 3 3 2 2 2 3 2 2 2" xfId="44732" xr:uid="{00000000-0005-0000-0000-0000F0420000}"/>
    <cellStyle name="20% - Accent6 3 3 2 2 2 3 2 3" xfId="33431" xr:uid="{00000000-0005-0000-0000-0000F1420000}"/>
    <cellStyle name="20% - Accent6 3 3 2 2 2 3 3" xfId="16480" xr:uid="{00000000-0005-0000-0000-0000F2420000}"/>
    <cellStyle name="20% - Accent6 3 3 2 2 2 3 3 2" xfId="39082" xr:uid="{00000000-0005-0000-0000-0000F3420000}"/>
    <cellStyle name="20% - Accent6 3 3 2 2 2 3 4" xfId="27781" xr:uid="{00000000-0005-0000-0000-0000F4420000}"/>
    <cellStyle name="20% - Accent6 3 3 2 2 2 4" xfId="7633" xr:uid="{00000000-0005-0000-0000-0000F5420000}"/>
    <cellStyle name="20% - Accent6 3 3 2 2 2 4 2" xfId="18934" xr:uid="{00000000-0005-0000-0000-0000F6420000}"/>
    <cellStyle name="20% - Accent6 3 3 2 2 2 4 2 2" xfId="41536" xr:uid="{00000000-0005-0000-0000-0000F7420000}"/>
    <cellStyle name="20% - Accent6 3 3 2 2 2 4 3" xfId="30235" xr:uid="{00000000-0005-0000-0000-0000F8420000}"/>
    <cellStyle name="20% - Accent6 3 3 2 2 2 5" xfId="13284" xr:uid="{00000000-0005-0000-0000-0000F9420000}"/>
    <cellStyle name="20% - Accent6 3 3 2 2 2 5 2" xfId="35886" xr:uid="{00000000-0005-0000-0000-0000FA420000}"/>
    <cellStyle name="20% - Accent6 3 3 2 2 2 6" xfId="24585" xr:uid="{00000000-0005-0000-0000-0000FB420000}"/>
    <cellStyle name="20% - Accent6 3 3 2 2 3" xfId="2770" xr:uid="{00000000-0005-0000-0000-0000FC420000}"/>
    <cellStyle name="20% - Accent6 3 3 2 2 3 2" xfId="5789" xr:uid="{00000000-0005-0000-0000-0000FD420000}"/>
    <cellStyle name="20% - Accent6 3 3 2 2 3 2 2" xfId="11439" xr:uid="{00000000-0005-0000-0000-0000FE420000}"/>
    <cellStyle name="20% - Accent6 3 3 2 2 3 2 2 2" xfId="22740" xr:uid="{00000000-0005-0000-0000-0000FF420000}"/>
    <cellStyle name="20% - Accent6 3 3 2 2 3 2 2 2 2" xfId="45342" xr:uid="{00000000-0005-0000-0000-000000430000}"/>
    <cellStyle name="20% - Accent6 3 3 2 2 3 2 2 3" xfId="34041" xr:uid="{00000000-0005-0000-0000-000001430000}"/>
    <cellStyle name="20% - Accent6 3 3 2 2 3 2 3" xfId="17090" xr:uid="{00000000-0005-0000-0000-000002430000}"/>
    <cellStyle name="20% - Accent6 3 3 2 2 3 2 3 2" xfId="39692" xr:uid="{00000000-0005-0000-0000-000003430000}"/>
    <cellStyle name="20% - Accent6 3 3 2 2 3 2 4" xfId="28391" xr:uid="{00000000-0005-0000-0000-000004430000}"/>
    <cellStyle name="20% - Accent6 3 3 2 2 3 3" xfId="8606" xr:uid="{00000000-0005-0000-0000-000005430000}"/>
    <cellStyle name="20% - Accent6 3 3 2 2 3 3 2" xfId="19907" xr:uid="{00000000-0005-0000-0000-000006430000}"/>
    <cellStyle name="20% - Accent6 3 3 2 2 3 3 2 2" xfId="42509" xr:uid="{00000000-0005-0000-0000-000007430000}"/>
    <cellStyle name="20% - Accent6 3 3 2 2 3 3 3" xfId="31208" xr:uid="{00000000-0005-0000-0000-000008430000}"/>
    <cellStyle name="20% - Accent6 3 3 2 2 3 4" xfId="14257" xr:uid="{00000000-0005-0000-0000-000009430000}"/>
    <cellStyle name="20% - Accent6 3 3 2 2 3 4 2" xfId="36859" xr:uid="{00000000-0005-0000-0000-00000A430000}"/>
    <cellStyle name="20% - Accent6 3 3 2 2 3 5" xfId="25558" xr:uid="{00000000-0005-0000-0000-00000B430000}"/>
    <cellStyle name="20% - Accent6 3 3 2 2 4" xfId="4555" xr:uid="{00000000-0005-0000-0000-00000C430000}"/>
    <cellStyle name="20% - Accent6 3 3 2 2 4 2" xfId="10205" xr:uid="{00000000-0005-0000-0000-00000D430000}"/>
    <cellStyle name="20% - Accent6 3 3 2 2 4 2 2" xfId="21506" xr:uid="{00000000-0005-0000-0000-00000E430000}"/>
    <cellStyle name="20% - Accent6 3 3 2 2 4 2 2 2" xfId="44108" xr:uid="{00000000-0005-0000-0000-00000F430000}"/>
    <cellStyle name="20% - Accent6 3 3 2 2 4 2 3" xfId="32807" xr:uid="{00000000-0005-0000-0000-000010430000}"/>
    <cellStyle name="20% - Accent6 3 3 2 2 4 3" xfId="15856" xr:uid="{00000000-0005-0000-0000-000011430000}"/>
    <cellStyle name="20% - Accent6 3 3 2 2 4 3 2" xfId="38458" xr:uid="{00000000-0005-0000-0000-000012430000}"/>
    <cellStyle name="20% - Accent6 3 3 2 2 4 4" xfId="27157" xr:uid="{00000000-0005-0000-0000-000013430000}"/>
    <cellStyle name="20% - Accent6 3 3 2 2 5" xfId="7351" xr:uid="{00000000-0005-0000-0000-000014430000}"/>
    <cellStyle name="20% - Accent6 3 3 2 2 5 2" xfId="18652" xr:uid="{00000000-0005-0000-0000-000015430000}"/>
    <cellStyle name="20% - Accent6 3 3 2 2 5 2 2" xfId="41254" xr:uid="{00000000-0005-0000-0000-000016430000}"/>
    <cellStyle name="20% - Accent6 3 3 2 2 5 3" xfId="29953" xr:uid="{00000000-0005-0000-0000-000017430000}"/>
    <cellStyle name="20% - Accent6 3 3 2 2 6" xfId="13002" xr:uid="{00000000-0005-0000-0000-000018430000}"/>
    <cellStyle name="20% - Accent6 3 3 2 2 6 2" xfId="35604" xr:uid="{00000000-0005-0000-0000-000019430000}"/>
    <cellStyle name="20% - Accent6 3 3 2 2 7" xfId="24303" xr:uid="{00000000-0005-0000-0000-00001A430000}"/>
    <cellStyle name="20% - Accent6 3 3 2 3" xfId="1070" xr:uid="{00000000-0005-0000-0000-00001B430000}"/>
    <cellStyle name="20% - Accent6 3 3 2 3 2" xfId="3133" xr:uid="{00000000-0005-0000-0000-00001C430000}"/>
    <cellStyle name="20% - Accent6 3 3 2 3 2 2" xfId="6105" xr:uid="{00000000-0005-0000-0000-00001D430000}"/>
    <cellStyle name="20% - Accent6 3 3 2 3 2 2 2" xfId="11755" xr:uid="{00000000-0005-0000-0000-00001E430000}"/>
    <cellStyle name="20% - Accent6 3 3 2 3 2 2 2 2" xfId="23056" xr:uid="{00000000-0005-0000-0000-00001F430000}"/>
    <cellStyle name="20% - Accent6 3 3 2 3 2 2 2 2 2" xfId="45658" xr:uid="{00000000-0005-0000-0000-000020430000}"/>
    <cellStyle name="20% - Accent6 3 3 2 3 2 2 2 3" xfId="34357" xr:uid="{00000000-0005-0000-0000-000021430000}"/>
    <cellStyle name="20% - Accent6 3 3 2 3 2 2 3" xfId="17406" xr:uid="{00000000-0005-0000-0000-000022430000}"/>
    <cellStyle name="20% - Accent6 3 3 2 3 2 2 3 2" xfId="40008" xr:uid="{00000000-0005-0000-0000-000023430000}"/>
    <cellStyle name="20% - Accent6 3 3 2 3 2 2 4" xfId="28707" xr:uid="{00000000-0005-0000-0000-000024430000}"/>
    <cellStyle name="20% - Accent6 3 3 2 3 2 3" xfId="8923" xr:uid="{00000000-0005-0000-0000-000025430000}"/>
    <cellStyle name="20% - Accent6 3 3 2 3 2 3 2" xfId="20224" xr:uid="{00000000-0005-0000-0000-000026430000}"/>
    <cellStyle name="20% - Accent6 3 3 2 3 2 3 2 2" xfId="42826" xr:uid="{00000000-0005-0000-0000-000027430000}"/>
    <cellStyle name="20% - Accent6 3 3 2 3 2 3 3" xfId="31525" xr:uid="{00000000-0005-0000-0000-000028430000}"/>
    <cellStyle name="20% - Accent6 3 3 2 3 2 4" xfId="14574" xr:uid="{00000000-0005-0000-0000-000029430000}"/>
    <cellStyle name="20% - Accent6 3 3 2 3 2 4 2" xfId="37176" xr:uid="{00000000-0005-0000-0000-00002A430000}"/>
    <cellStyle name="20% - Accent6 3 3 2 3 2 5" xfId="25875" xr:uid="{00000000-0005-0000-0000-00002B430000}"/>
    <cellStyle name="20% - Accent6 3 3 2 3 3" xfId="4871" xr:uid="{00000000-0005-0000-0000-00002C430000}"/>
    <cellStyle name="20% - Accent6 3 3 2 3 3 2" xfId="10521" xr:uid="{00000000-0005-0000-0000-00002D430000}"/>
    <cellStyle name="20% - Accent6 3 3 2 3 3 2 2" xfId="21822" xr:uid="{00000000-0005-0000-0000-00002E430000}"/>
    <cellStyle name="20% - Accent6 3 3 2 3 3 2 2 2" xfId="44424" xr:uid="{00000000-0005-0000-0000-00002F430000}"/>
    <cellStyle name="20% - Accent6 3 3 2 3 3 2 3" xfId="33123" xr:uid="{00000000-0005-0000-0000-000030430000}"/>
    <cellStyle name="20% - Accent6 3 3 2 3 3 3" xfId="16172" xr:uid="{00000000-0005-0000-0000-000031430000}"/>
    <cellStyle name="20% - Accent6 3 3 2 3 3 3 2" xfId="38774" xr:uid="{00000000-0005-0000-0000-000032430000}"/>
    <cellStyle name="20% - Accent6 3 3 2 3 3 4" xfId="27473" xr:uid="{00000000-0005-0000-0000-000033430000}"/>
    <cellStyle name="20% - Accent6 3 3 2 3 4" xfId="7058" xr:uid="{00000000-0005-0000-0000-000034430000}"/>
    <cellStyle name="20% - Accent6 3 3 2 3 4 2" xfId="18359" xr:uid="{00000000-0005-0000-0000-000035430000}"/>
    <cellStyle name="20% - Accent6 3 3 2 3 4 2 2" xfId="40961" xr:uid="{00000000-0005-0000-0000-000036430000}"/>
    <cellStyle name="20% - Accent6 3 3 2 3 4 3" xfId="29660" xr:uid="{00000000-0005-0000-0000-000037430000}"/>
    <cellStyle name="20% - Accent6 3 3 2 3 5" xfId="12709" xr:uid="{00000000-0005-0000-0000-000038430000}"/>
    <cellStyle name="20% - Accent6 3 3 2 3 5 2" xfId="35311" xr:uid="{00000000-0005-0000-0000-000039430000}"/>
    <cellStyle name="20% - Accent6 3 3 2 3 6" xfId="24010" xr:uid="{00000000-0005-0000-0000-00003A430000}"/>
    <cellStyle name="20% - Accent6 3 3 2 4" xfId="1776" xr:uid="{00000000-0005-0000-0000-00003B430000}"/>
    <cellStyle name="20% - Accent6 3 3 2 4 2" xfId="3687" xr:uid="{00000000-0005-0000-0000-00003C430000}"/>
    <cellStyle name="20% - Accent6 3 3 2 4 2 2" xfId="9398" xr:uid="{00000000-0005-0000-0000-00003D430000}"/>
    <cellStyle name="20% - Accent6 3 3 2 4 2 2 2" xfId="20699" xr:uid="{00000000-0005-0000-0000-00003E430000}"/>
    <cellStyle name="20% - Accent6 3 3 2 4 2 2 2 2" xfId="43301" xr:uid="{00000000-0005-0000-0000-00003F430000}"/>
    <cellStyle name="20% - Accent6 3 3 2 4 2 2 3" xfId="32000" xr:uid="{00000000-0005-0000-0000-000040430000}"/>
    <cellStyle name="20% - Accent6 3 3 2 4 2 3" xfId="15049" xr:uid="{00000000-0005-0000-0000-000041430000}"/>
    <cellStyle name="20% - Accent6 3 3 2 4 2 3 2" xfId="37651" xr:uid="{00000000-0005-0000-0000-000042430000}"/>
    <cellStyle name="20% - Accent6 3 3 2 4 2 4" xfId="26350" xr:uid="{00000000-0005-0000-0000-000043430000}"/>
    <cellStyle name="20% - Accent6 3 3 2 4 3" xfId="5481" xr:uid="{00000000-0005-0000-0000-000044430000}"/>
    <cellStyle name="20% - Accent6 3 3 2 4 3 2" xfId="11131" xr:uid="{00000000-0005-0000-0000-000045430000}"/>
    <cellStyle name="20% - Accent6 3 3 2 4 3 2 2" xfId="22432" xr:uid="{00000000-0005-0000-0000-000046430000}"/>
    <cellStyle name="20% - Accent6 3 3 2 4 3 2 2 2" xfId="45034" xr:uid="{00000000-0005-0000-0000-000047430000}"/>
    <cellStyle name="20% - Accent6 3 3 2 4 3 2 3" xfId="33733" xr:uid="{00000000-0005-0000-0000-000048430000}"/>
    <cellStyle name="20% - Accent6 3 3 2 4 3 3" xfId="16782" xr:uid="{00000000-0005-0000-0000-000049430000}"/>
    <cellStyle name="20% - Accent6 3 3 2 4 3 3 2" xfId="39384" xr:uid="{00000000-0005-0000-0000-00004A430000}"/>
    <cellStyle name="20% - Accent6 3 3 2 4 3 4" xfId="28083" xr:uid="{00000000-0005-0000-0000-00004B430000}"/>
    <cellStyle name="20% - Accent6 3 3 2 4 4" xfId="7632" xr:uid="{00000000-0005-0000-0000-00004C430000}"/>
    <cellStyle name="20% - Accent6 3 3 2 4 4 2" xfId="18933" xr:uid="{00000000-0005-0000-0000-00004D430000}"/>
    <cellStyle name="20% - Accent6 3 3 2 4 4 2 2" xfId="41535" xr:uid="{00000000-0005-0000-0000-00004E430000}"/>
    <cellStyle name="20% - Accent6 3 3 2 4 4 3" xfId="30234" xr:uid="{00000000-0005-0000-0000-00004F430000}"/>
    <cellStyle name="20% - Accent6 3 3 2 4 5" xfId="13283" xr:uid="{00000000-0005-0000-0000-000050430000}"/>
    <cellStyle name="20% - Accent6 3 3 2 4 5 2" xfId="35885" xr:uid="{00000000-0005-0000-0000-000051430000}"/>
    <cellStyle name="20% - Accent6 3 3 2 4 6" xfId="24584" xr:uid="{00000000-0005-0000-0000-000052430000}"/>
    <cellStyle name="20% - Accent6 3 3 2 5" xfId="2462" xr:uid="{00000000-0005-0000-0000-000053430000}"/>
    <cellStyle name="20% - Accent6 3 3 2 5 2" xfId="8298" xr:uid="{00000000-0005-0000-0000-000054430000}"/>
    <cellStyle name="20% - Accent6 3 3 2 5 2 2" xfId="19599" xr:uid="{00000000-0005-0000-0000-000055430000}"/>
    <cellStyle name="20% - Accent6 3 3 2 5 2 2 2" xfId="42201" xr:uid="{00000000-0005-0000-0000-000056430000}"/>
    <cellStyle name="20% - Accent6 3 3 2 5 2 3" xfId="30900" xr:uid="{00000000-0005-0000-0000-000057430000}"/>
    <cellStyle name="20% - Accent6 3 3 2 5 3" xfId="13949" xr:uid="{00000000-0005-0000-0000-000058430000}"/>
    <cellStyle name="20% - Accent6 3 3 2 5 3 2" xfId="36551" xr:uid="{00000000-0005-0000-0000-000059430000}"/>
    <cellStyle name="20% - Accent6 3 3 2 5 4" xfId="25250" xr:uid="{00000000-0005-0000-0000-00005A430000}"/>
    <cellStyle name="20% - Accent6 3 3 2 6" xfId="4247" xr:uid="{00000000-0005-0000-0000-00005B430000}"/>
    <cellStyle name="20% - Accent6 3 3 2 6 2" xfId="9897" xr:uid="{00000000-0005-0000-0000-00005C430000}"/>
    <cellStyle name="20% - Accent6 3 3 2 6 2 2" xfId="21198" xr:uid="{00000000-0005-0000-0000-00005D430000}"/>
    <cellStyle name="20% - Accent6 3 3 2 6 2 2 2" xfId="43800" xr:uid="{00000000-0005-0000-0000-00005E430000}"/>
    <cellStyle name="20% - Accent6 3 3 2 6 2 3" xfId="32499" xr:uid="{00000000-0005-0000-0000-00005F430000}"/>
    <cellStyle name="20% - Accent6 3 3 2 6 3" xfId="15548" xr:uid="{00000000-0005-0000-0000-000060430000}"/>
    <cellStyle name="20% - Accent6 3 3 2 6 3 2" xfId="38150" xr:uid="{00000000-0005-0000-0000-000061430000}"/>
    <cellStyle name="20% - Accent6 3 3 2 6 4" xfId="26849" xr:uid="{00000000-0005-0000-0000-000062430000}"/>
    <cellStyle name="20% - Accent6 3 3 2 7" xfId="6727" xr:uid="{00000000-0005-0000-0000-000063430000}"/>
    <cellStyle name="20% - Accent6 3 3 2 7 2" xfId="18028" xr:uid="{00000000-0005-0000-0000-000064430000}"/>
    <cellStyle name="20% - Accent6 3 3 2 7 2 2" xfId="40630" xr:uid="{00000000-0005-0000-0000-000065430000}"/>
    <cellStyle name="20% - Accent6 3 3 2 7 3" xfId="29329" xr:uid="{00000000-0005-0000-0000-000066430000}"/>
    <cellStyle name="20% - Accent6 3 3 2 8" xfId="12378" xr:uid="{00000000-0005-0000-0000-000067430000}"/>
    <cellStyle name="20% - Accent6 3 3 2 8 2" xfId="34980" xr:uid="{00000000-0005-0000-0000-000068430000}"/>
    <cellStyle name="20% - Accent6 3 3 2 9" xfId="23679" xr:uid="{00000000-0005-0000-0000-000069430000}"/>
    <cellStyle name="20% - Accent6 3 3 3" xfId="1234" xr:uid="{00000000-0005-0000-0000-00006A430000}"/>
    <cellStyle name="20% - Accent6 3 3 3 2" xfId="1778" xr:uid="{00000000-0005-0000-0000-00006B430000}"/>
    <cellStyle name="20% - Accent6 3 3 3 2 2" xfId="3302" xr:uid="{00000000-0005-0000-0000-00006C430000}"/>
    <cellStyle name="20% - Accent6 3 3 3 2 2 2" xfId="6274" xr:uid="{00000000-0005-0000-0000-00006D430000}"/>
    <cellStyle name="20% - Accent6 3 3 3 2 2 2 2" xfId="11924" xr:uid="{00000000-0005-0000-0000-00006E430000}"/>
    <cellStyle name="20% - Accent6 3 3 3 2 2 2 2 2" xfId="23225" xr:uid="{00000000-0005-0000-0000-00006F430000}"/>
    <cellStyle name="20% - Accent6 3 3 3 2 2 2 2 2 2" xfId="45827" xr:uid="{00000000-0005-0000-0000-000070430000}"/>
    <cellStyle name="20% - Accent6 3 3 3 2 2 2 2 3" xfId="34526" xr:uid="{00000000-0005-0000-0000-000071430000}"/>
    <cellStyle name="20% - Accent6 3 3 3 2 2 2 3" xfId="17575" xr:uid="{00000000-0005-0000-0000-000072430000}"/>
    <cellStyle name="20% - Accent6 3 3 3 2 2 2 3 2" xfId="40177" xr:uid="{00000000-0005-0000-0000-000073430000}"/>
    <cellStyle name="20% - Accent6 3 3 3 2 2 2 4" xfId="28876" xr:uid="{00000000-0005-0000-0000-000074430000}"/>
    <cellStyle name="20% - Accent6 3 3 3 2 2 3" xfId="9092" xr:uid="{00000000-0005-0000-0000-000075430000}"/>
    <cellStyle name="20% - Accent6 3 3 3 2 2 3 2" xfId="20393" xr:uid="{00000000-0005-0000-0000-000076430000}"/>
    <cellStyle name="20% - Accent6 3 3 3 2 2 3 2 2" xfId="42995" xr:uid="{00000000-0005-0000-0000-000077430000}"/>
    <cellStyle name="20% - Accent6 3 3 3 2 2 3 3" xfId="31694" xr:uid="{00000000-0005-0000-0000-000078430000}"/>
    <cellStyle name="20% - Accent6 3 3 3 2 2 4" xfId="14743" xr:uid="{00000000-0005-0000-0000-000079430000}"/>
    <cellStyle name="20% - Accent6 3 3 3 2 2 4 2" xfId="37345" xr:uid="{00000000-0005-0000-0000-00007A430000}"/>
    <cellStyle name="20% - Accent6 3 3 3 2 2 5" xfId="26044" xr:uid="{00000000-0005-0000-0000-00007B430000}"/>
    <cellStyle name="20% - Accent6 3 3 3 2 3" xfId="5040" xr:uid="{00000000-0005-0000-0000-00007C430000}"/>
    <cellStyle name="20% - Accent6 3 3 3 2 3 2" xfId="10690" xr:uid="{00000000-0005-0000-0000-00007D430000}"/>
    <cellStyle name="20% - Accent6 3 3 3 2 3 2 2" xfId="21991" xr:uid="{00000000-0005-0000-0000-00007E430000}"/>
    <cellStyle name="20% - Accent6 3 3 3 2 3 2 2 2" xfId="44593" xr:uid="{00000000-0005-0000-0000-00007F430000}"/>
    <cellStyle name="20% - Accent6 3 3 3 2 3 2 3" xfId="33292" xr:uid="{00000000-0005-0000-0000-000080430000}"/>
    <cellStyle name="20% - Accent6 3 3 3 2 3 3" xfId="16341" xr:uid="{00000000-0005-0000-0000-000081430000}"/>
    <cellStyle name="20% - Accent6 3 3 3 2 3 3 2" xfId="38943" xr:uid="{00000000-0005-0000-0000-000082430000}"/>
    <cellStyle name="20% - Accent6 3 3 3 2 3 4" xfId="27642" xr:uid="{00000000-0005-0000-0000-000083430000}"/>
    <cellStyle name="20% - Accent6 3 3 3 2 4" xfId="7634" xr:uid="{00000000-0005-0000-0000-000084430000}"/>
    <cellStyle name="20% - Accent6 3 3 3 2 4 2" xfId="18935" xr:uid="{00000000-0005-0000-0000-000085430000}"/>
    <cellStyle name="20% - Accent6 3 3 3 2 4 2 2" xfId="41537" xr:uid="{00000000-0005-0000-0000-000086430000}"/>
    <cellStyle name="20% - Accent6 3 3 3 2 4 3" xfId="30236" xr:uid="{00000000-0005-0000-0000-000087430000}"/>
    <cellStyle name="20% - Accent6 3 3 3 2 5" xfId="13285" xr:uid="{00000000-0005-0000-0000-000088430000}"/>
    <cellStyle name="20% - Accent6 3 3 3 2 5 2" xfId="35887" xr:uid="{00000000-0005-0000-0000-000089430000}"/>
    <cellStyle name="20% - Accent6 3 3 3 2 6" xfId="24586" xr:uid="{00000000-0005-0000-0000-00008A430000}"/>
    <cellStyle name="20% - Accent6 3 3 3 3" xfId="2631" xr:uid="{00000000-0005-0000-0000-00008B430000}"/>
    <cellStyle name="20% - Accent6 3 3 3 3 2" xfId="5650" xr:uid="{00000000-0005-0000-0000-00008C430000}"/>
    <cellStyle name="20% - Accent6 3 3 3 3 2 2" xfId="11300" xr:uid="{00000000-0005-0000-0000-00008D430000}"/>
    <cellStyle name="20% - Accent6 3 3 3 3 2 2 2" xfId="22601" xr:uid="{00000000-0005-0000-0000-00008E430000}"/>
    <cellStyle name="20% - Accent6 3 3 3 3 2 2 2 2" xfId="45203" xr:uid="{00000000-0005-0000-0000-00008F430000}"/>
    <cellStyle name="20% - Accent6 3 3 3 3 2 2 3" xfId="33902" xr:uid="{00000000-0005-0000-0000-000090430000}"/>
    <cellStyle name="20% - Accent6 3 3 3 3 2 3" xfId="16951" xr:uid="{00000000-0005-0000-0000-000091430000}"/>
    <cellStyle name="20% - Accent6 3 3 3 3 2 3 2" xfId="39553" xr:uid="{00000000-0005-0000-0000-000092430000}"/>
    <cellStyle name="20% - Accent6 3 3 3 3 2 4" xfId="28252" xr:uid="{00000000-0005-0000-0000-000093430000}"/>
    <cellStyle name="20% - Accent6 3 3 3 3 3" xfId="8467" xr:uid="{00000000-0005-0000-0000-000094430000}"/>
    <cellStyle name="20% - Accent6 3 3 3 3 3 2" xfId="19768" xr:uid="{00000000-0005-0000-0000-000095430000}"/>
    <cellStyle name="20% - Accent6 3 3 3 3 3 2 2" xfId="42370" xr:uid="{00000000-0005-0000-0000-000096430000}"/>
    <cellStyle name="20% - Accent6 3 3 3 3 3 3" xfId="31069" xr:uid="{00000000-0005-0000-0000-000097430000}"/>
    <cellStyle name="20% - Accent6 3 3 3 3 4" xfId="14118" xr:uid="{00000000-0005-0000-0000-000098430000}"/>
    <cellStyle name="20% - Accent6 3 3 3 3 4 2" xfId="36720" xr:uid="{00000000-0005-0000-0000-000099430000}"/>
    <cellStyle name="20% - Accent6 3 3 3 3 5" xfId="25419" xr:uid="{00000000-0005-0000-0000-00009A430000}"/>
    <cellStyle name="20% - Accent6 3 3 3 4" xfId="4416" xr:uid="{00000000-0005-0000-0000-00009B430000}"/>
    <cellStyle name="20% - Accent6 3 3 3 4 2" xfId="10066" xr:uid="{00000000-0005-0000-0000-00009C430000}"/>
    <cellStyle name="20% - Accent6 3 3 3 4 2 2" xfId="21367" xr:uid="{00000000-0005-0000-0000-00009D430000}"/>
    <cellStyle name="20% - Accent6 3 3 3 4 2 2 2" xfId="43969" xr:uid="{00000000-0005-0000-0000-00009E430000}"/>
    <cellStyle name="20% - Accent6 3 3 3 4 2 3" xfId="32668" xr:uid="{00000000-0005-0000-0000-00009F430000}"/>
    <cellStyle name="20% - Accent6 3 3 3 4 3" xfId="15717" xr:uid="{00000000-0005-0000-0000-0000A0430000}"/>
    <cellStyle name="20% - Accent6 3 3 3 4 3 2" xfId="38319" xr:uid="{00000000-0005-0000-0000-0000A1430000}"/>
    <cellStyle name="20% - Accent6 3 3 3 4 4" xfId="27018" xr:uid="{00000000-0005-0000-0000-0000A2430000}"/>
    <cellStyle name="20% - Accent6 3 3 3 5" xfId="7213" xr:uid="{00000000-0005-0000-0000-0000A3430000}"/>
    <cellStyle name="20% - Accent6 3 3 3 5 2" xfId="18514" xr:uid="{00000000-0005-0000-0000-0000A4430000}"/>
    <cellStyle name="20% - Accent6 3 3 3 5 2 2" xfId="41116" xr:uid="{00000000-0005-0000-0000-0000A5430000}"/>
    <cellStyle name="20% - Accent6 3 3 3 5 3" xfId="29815" xr:uid="{00000000-0005-0000-0000-0000A6430000}"/>
    <cellStyle name="20% - Accent6 3 3 3 6" xfId="12864" xr:uid="{00000000-0005-0000-0000-0000A7430000}"/>
    <cellStyle name="20% - Accent6 3 3 3 6 2" xfId="35466" xr:uid="{00000000-0005-0000-0000-0000A8430000}"/>
    <cellStyle name="20% - Accent6 3 3 3 7" xfId="24165" xr:uid="{00000000-0005-0000-0000-0000A9430000}"/>
    <cellStyle name="20% - Accent6 3 3 4" xfId="925" xr:uid="{00000000-0005-0000-0000-0000AA430000}"/>
    <cellStyle name="20% - Accent6 3 3 4 2" xfId="2995" xr:uid="{00000000-0005-0000-0000-0000AB430000}"/>
    <cellStyle name="20% - Accent6 3 3 4 2 2" xfId="5967" xr:uid="{00000000-0005-0000-0000-0000AC430000}"/>
    <cellStyle name="20% - Accent6 3 3 4 2 2 2" xfId="11617" xr:uid="{00000000-0005-0000-0000-0000AD430000}"/>
    <cellStyle name="20% - Accent6 3 3 4 2 2 2 2" xfId="22918" xr:uid="{00000000-0005-0000-0000-0000AE430000}"/>
    <cellStyle name="20% - Accent6 3 3 4 2 2 2 2 2" xfId="45520" xr:uid="{00000000-0005-0000-0000-0000AF430000}"/>
    <cellStyle name="20% - Accent6 3 3 4 2 2 2 3" xfId="34219" xr:uid="{00000000-0005-0000-0000-0000B0430000}"/>
    <cellStyle name="20% - Accent6 3 3 4 2 2 3" xfId="17268" xr:uid="{00000000-0005-0000-0000-0000B1430000}"/>
    <cellStyle name="20% - Accent6 3 3 4 2 2 3 2" xfId="39870" xr:uid="{00000000-0005-0000-0000-0000B2430000}"/>
    <cellStyle name="20% - Accent6 3 3 4 2 2 4" xfId="28569" xr:uid="{00000000-0005-0000-0000-0000B3430000}"/>
    <cellStyle name="20% - Accent6 3 3 4 2 3" xfId="8785" xr:uid="{00000000-0005-0000-0000-0000B4430000}"/>
    <cellStyle name="20% - Accent6 3 3 4 2 3 2" xfId="20086" xr:uid="{00000000-0005-0000-0000-0000B5430000}"/>
    <cellStyle name="20% - Accent6 3 3 4 2 3 2 2" xfId="42688" xr:uid="{00000000-0005-0000-0000-0000B6430000}"/>
    <cellStyle name="20% - Accent6 3 3 4 2 3 3" xfId="31387" xr:uid="{00000000-0005-0000-0000-0000B7430000}"/>
    <cellStyle name="20% - Accent6 3 3 4 2 4" xfId="14436" xr:uid="{00000000-0005-0000-0000-0000B8430000}"/>
    <cellStyle name="20% - Accent6 3 3 4 2 4 2" xfId="37038" xr:uid="{00000000-0005-0000-0000-0000B9430000}"/>
    <cellStyle name="20% - Accent6 3 3 4 2 5" xfId="25737" xr:uid="{00000000-0005-0000-0000-0000BA430000}"/>
    <cellStyle name="20% - Accent6 3 3 4 3" xfId="4733" xr:uid="{00000000-0005-0000-0000-0000BB430000}"/>
    <cellStyle name="20% - Accent6 3 3 4 3 2" xfId="10383" xr:uid="{00000000-0005-0000-0000-0000BC430000}"/>
    <cellStyle name="20% - Accent6 3 3 4 3 2 2" xfId="21684" xr:uid="{00000000-0005-0000-0000-0000BD430000}"/>
    <cellStyle name="20% - Accent6 3 3 4 3 2 2 2" xfId="44286" xr:uid="{00000000-0005-0000-0000-0000BE430000}"/>
    <cellStyle name="20% - Accent6 3 3 4 3 2 3" xfId="32985" xr:uid="{00000000-0005-0000-0000-0000BF430000}"/>
    <cellStyle name="20% - Accent6 3 3 4 3 3" xfId="16034" xr:uid="{00000000-0005-0000-0000-0000C0430000}"/>
    <cellStyle name="20% - Accent6 3 3 4 3 3 2" xfId="38636" xr:uid="{00000000-0005-0000-0000-0000C1430000}"/>
    <cellStyle name="20% - Accent6 3 3 4 3 4" xfId="27335" xr:uid="{00000000-0005-0000-0000-0000C2430000}"/>
    <cellStyle name="20% - Accent6 3 3 4 4" xfId="6920" xr:uid="{00000000-0005-0000-0000-0000C3430000}"/>
    <cellStyle name="20% - Accent6 3 3 4 4 2" xfId="18221" xr:uid="{00000000-0005-0000-0000-0000C4430000}"/>
    <cellStyle name="20% - Accent6 3 3 4 4 2 2" xfId="40823" xr:uid="{00000000-0005-0000-0000-0000C5430000}"/>
    <cellStyle name="20% - Accent6 3 3 4 4 3" xfId="29522" xr:uid="{00000000-0005-0000-0000-0000C6430000}"/>
    <cellStyle name="20% - Accent6 3 3 4 5" xfId="12571" xr:uid="{00000000-0005-0000-0000-0000C7430000}"/>
    <cellStyle name="20% - Accent6 3 3 4 5 2" xfId="35173" xr:uid="{00000000-0005-0000-0000-0000C8430000}"/>
    <cellStyle name="20% - Accent6 3 3 4 6" xfId="23872" xr:uid="{00000000-0005-0000-0000-0000C9430000}"/>
    <cellStyle name="20% - Accent6 3 3 5" xfId="1775" xr:uid="{00000000-0005-0000-0000-0000CA430000}"/>
    <cellStyle name="20% - Accent6 3 3 5 2" xfId="3686" xr:uid="{00000000-0005-0000-0000-0000CB430000}"/>
    <cellStyle name="20% - Accent6 3 3 5 2 2" xfId="9397" xr:uid="{00000000-0005-0000-0000-0000CC430000}"/>
    <cellStyle name="20% - Accent6 3 3 5 2 2 2" xfId="20698" xr:uid="{00000000-0005-0000-0000-0000CD430000}"/>
    <cellStyle name="20% - Accent6 3 3 5 2 2 2 2" xfId="43300" xr:uid="{00000000-0005-0000-0000-0000CE430000}"/>
    <cellStyle name="20% - Accent6 3 3 5 2 2 3" xfId="31999" xr:uid="{00000000-0005-0000-0000-0000CF430000}"/>
    <cellStyle name="20% - Accent6 3 3 5 2 3" xfId="15048" xr:uid="{00000000-0005-0000-0000-0000D0430000}"/>
    <cellStyle name="20% - Accent6 3 3 5 2 3 2" xfId="37650" xr:uid="{00000000-0005-0000-0000-0000D1430000}"/>
    <cellStyle name="20% - Accent6 3 3 5 2 4" xfId="26349" xr:uid="{00000000-0005-0000-0000-0000D2430000}"/>
    <cellStyle name="20% - Accent6 3 3 5 3" xfId="5343" xr:uid="{00000000-0005-0000-0000-0000D3430000}"/>
    <cellStyle name="20% - Accent6 3 3 5 3 2" xfId="10993" xr:uid="{00000000-0005-0000-0000-0000D4430000}"/>
    <cellStyle name="20% - Accent6 3 3 5 3 2 2" xfId="22294" xr:uid="{00000000-0005-0000-0000-0000D5430000}"/>
    <cellStyle name="20% - Accent6 3 3 5 3 2 2 2" xfId="44896" xr:uid="{00000000-0005-0000-0000-0000D6430000}"/>
    <cellStyle name="20% - Accent6 3 3 5 3 2 3" xfId="33595" xr:uid="{00000000-0005-0000-0000-0000D7430000}"/>
    <cellStyle name="20% - Accent6 3 3 5 3 3" xfId="16644" xr:uid="{00000000-0005-0000-0000-0000D8430000}"/>
    <cellStyle name="20% - Accent6 3 3 5 3 3 2" xfId="39246" xr:uid="{00000000-0005-0000-0000-0000D9430000}"/>
    <cellStyle name="20% - Accent6 3 3 5 3 4" xfId="27945" xr:uid="{00000000-0005-0000-0000-0000DA430000}"/>
    <cellStyle name="20% - Accent6 3 3 5 4" xfId="7631" xr:uid="{00000000-0005-0000-0000-0000DB430000}"/>
    <cellStyle name="20% - Accent6 3 3 5 4 2" xfId="18932" xr:uid="{00000000-0005-0000-0000-0000DC430000}"/>
    <cellStyle name="20% - Accent6 3 3 5 4 2 2" xfId="41534" xr:uid="{00000000-0005-0000-0000-0000DD430000}"/>
    <cellStyle name="20% - Accent6 3 3 5 4 3" xfId="30233" xr:uid="{00000000-0005-0000-0000-0000DE430000}"/>
    <cellStyle name="20% - Accent6 3 3 5 5" xfId="13282" xr:uid="{00000000-0005-0000-0000-0000DF430000}"/>
    <cellStyle name="20% - Accent6 3 3 5 5 2" xfId="35884" xr:uid="{00000000-0005-0000-0000-0000E0430000}"/>
    <cellStyle name="20% - Accent6 3 3 5 6" xfId="24583" xr:uid="{00000000-0005-0000-0000-0000E1430000}"/>
    <cellStyle name="20% - Accent6 3 3 6" xfId="2322" xr:uid="{00000000-0005-0000-0000-0000E2430000}"/>
    <cellStyle name="20% - Accent6 3 3 6 2" xfId="8158" xr:uid="{00000000-0005-0000-0000-0000E3430000}"/>
    <cellStyle name="20% - Accent6 3 3 6 2 2" xfId="19459" xr:uid="{00000000-0005-0000-0000-0000E4430000}"/>
    <cellStyle name="20% - Accent6 3 3 6 2 2 2" xfId="42061" xr:uid="{00000000-0005-0000-0000-0000E5430000}"/>
    <cellStyle name="20% - Accent6 3 3 6 2 3" xfId="30760" xr:uid="{00000000-0005-0000-0000-0000E6430000}"/>
    <cellStyle name="20% - Accent6 3 3 6 3" xfId="13809" xr:uid="{00000000-0005-0000-0000-0000E7430000}"/>
    <cellStyle name="20% - Accent6 3 3 6 3 2" xfId="36411" xr:uid="{00000000-0005-0000-0000-0000E8430000}"/>
    <cellStyle name="20% - Accent6 3 3 6 4" xfId="25110" xr:uid="{00000000-0005-0000-0000-0000E9430000}"/>
    <cellStyle name="20% - Accent6 3 3 7" xfId="4109" xr:uid="{00000000-0005-0000-0000-0000EA430000}"/>
    <cellStyle name="20% - Accent6 3 3 7 2" xfId="9759" xr:uid="{00000000-0005-0000-0000-0000EB430000}"/>
    <cellStyle name="20% - Accent6 3 3 7 2 2" xfId="21060" xr:uid="{00000000-0005-0000-0000-0000EC430000}"/>
    <cellStyle name="20% - Accent6 3 3 7 2 2 2" xfId="43662" xr:uid="{00000000-0005-0000-0000-0000ED430000}"/>
    <cellStyle name="20% - Accent6 3 3 7 2 3" xfId="32361" xr:uid="{00000000-0005-0000-0000-0000EE430000}"/>
    <cellStyle name="20% - Accent6 3 3 7 3" xfId="15410" xr:uid="{00000000-0005-0000-0000-0000EF430000}"/>
    <cellStyle name="20% - Accent6 3 3 7 3 2" xfId="38012" xr:uid="{00000000-0005-0000-0000-0000F0430000}"/>
    <cellStyle name="20% - Accent6 3 3 7 4" xfId="26711" xr:uid="{00000000-0005-0000-0000-0000F1430000}"/>
    <cellStyle name="20% - Accent6 3 3 8" xfId="6560" xr:uid="{00000000-0005-0000-0000-0000F2430000}"/>
    <cellStyle name="20% - Accent6 3 3 8 2" xfId="17861" xr:uid="{00000000-0005-0000-0000-0000F3430000}"/>
    <cellStyle name="20% - Accent6 3 3 8 2 2" xfId="40463" xr:uid="{00000000-0005-0000-0000-0000F4430000}"/>
    <cellStyle name="20% - Accent6 3 3 8 3" xfId="29162" xr:uid="{00000000-0005-0000-0000-0000F5430000}"/>
    <cellStyle name="20% - Accent6 3 3 9" xfId="12211" xr:uid="{00000000-0005-0000-0000-0000F6430000}"/>
    <cellStyle name="20% - Accent6 3 3 9 2" xfId="34813" xr:uid="{00000000-0005-0000-0000-0000F7430000}"/>
    <cellStyle name="20% - Accent6 3 4" xfId="563" xr:uid="{00000000-0005-0000-0000-0000F8430000}"/>
    <cellStyle name="20% - Accent6 3 4 2" xfId="1138" xr:uid="{00000000-0005-0000-0000-0000F9430000}"/>
    <cellStyle name="20% - Accent6 3 4 2 2" xfId="1780" xr:uid="{00000000-0005-0000-0000-0000FA430000}"/>
    <cellStyle name="20% - Accent6 3 4 2 2 2" xfId="3206" xr:uid="{00000000-0005-0000-0000-0000FB430000}"/>
    <cellStyle name="20% - Accent6 3 4 2 2 2 2" xfId="6178" xr:uid="{00000000-0005-0000-0000-0000FC430000}"/>
    <cellStyle name="20% - Accent6 3 4 2 2 2 2 2" xfId="11828" xr:uid="{00000000-0005-0000-0000-0000FD430000}"/>
    <cellStyle name="20% - Accent6 3 4 2 2 2 2 2 2" xfId="23129" xr:uid="{00000000-0005-0000-0000-0000FE430000}"/>
    <cellStyle name="20% - Accent6 3 4 2 2 2 2 2 2 2" xfId="45731" xr:uid="{00000000-0005-0000-0000-0000FF430000}"/>
    <cellStyle name="20% - Accent6 3 4 2 2 2 2 2 3" xfId="34430" xr:uid="{00000000-0005-0000-0000-000000440000}"/>
    <cellStyle name="20% - Accent6 3 4 2 2 2 2 3" xfId="17479" xr:uid="{00000000-0005-0000-0000-000001440000}"/>
    <cellStyle name="20% - Accent6 3 4 2 2 2 2 3 2" xfId="40081" xr:uid="{00000000-0005-0000-0000-000002440000}"/>
    <cellStyle name="20% - Accent6 3 4 2 2 2 2 4" xfId="28780" xr:uid="{00000000-0005-0000-0000-000003440000}"/>
    <cellStyle name="20% - Accent6 3 4 2 2 2 3" xfId="8996" xr:uid="{00000000-0005-0000-0000-000004440000}"/>
    <cellStyle name="20% - Accent6 3 4 2 2 2 3 2" xfId="20297" xr:uid="{00000000-0005-0000-0000-000005440000}"/>
    <cellStyle name="20% - Accent6 3 4 2 2 2 3 2 2" xfId="42899" xr:uid="{00000000-0005-0000-0000-000006440000}"/>
    <cellStyle name="20% - Accent6 3 4 2 2 2 3 3" xfId="31598" xr:uid="{00000000-0005-0000-0000-000007440000}"/>
    <cellStyle name="20% - Accent6 3 4 2 2 2 4" xfId="14647" xr:uid="{00000000-0005-0000-0000-000008440000}"/>
    <cellStyle name="20% - Accent6 3 4 2 2 2 4 2" xfId="37249" xr:uid="{00000000-0005-0000-0000-000009440000}"/>
    <cellStyle name="20% - Accent6 3 4 2 2 2 5" xfId="25948" xr:uid="{00000000-0005-0000-0000-00000A440000}"/>
    <cellStyle name="20% - Accent6 3 4 2 2 3" xfId="4944" xr:uid="{00000000-0005-0000-0000-00000B440000}"/>
    <cellStyle name="20% - Accent6 3 4 2 2 3 2" xfId="10594" xr:uid="{00000000-0005-0000-0000-00000C440000}"/>
    <cellStyle name="20% - Accent6 3 4 2 2 3 2 2" xfId="21895" xr:uid="{00000000-0005-0000-0000-00000D440000}"/>
    <cellStyle name="20% - Accent6 3 4 2 2 3 2 2 2" xfId="44497" xr:uid="{00000000-0005-0000-0000-00000E440000}"/>
    <cellStyle name="20% - Accent6 3 4 2 2 3 2 3" xfId="33196" xr:uid="{00000000-0005-0000-0000-00000F440000}"/>
    <cellStyle name="20% - Accent6 3 4 2 2 3 3" xfId="16245" xr:uid="{00000000-0005-0000-0000-000010440000}"/>
    <cellStyle name="20% - Accent6 3 4 2 2 3 3 2" xfId="38847" xr:uid="{00000000-0005-0000-0000-000011440000}"/>
    <cellStyle name="20% - Accent6 3 4 2 2 3 4" xfId="27546" xr:uid="{00000000-0005-0000-0000-000012440000}"/>
    <cellStyle name="20% - Accent6 3 4 2 2 4" xfId="7636" xr:uid="{00000000-0005-0000-0000-000013440000}"/>
    <cellStyle name="20% - Accent6 3 4 2 2 4 2" xfId="18937" xr:uid="{00000000-0005-0000-0000-000014440000}"/>
    <cellStyle name="20% - Accent6 3 4 2 2 4 2 2" xfId="41539" xr:uid="{00000000-0005-0000-0000-000015440000}"/>
    <cellStyle name="20% - Accent6 3 4 2 2 4 3" xfId="30238" xr:uid="{00000000-0005-0000-0000-000016440000}"/>
    <cellStyle name="20% - Accent6 3 4 2 2 5" xfId="13287" xr:uid="{00000000-0005-0000-0000-000017440000}"/>
    <cellStyle name="20% - Accent6 3 4 2 2 5 2" xfId="35889" xr:uid="{00000000-0005-0000-0000-000018440000}"/>
    <cellStyle name="20% - Accent6 3 4 2 2 6" xfId="24588" xr:uid="{00000000-0005-0000-0000-000019440000}"/>
    <cellStyle name="20% - Accent6 3 4 2 3" xfId="2535" xr:uid="{00000000-0005-0000-0000-00001A440000}"/>
    <cellStyle name="20% - Accent6 3 4 2 3 2" xfId="5554" xr:uid="{00000000-0005-0000-0000-00001B440000}"/>
    <cellStyle name="20% - Accent6 3 4 2 3 2 2" xfId="11204" xr:uid="{00000000-0005-0000-0000-00001C440000}"/>
    <cellStyle name="20% - Accent6 3 4 2 3 2 2 2" xfId="22505" xr:uid="{00000000-0005-0000-0000-00001D440000}"/>
    <cellStyle name="20% - Accent6 3 4 2 3 2 2 2 2" xfId="45107" xr:uid="{00000000-0005-0000-0000-00001E440000}"/>
    <cellStyle name="20% - Accent6 3 4 2 3 2 2 3" xfId="33806" xr:uid="{00000000-0005-0000-0000-00001F440000}"/>
    <cellStyle name="20% - Accent6 3 4 2 3 2 3" xfId="16855" xr:uid="{00000000-0005-0000-0000-000020440000}"/>
    <cellStyle name="20% - Accent6 3 4 2 3 2 3 2" xfId="39457" xr:uid="{00000000-0005-0000-0000-000021440000}"/>
    <cellStyle name="20% - Accent6 3 4 2 3 2 4" xfId="28156" xr:uid="{00000000-0005-0000-0000-000022440000}"/>
    <cellStyle name="20% - Accent6 3 4 2 3 3" xfId="8371" xr:uid="{00000000-0005-0000-0000-000023440000}"/>
    <cellStyle name="20% - Accent6 3 4 2 3 3 2" xfId="19672" xr:uid="{00000000-0005-0000-0000-000024440000}"/>
    <cellStyle name="20% - Accent6 3 4 2 3 3 2 2" xfId="42274" xr:uid="{00000000-0005-0000-0000-000025440000}"/>
    <cellStyle name="20% - Accent6 3 4 2 3 3 3" xfId="30973" xr:uid="{00000000-0005-0000-0000-000026440000}"/>
    <cellStyle name="20% - Accent6 3 4 2 3 4" xfId="14022" xr:uid="{00000000-0005-0000-0000-000027440000}"/>
    <cellStyle name="20% - Accent6 3 4 2 3 4 2" xfId="36624" xr:uid="{00000000-0005-0000-0000-000028440000}"/>
    <cellStyle name="20% - Accent6 3 4 2 3 5" xfId="25323" xr:uid="{00000000-0005-0000-0000-000029440000}"/>
    <cellStyle name="20% - Accent6 3 4 2 4" xfId="4320" xr:uid="{00000000-0005-0000-0000-00002A440000}"/>
    <cellStyle name="20% - Accent6 3 4 2 4 2" xfId="9970" xr:uid="{00000000-0005-0000-0000-00002B440000}"/>
    <cellStyle name="20% - Accent6 3 4 2 4 2 2" xfId="21271" xr:uid="{00000000-0005-0000-0000-00002C440000}"/>
    <cellStyle name="20% - Accent6 3 4 2 4 2 2 2" xfId="43873" xr:uid="{00000000-0005-0000-0000-00002D440000}"/>
    <cellStyle name="20% - Accent6 3 4 2 4 2 3" xfId="32572" xr:uid="{00000000-0005-0000-0000-00002E440000}"/>
    <cellStyle name="20% - Accent6 3 4 2 4 3" xfId="15621" xr:uid="{00000000-0005-0000-0000-00002F440000}"/>
    <cellStyle name="20% - Accent6 3 4 2 4 3 2" xfId="38223" xr:uid="{00000000-0005-0000-0000-000030440000}"/>
    <cellStyle name="20% - Accent6 3 4 2 4 4" xfId="26922" xr:uid="{00000000-0005-0000-0000-000031440000}"/>
    <cellStyle name="20% - Accent6 3 4 2 5" xfId="7117" xr:uid="{00000000-0005-0000-0000-000032440000}"/>
    <cellStyle name="20% - Accent6 3 4 2 5 2" xfId="18418" xr:uid="{00000000-0005-0000-0000-000033440000}"/>
    <cellStyle name="20% - Accent6 3 4 2 5 2 2" xfId="41020" xr:uid="{00000000-0005-0000-0000-000034440000}"/>
    <cellStyle name="20% - Accent6 3 4 2 5 3" xfId="29719" xr:uid="{00000000-0005-0000-0000-000035440000}"/>
    <cellStyle name="20% - Accent6 3 4 2 6" xfId="12768" xr:uid="{00000000-0005-0000-0000-000036440000}"/>
    <cellStyle name="20% - Accent6 3 4 2 6 2" xfId="35370" xr:uid="{00000000-0005-0000-0000-000037440000}"/>
    <cellStyle name="20% - Accent6 3 4 2 7" xfId="24069" xr:uid="{00000000-0005-0000-0000-000038440000}"/>
    <cellStyle name="20% - Accent6 3 4 3" xfId="812" xr:uid="{00000000-0005-0000-0000-000039440000}"/>
    <cellStyle name="20% - Accent6 3 4 3 2" xfId="2899" xr:uid="{00000000-0005-0000-0000-00003A440000}"/>
    <cellStyle name="20% - Accent6 3 4 3 2 2" xfId="5871" xr:uid="{00000000-0005-0000-0000-00003B440000}"/>
    <cellStyle name="20% - Accent6 3 4 3 2 2 2" xfId="11521" xr:uid="{00000000-0005-0000-0000-00003C440000}"/>
    <cellStyle name="20% - Accent6 3 4 3 2 2 2 2" xfId="22822" xr:uid="{00000000-0005-0000-0000-00003D440000}"/>
    <cellStyle name="20% - Accent6 3 4 3 2 2 2 2 2" xfId="45424" xr:uid="{00000000-0005-0000-0000-00003E440000}"/>
    <cellStyle name="20% - Accent6 3 4 3 2 2 2 3" xfId="34123" xr:uid="{00000000-0005-0000-0000-00003F440000}"/>
    <cellStyle name="20% - Accent6 3 4 3 2 2 3" xfId="17172" xr:uid="{00000000-0005-0000-0000-000040440000}"/>
    <cellStyle name="20% - Accent6 3 4 3 2 2 3 2" xfId="39774" xr:uid="{00000000-0005-0000-0000-000041440000}"/>
    <cellStyle name="20% - Accent6 3 4 3 2 2 4" xfId="28473" xr:uid="{00000000-0005-0000-0000-000042440000}"/>
    <cellStyle name="20% - Accent6 3 4 3 2 3" xfId="8689" xr:uid="{00000000-0005-0000-0000-000043440000}"/>
    <cellStyle name="20% - Accent6 3 4 3 2 3 2" xfId="19990" xr:uid="{00000000-0005-0000-0000-000044440000}"/>
    <cellStyle name="20% - Accent6 3 4 3 2 3 2 2" xfId="42592" xr:uid="{00000000-0005-0000-0000-000045440000}"/>
    <cellStyle name="20% - Accent6 3 4 3 2 3 3" xfId="31291" xr:uid="{00000000-0005-0000-0000-000046440000}"/>
    <cellStyle name="20% - Accent6 3 4 3 2 4" xfId="14340" xr:uid="{00000000-0005-0000-0000-000047440000}"/>
    <cellStyle name="20% - Accent6 3 4 3 2 4 2" xfId="36942" xr:uid="{00000000-0005-0000-0000-000048440000}"/>
    <cellStyle name="20% - Accent6 3 4 3 2 5" xfId="25641" xr:uid="{00000000-0005-0000-0000-000049440000}"/>
    <cellStyle name="20% - Accent6 3 4 3 3" xfId="4637" xr:uid="{00000000-0005-0000-0000-00004A440000}"/>
    <cellStyle name="20% - Accent6 3 4 3 3 2" xfId="10287" xr:uid="{00000000-0005-0000-0000-00004B440000}"/>
    <cellStyle name="20% - Accent6 3 4 3 3 2 2" xfId="21588" xr:uid="{00000000-0005-0000-0000-00004C440000}"/>
    <cellStyle name="20% - Accent6 3 4 3 3 2 2 2" xfId="44190" xr:uid="{00000000-0005-0000-0000-00004D440000}"/>
    <cellStyle name="20% - Accent6 3 4 3 3 2 3" xfId="32889" xr:uid="{00000000-0005-0000-0000-00004E440000}"/>
    <cellStyle name="20% - Accent6 3 4 3 3 3" xfId="15938" xr:uid="{00000000-0005-0000-0000-00004F440000}"/>
    <cellStyle name="20% - Accent6 3 4 3 3 3 2" xfId="38540" xr:uid="{00000000-0005-0000-0000-000050440000}"/>
    <cellStyle name="20% - Accent6 3 4 3 3 4" xfId="27239" xr:uid="{00000000-0005-0000-0000-000051440000}"/>
    <cellStyle name="20% - Accent6 3 4 3 4" xfId="6820" xr:uid="{00000000-0005-0000-0000-000052440000}"/>
    <cellStyle name="20% - Accent6 3 4 3 4 2" xfId="18121" xr:uid="{00000000-0005-0000-0000-000053440000}"/>
    <cellStyle name="20% - Accent6 3 4 3 4 2 2" xfId="40723" xr:uid="{00000000-0005-0000-0000-000054440000}"/>
    <cellStyle name="20% - Accent6 3 4 3 4 3" xfId="29422" xr:uid="{00000000-0005-0000-0000-000055440000}"/>
    <cellStyle name="20% - Accent6 3 4 3 5" xfId="12471" xr:uid="{00000000-0005-0000-0000-000056440000}"/>
    <cellStyle name="20% - Accent6 3 4 3 5 2" xfId="35073" xr:uid="{00000000-0005-0000-0000-000057440000}"/>
    <cellStyle name="20% - Accent6 3 4 3 6" xfId="23772" xr:uid="{00000000-0005-0000-0000-000058440000}"/>
    <cellStyle name="20% - Accent6 3 4 4" xfId="1779" xr:uid="{00000000-0005-0000-0000-000059440000}"/>
    <cellStyle name="20% - Accent6 3 4 4 2" xfId="3688" xr:uid="{00000000-0005-0000-0000-00005A440000}"/>
    <cellStyle name="20% - Accent6 3 4 4 2 2" xfId="9399" xr:uid="{00000000-0005-0000-0000-00005B440000}"/>
    <cellStyle name="20% - Accent6 3 4 4 2 2 2" xfId="20700" xr:uid="{00000000-0005-0000-0000-00005C440000}"/>
    <cellStyle name="20% - Accent6 3 4 4 2 2 2 2" xfId="43302" xr:uid="{00000000-0005-0000-0000-00005D440000}"/>
    <cellStyle name="20% - Accent6 3 4 4 2 2 3" xfId="32001" xr:uid="{00000000-0005-0000-0000-00005E440000}"/>
    <cellStyle name="20% - Accent6 3 4 4 2 3" xfId="15050" xr:uid="{00000000-0005-0000-0000-00005F440000}"/>
    <cellStyle name="20% - Accent6 3 4 4 2 3 2" xfId="37652" xr:uid="{00000000-0005-0000-0000-000060440000}"/>
    <cellStyle name="20% - Accent6 3 4 4 2 4" xfId="26351" xr:uid="{00000000-0005-0000-0000-000061440000}"/>
    <cellStyle name="20% - Accent6 3 4 4 3" xfId="5247" xr:uid="{00000000-0005-0000-0000-000062440000}"/>
    <cellStyle name="20% - Accent6 3 4 4 3 2" xfId="10897" xr:uid="{00000000-0005-0000-0000-000063440000}"/>
    <cellStyle name="20% - Accent6 3 4 4 3 2 2" xfId="22198" xr:uid="{00000000-0005-0000-0000-000064440000}"/>
    <cellStyle name="20% - Accent6 3 4 4 3 2 2 2" xfId="44800" xr:uid="{00000000-0005-0000-0000-000065440000}"/>
    <cellStyle name="20% - Accent6 3 4 4 3 2 3" xfId="33499" xr:uid="{00000000-0005-0000-0000-000066440000}"/>
    <cellStyle name="20% - Accent6 3 4 4 3 3" xfId="16548" xr:uid="{00000000-0005-0000-0000-000067440000}"/>
    <cellStyle name="20% - Accent6 3 4 4 3 3 2" xfId="39150" xr:uid="{00000000-0005-0000-0000-000068440000}"/>
    <cellStyle name="20% - Accent6 3 4 4 3 4" xfId="27849" xr:uid="{00000000-0005-0000-0000-000069440000}"/>
    <cellStyle name="20% - Accent6 3 4 4 4" xfId="7635" xr:uid="{00000000-0005-0000-0000-00006A440000}"/>
    <cellStyle name="20% - Accent6 3 4 4 4 2" xfId="18936" xr:uid="{00000000-0005-0000-0000-00006B440000}"/>
    <cellStyle name="20% - Accent6 3 4 4 4 2 2" xfId="41538" xr:uid="{00000000-0005-0000-0000-00006C440000}"/>
    <cellStyle name="20% - Accent6 3 4 4 4 3" xfId="30237" xr:uid="{00000000-0005-0000-0000-00006D440000}"/>
    <cellStyle name="20% - Accent6 3 4 4 5" xfId="13286" xr:uid="{00000000-0005-0000-0000-00006E440000}"/>
    <cellStyle name="20% - Accent6 3 4 4 5 2" xfId="35888" xr:uid="{00000000-0005-0000-0000-00006F440000}"/>
    <cellStyle name="20% - Accent6 3 4 4 6" xfId="24587" xr:uid="{00000000-0005-0000-0000-000070440000}"/>
    <cellStyle name="20% - Accent6 3 4 5" xfId="2219" xr:uid="{00000000-0005-0000-0000-000071440000}"/>
    <cellStyle name="20% - Accent6 3 4 5 2" xfId="8061" xr:uid="{00000000-0005-0000-0000-000072440000}"/>
    <cellStyle name="20% - Accent6 3 4 5 2 2" xfId="19362" xr:uid="{00000000-0005-0000-0000-000073440000}"/>
    <cellStyle name="20% - Accent6 3 4 5 2 2 2" xfId="41964" xr:uid="{00000000-0005-0000-0000-000074440000}"/>
    <cellStyle name="20% - Accent6 3 4 5 2 3" xfId="30663" xr:uid="{00000000-0005-0000-0000-000075440000}"/>
    <cellStyle name="20% - Accent6 3 4 5 3" xfId="13712" xr:uid="{00000000-0005-0000-0000-000076440000}"/>
    <cellStyle name="20% - Accent6 3 4 5 3 2" xfId="36314" xr:uid="{00000000-0005-0000-0000-000077440000}"/>
    <cellStyle name="20% - Accent6 3 4 5 4" xfId="25013" xr:uid="{00000000-0005-0000-0000-000078440000}"/>
    <cellStyle name="20% - Accent6 3 4 6" xfId="4013" xr:uid="{00000000-0005-0000-0000-000079440000}"/>
    <cellStyle name="20% - Accent6 3 4 6 2" xfId="9663" xr:uid="{00000000-0005-0000-0000-00007A440000}"/>
    <cellStyle name="20% - Accent6 3 4 6 2 2" xfId="20964" xr:uid="{00000000-0005-0000-0000-00007B440000}"/>
    <cellStyle name="20% - Accent6 3 4 6 2 2 2" xfId="43566" xr:uid="{00000000-0005-0000-0000-00007C440000}"/>
    <cellStyle name="20% - Accent6 3 4 6 2 3" xfId="32265" xr:uid="{00000000-0005-0000-0000-00007D440000}"/>
    <cellStyle name="20% - Accent6 3 4 6 3" xfId="15314" xr:uid="{00000000-0005-0000-0000-00007E440000}"/>
    <cellStyle name="20% - Accent6 3 4 6 3 2" xfId="37916" xr:uid="{00000000-0005-0000-0000-00007F440000}"/>
    <cellStyle name="20% - Accent6 3 4 6 4" xfId="26615" xr:uid="{00000000-0005-0000-0000-000080440000}"/>
    <cellStyle name="20% - Accent6 3 4 7" xfId="6631" xr:uid="{00000000-0005-0000-0000-000081440000}"/>
    <cellStyle name="20% - Accent6 3 4 7 2" xfId="17932" xr:uid="{00000000-0005-0000-0000-000082440000}"/>
    <cellStyle name="20% - Accent6 3 4 7 2 2" xfId="40534" xr:uid="{00000000-0005-0000-0000-000083440000}"/>
    <cellStyle name="20% - Accent6 3 4 7 3" xfId="29233" xr:uid="{00000000-0005-0000-0000-000084440000}"/>
    <cellStyle name="20% - Accent6 3 4 8" xfId="12282" xr:uid="{00000000-0005-0000-0000-000085440000}"/>
    <cellStyle name="20% - Accent6 3 4 8 2" xfId="34884" xr:uid="{00000000-0005-0000-0000-000086440000}"/>
    <cellStyle name="20% - Accent6 3 4 9" xfId="23583" xr:uid="{00000000-0005-0000-0000-000087440000}"/>
    <cellStyle name="20% - Accent6 3 5" xfId="454" xr:uid="{00000000-0005-0000-0000-000088440000}"/>
    <cellStyle name="20% - Accent6 3 6" xfId="876" xr:uid="{00000000-0005-0000-0000-000089440000}"/>
    <cellStyle name="20% - Accent6 3 7" xfId="6464" xr:uid="{00000000-0005-0000-0000-00008A440000}"/>
    <cellStyle name="20% - Accent6 3 7 2" xfId="17765" xr:uid="{00000000-0005-0000-0000-00008B440000}"/>
    <cellStyle name="20% - Accent6 3 7 2 2" xfId="40367" xr:uid="{00000000-0005-0000-0000-00008C440000}"/>
    <cellStyle name="20% - Accent6 3 7 3" xfId="29066" xr:uid="{00000000-0005-0000-0000-00008D440000}"/>
    <cellStyle name="20% - Accent6 3 8" xfId="12115" xr:uid="{00000000-0005-0000-0000-00008E440000}"/>
    <cellStyle name="20% - Accent6 3 8 2" xfId="34717" xr:uid="{00000000-0005-0000-0000-00008F440000}"/>
    <cellStyle name="20% - Accent6 3 9" xfId="23416" xr:uid="{00000000-0005-0000-0000-000090440000}"/>
    <cellStyle name="20% - Accent6 4" xfId="246" xr:uid="{00000000-0005-0000-0000-000091440000}"/>
    <cellStyle name="20% - Accent6 4 10" xfId="3999" xr:uid="{00000000-0005-0000-0000-000092440000}"/>
    <cellStyle name="20% - Accent6 4 10 2" xfId="9649" xr:uid="{00000000-0005-0000-0000-000093440000}"/>
    <cellStyle name="20% - Accent6 4 10 2 2" xfId="20950" xr:uid="{00000000-0005-0000-0000-000094440000}"/>
    <cellStyle name="20% - Accent6 4 10 2 2 2" xfId="43552" xr:uid="{00000000-0005-0000-0000-000095440000}"/>
    <cellStyle name="20% - Accent6 4 10 2 3" xfId="32251" xr:uid="{00000000-0005-0000-0000-000096440000}"/>
    <cellStyle name="20% - Accent6 4 10 3" xfId="15300" xr:uid="{00000000-0005-0000-0000-000097440000}"/>
    <cellStyle name="20% - Accent6 4 10 3 2" xfId="37902" xr:uid="{00000000-0005-0000-0000-000098440000}"/>
    <cellStyle name="20% - Accent6 4 10 4" xfId="26601" xr:uid="{00000000-0005-0000-0000-000099440000}"/>
    <cellStyle name="20% - Accent6 4 11" xfId="6478" xr:uid="{00000000-0005-0000-0000-00009A440000}"/>
    <cellStyle name="20% - Accent6 4 11 2" xfId="17779" xr:uid="{00000000-0005-0000-0000-00009B440000}"/>
    <cellStyle name="20% - Accent6 4 11 2 2" xfId="40381" xr:uid="{00000000-0005-0000-0000-00009C440000}"/>
    <cellStyle name="20% - Accent6 4 11 3" xfId="29080" xr:uid="{00000000-0005-0000-0000-00009D440000}"/>
    <cellStyle name="20% - Accent6 4 12" xfId="12129" xr:uid="{00000000-0005-0000-0000-00009E440000}"/>
    <cellStyle name="20% - Accent6 4 12 2" xfId="34731" xr:uid="{00000000-0005-0000-0000-00009F440000}"/>
    <cellStyle name="20% - Accent6 4 13" xfId="23430" xr:uid="{00000000-0005-0000-0000-0000A0440000}"/>
    <cellStyle name="20% - Accent6 4 2" xfId="369" xr:uid="{00000000-0005-0000-0000-0000A1440000}"/>
    <cellStyle name="20% - Accent6 4 2 10" xfId="23477" xr:uid="{00000000-0005-0000-0000-0000A2440000}"/>
    <cellStyle name="20% - Accent6 4 2 2" xfId="627" xr:uid="{00000000-0005-0000-0000-0000A3440000}"/>
    <cellStyle name="20% - Accent6 4 2 2 2" xfId="1337" xr:uid="{00000000-0005-0000-0000-0000A4440000}"/>
    <cellStyle name="20% - Accent6 4 2 2 2 2" xfId="1784" xr:uid="{00000000-0005-0000-0000-0000A5440000}"/>
    <cellStyle name="20% - Accent6 4 2 2 2 2 2" xfId="3406" xr:uid="{00000000-0005-0000-0000-0000A6440000}"/>
    <cellStyle name="20% - Accent6 4 2 2 2 2 2 2" xfId="6378" xr:uid="{00000000-0005-0000-0000-0000A7440000}"/>
    <cellStyle name="20% - Accent6 4 2 2 2 2 2 2 2" xfId="12028" xr:uid="{00000000-0005-0000-0000-0000A8440000}"/>
    <cellStyle name="20% - Accent6 4 2 2 2 2 2 2 2 2" xfId="23329" xr:uid="{00000000-0005-0000-0000-0000A9440000}"/>
    <cellStyle name="20% - Accent6 4 2 2 2 2 2 2 2 2 2" xfId="45931" xr:uid="{00000000-0005-0000-0000-0000AA440000}"/>
    <cellStyle name="20% - Accent6 4 2 2 2 2 2 2 2 3" xfId="34630" xr:uid="{00000000-0005-0000-0000-0000AB440000}"/>
    <cellStyle name="20% - Accent6 4 2 2 2 2 2 2 3" xfId="17679" xr:uid="{00000000-0005-0000-0000-0000AC440000}"/>
    <cellStyle name="20% - Accent6 4 2 2 2 2 2 2 3 2" xfId="40281" xr:uid="{00000000-0005-0000-0000-0000AD440000}"/>
    <cellStyle name="20% - Accent6 4 2 2 2 2 2 2 4" xfId="28980" xr:uid="{00000000-0005-0000-0000-0000AE440000}"/>
    <cellStyle name="20% - Accent6 4 2 2 2 2 2 3" xfId="9196" xr:uid="{00000000-0005-0000-0000-0000AF440000}"/>
    <cellStyle name="20% - Accent6 4 2 2 2 2 2 3 2" xfId="20497" xr:uid="{00000000-0005-0000-0000-0000B0440000}"/>
    <cellStyle name="20% - Accent6 4 2 2 2 2 2 3 2 2" xfId="43099" xr:uid="{00000000-0005-0000-0000-0000B1440000}"/>
    <cellStyle name="20% - Accent6 4 2 2 2 2 2 3 3" xfId="31798" xr:uid="{00000000-0005-0000-0000-0000B2440000}"/>
    <cellStyle name="20% - Accent6 4 2 2 2 2 2 4" xfId="14847" xr:uid="{00000000-0005-0000-0000-0000B3440000}"/>
    <cellStyle name="20% - Accent6 4 2 2 2 2 2 4 2" xfId="37449" xr:uid="{00000000-0005-0000-0000-0000B4440000}"/>
    <cellStyle name="20% - Accent6 4 2 2 2 2 2 5" xfId="26148" xr:uid="{00000000-0005-0000-0000-0000B5440000}"/>
    <cellStyle name="20% - Accent6 4 2 2 2 2 3" xfId="5144" xr:uid="{00000000-0005-0000-0000-0000B6440000}"/>
    <cellStyle name="20% - Accent6 4 2 2 2 2 3 2" xfId="10794" xr:uid="{00000000-0005-0000-0000-0000B7440000}"/>
    <cellStyle name="20% - Accent6 4 2 2 2 2 3 2 2" xfId="22095" xr:uid="{00000000-0005-0000-0000-0000B8440000}"/>
    <cellStyle name="20% - Accent6 4 2 2 2 2 3 2 2 2" xfId="44697" xr:uid="{00000000-0005-0000-0000-0000B9440000}"/>
    <cellStyle name="20% - Accent6 4 2 2 2 2 3 2 3" xfId="33396" xr:uid="{00000000-0005-0000-0000-0000BA440000}"/>
    <cellStyle name="20% - Accent6 4 2 2 2 2 3 3" xfId="16445" xr:uid="{00000000-0005-0000-0000-0000BB440000}"/>
    <cellStyle name="20% - Accent6 4 2 2 2 2 3 3 2" xfId="39047" xr:uid="{00000000-0005-0000-0000-0000BC440000}"/>
    <cellStyle name="20% - Accent6 4 2 2 2 2 3 4" xfId="27746" xr:uid="{00000000-0005-0000-0000-0000BD440000}"/>
    <cellStyle name="20% - Accent6 4 2 2 2 2 4" xfId="7640" xr:uid="{00000000-0005-0000-0000-0000BE440000}"/>
    <cellStyle name="20% - Accent6 4 2 2 2 2 4 2" xfId="18941" xr:uid="{00000000-0005-0000-0000-0000BF440000}"/>
    <cellStyle name="20% - Accent6 4 2 2 2 2 4 2 2" xfId="41543" xr:uid="{00000000-0005-0000-0000-0000C0440000}"/>
    <cellStyle name="20% - Accent6 4 2 2 2 2 4 3" xfId="30242" xr:uid="{00000000-0005-0000-0000-0000C1440000}"/>
    <cellStyle name="20% - Accent6 4 2 2 2 2 5" xfId="13291" xr:uid="{00000000-0005-0000-0000-0000C2440000}"/>
    <cellStyle name="20% - Accent6 4 2 2 2 2 5 2" xfId="35893" xr:uid="{00000000-0005-0000-0000-0000C3440000}"/>
    <cellStyle name="20% - Accent6 4 2 2 2 2 6" xfId="24592" xr:uid="{00000000-0005-0000-0000-0000C4440000}"/>
    <cellStyle name="20% - Accent6 4 2 2 2 3" xfId="2735" xr:uid="{00000000-0005-0000-0000-0000C5440000}"/>
    <cellStyle name="20% - Accent6 4 2 2 2 3 2" xfId="5754" xr:uid="{00000000-0005-0000-0000-0000C6440000}"/>
    <cellStyle name="20% - Accent6 4 2 2 2 3 2 2" xfId="11404" xr:uid="{00000000-0005-0000-0000-0000C7440000}"/>
    <cellStyle name="20% - Accent6 4 2 2 2 3 2 2 2" xfId="22705" xr:uid="{00000000-0005-0000-0000-0000C8440000}"/>
    <cellStyle name="20% - Accent6 4 2 2 2 3 2 2 2 2" xfId="45307" xr:uid="{00000000-0005-0000-0000-0000C9440000}"/>
    <cellStyle name="20% - Accent6 4 2 2 2 3 2 2 3" xfId="34006" xr:uid="{00000000-0005-0000-0000-0000CA440000}"/>
    <cellStyle name="20% - Accent6 4 2 2 2 3 2 3" xfId="17055" xr:uid="{00000000-0005-0000-0000-0000CB440000}"/>
    <cellStyle name="20% - Accent6 4 2 2 2 3 2 3 2" xfId="39657" xr:uid="{00000000-0005-0000-0000-0000CC440000}"/>
    <cellStyle name="20% - Accent6 4 2 2 2 3 2 4" xfId="28356" xr:uid="{00000000-0005-0000-0000-0000CD440000}"/>
    <cellStyle name="20% - Accent6 4 2 2 2 3 3" xfId="8571" xr:uid="{00000000-0005-0000-0000-0000CE440000}"/>
    <cellStyle name="20% - Accent6 4 2 2 2 3 3 2" xfId="19872" xr:uid="{00000000-0005-0000-0000-0000CF440000}"/>
    <cellStyle name="20% - Accent6 4 2 2 2 3 3 2 2" xfId="42474" xr:uid="{00000000-0005-0000-0000-0000D0440000}"/>
    <cellStyle name="20% - Accent6 4 2 2 2 3 3 3" xfId="31173" xr:uid="{00000000-0005-0000-0000-0000D1440000}"/>
    <cellStyle name="20% - Accent6 4 2 2 2 3 4" xfId="14222" xr:uid="{00000000-0005-0000-0000-0000D2440000}"/>
    <cellStyle name="20% - Accent6 4 2 2 2 3 4 2" xfId="36824" xr:uid="{00000000-0005-0000-0000-0000D3440000}"/>
    <cellStyle name="20% - Accent6 4 2 2 2 3 5" xfId="25523" xr:uid="{00000000-0005-0000-0000-0000D4440000}"/>
    <cellStyle name="20% - Accent6 4 2 2 2 4" xfId="4520" xr:uid="{00000000-0005-0000-0000-0000D5440000}"/>
    <cellStyle name="20% - Accent6 4 2 2 2 4 2" xfId="10170" xr:uid="{00000000-0005-0000-0000-0000D6440000}"/>
    <cellStyle name="20% - Accent6 4 2 2 2 4 2 2" xfId="21471" xr:uid="{00000000-0005-0000-0000-0000D7440000}"/>
    <cellStyle name="20% - Accent6 4 2 2 2 4 2 2 2" xfId="44073" xr:uid="{00000000-0005-0000-0000-0000D8440000}"/>
    <cellStyle name="20% - Accent6 4 2 2 2 4 2 3" xfId="32772" xr:uid="{00000000-0005-0000-0000-0000D9440000}"/>
    <cellStyle name="20% - Accent6 4 2 2 2 4 3" xfId="15821" xr:uid="{00000000-0005-0000-0000-0000DA440000}"/>
    <cellStyle name="20% - Accent6 4 2 2 2 4 3 2" xfId="38423" xr:uid="{00000000-0005-0000-0000-0000DB440000}"/>
    <cellStyle name="20% - Accent6 4 2 2 2 4 4" xfId="27122" xr:uid="{00000000-0005-0000-0000-0000DC440000}"/>
    <cellStyle name="20% - Accent6 4 2 2 2 5" xfId="7316" xr:uid="{00000000-0005-0000-0000-0000DD440000}"/>
    <cellStyle name="20% - Accent6 4 2 2 2 5 2" xfId="18617" xr:uid="{00000000-0005-0000-0000-0000DE440000}"/>
    <cellStyle name="20% - Accent6 4 2 2 2 5 2 2" xfId="41219" xr:uid="{00000000-0005-0000-0000-0000DF440000}"/>
    <cellStyle name="20% - Accent6 4 2 2 2 5 3" xfId="29918" xr:uid="{00000000-0005-0000-0000-0000E0440000}"/>
    <cellStyle name="20% - Accent6 4 2 2 2 6" xfId="12967" xr:uid="{00000000-0005-0000-0000-0000E1440000}"/>
    <cellStyle name="20% - Accent6 4 2 2 2 6 2" xfId="35569" xr:uid="{00000000-0005-0000-0000-0000E2440000}"/>
    <cellStyle name="20% - Accent6 4 2 2 2 7" xfId="24268" xr:uid="{00000000-0005-0000-0000-0000E3440000}"/>
    <cellStyle name="20% - Accent6 4 2 2 3" xfId="1035" xr:uid="{00000000-0005-0000-0000-0000E4440000}"/>
    <cellStyle name="20% - Accent6 4 2 2 3 2" xfId="3098" xr:uid="{00000000-0005-0000-0000-0000E5440000}"/>
    <cellStyle name="20% - Accent6 4 2 2 3 2 2" xfId="6070" xr:uid="{00000000-0005-0000-0000-0000E6440000}"/>
    <cellStyle name="20% - Accent6 4 2 2 3 2 2 2" xfId="11720" xr:uid="{00000000-0005-0000-0000-0000E7440000}"/>
    <cellStyle name="20% - Accent6 4 2 2 3 2 2 2 2" xfId="23021" xr:uid="{00000000-0005-0000-0000-0000E8440000}"/>
    <cellStyle name="20% - Accent6 4 2 2 3 2 2 2 2 2" xfId="45623" xr:uid="{00000000-0005-0000-0000-0000E9440000}"/>
    <cellStyle name="20% - Accent6 4 2 2 3 2 2 2 3" xfId="34322" xr:uid="{00000000-0005-0000-0000-0000EA440000}"/>
    <cellStyle name="20% - Accent6 4 2 2 3 2 2 3" xfId="17371" xr:uid="{00000000-0005-0000-0000-0000EB440000}"/>
    <cellStyle name="20% - Accent6 4 2 2 3 2 2 3 2" xfId="39973" xr:uid="{00000000-0005-0000-0000-0000EC440000}"/>
    <cellStyle name="20% - Accent6 4 2 2 3 2 2 4" xfId="28672" xr:uid="{00000000-0005-0000-0000-0000ED440000}"/>
    <cellStyle name="20% - Accent6 4 2 2 3 2 3" xfId="8888" xr:uid="{00000000-0005-0000-0000-0000EE440000}"/>
    <cellStyle name="20% - Accent6 4 2 2 3 2 3 2" xfId="20189" xr:uid="{00000000-0005-0000-0000-0000EF440000}"/>
    <cellStyle name="20% - Accent6 4 2 2 3 2 3 2 2" xfId="42791" xr:uid="{00000000-0005-0000-0000-0000F0440000}"/>
    <cellStyle name="20% - Accent6 4 2 2 3 2 3 3" xfId="31490" xr:uid="{00000000-0005-0000-0000-0000F1440000}"/>
    <cellStyle name="20% - Accent6 4 2 2 3 2 4" xfId="14539" xr:uid="{00000000-0005-0000-0000-0000F2440000}"/>
    <cellStyle name="20% - Accent6 4 2 2 3 2 4 2" xfId="37141" xr:uid="{00000000-0005-0000-0000-0000F3440000}"/>
    <cellStyle name="20% - Accent6 4 2 2 3 2 5" xfId="25840" xr:uid="{00000000-0005-0000-0000-0000F4440000}"/>
    <cellStyle name="20% - Accent6 4 2 2 3 3" xfId="4836" xr:uid="{00000000-0005-0000-0000-0000F5440000}"/>
    <cellStyle name="20% - Accent6 4 2 2 3 3 2" xfId="10486" xr:uid="{00000000-0005-0000-0000-0000F6440000}"/>
    <cellStyle name="20% - Accent6 4 2 2 3 3 2 2" xfId="21787" xr:uid="{00000000-0005-0000-0000-0000F7440000}"/>
    <cellStyle name="20% - Accent6 4 2 2 3 3 2 2 2" xfId="44389" xr:uid="{00000000-0005-0000-0000-0000F8440000}"/>
    <cellStyle name="20% - Accent6 4 2 2 3 3 2 3" xfId="33088" xr:uid="{00000000-0005-0000-0000-0000F9440000}"/>
    <cellStyle name="20% - Accent6 4 2 2 3 3 3" xfId="16137" xr:uid="{00000000-0005-0000-0000-0000FA440000}"/>
    <cellStyle name="20% - Accent6 4 2 2 3 3 3 2" xfId="38739" xr:uid="{00000000-0005-0000-0000-0000FB440000}"/>
    <cellStyle name="20% - Accent6 4 2 2 3 3 4" xfId="27438" xr:uid="{00000000-0005-0000-0000-0000FC440000}"/>
    <cellStyle name="20% - Accent6 4 2 2 3 4" xfId="7023" xr:uid="{00000000-0005-0000-0000-0000FD440000}"/>
    <cellStyle name="20% - Accent6 4 2 2 3 4 2" xfId="18324" xr:uid="{00000000-0005-0000-0000-0000FE440000}"/>
    <cellStyle name="20% - Accent6 4 2 2 3 4 2 2" xfId="40926" xr:uid="{00000000-0005-0000-0000-0000FF440000}"/>
    <cellStyle name="20% - Accent6 4 2 2 3 4 3" xfId="29625" xr:uid="{00000000-0005-0000-0000-000000450000}"/>
    <cellStyle name="20% - Accent6 4 2 2 3 5" xfId="12674" xr:uid="{00000000-0005-0000-0000-000001450000}"/>
    <cellStyle name="20% - Accent6 4 2 2 3 5 2" xfId="35276" xr:uid="{00000000-0005-0000-0000-000002450000}"/>
    <cellStyle name="20% - Accent6 4 2 2 3 6" xfId="23975" xr:uid="{00000000-0005-0000-0000-000003450000}"/>
    <cellStyle name="20% - Accent6 4 2 2 4" xfId="1783" xr:uid="{00000000-0005-0000-0000-000004450000}"/>
    <cellStyle name="20% - Accent6 4 2 2 4 2" xfId="3691" xr:uid="{00000000-0005-0000-0000-000005450000}"/>
    <cellStyle name="20% - Accent6 4 2 2 4 2 2" xfId="9402" xr:uid="{00000000-0005-0000-0000-000006450000}"/>
    <cellStyle name="20% - Accent6 4 2 2 4 2 2 2" xfId="20703" xr:uid="{00000000-0005-0000-0000-000007450000}"/>
    <cellStyle name="20% - Accent6 4 2 2 4 2 2 2 2" xfId="43305" xr:uid="{00000000-0005-0000-0000-000008450000}"/>
    <cellStyle name="20% - Accent6 4 2 2 4 2 2 3" xfId="32004" xr:uid="{00000000-0005-0000-0000-000009450000}"/>
    <cellStyle name="20% - Accent6 4 2 2 4 2 3" xfId="15053" xr:uid="{00000000-0005-0000-0000-00000A450000}"/>
    <cellStyle name="20% - Accent6 4 2 2 4 2 3 2" xfId="37655" xr:uid="{00000000-0005-0000-0000-00000B450000}"/>
    <cellStyle name="20% - Accent6 4 2 2 4 2 4" xfId="26354" xr:uid="{00000000-0005-0000-0000-00000C450000}"/>
    <cellStyle name="20% - Accent6 4 2 2 4 3" xfId="5446" xr:uid="{00000000-0005-0000-0000-00000D450000}"/>
    <cellStyle name="20% - Accent6 4 2 2 4 3 2" xfId="11096" xr:uid="{00000000-0005-0000-0000-00000E450000}"/>
    <cellStyle name="20% - Accent6 4 2 2 4 3 2 2" xfId="22397" xr:uid="{00000000-0005-0000-0000-00000F450000}"/>
    <cellStyle name="20% - Accent6 4 2 2 4 3 2 2 2" xfId="44999" xr:uid="{00000000-0005-0000-0000-000010450000}"/>
    <cellStyle name="20% - Accent6 4 2 2 4 3 2 3" xfId="33698" xr:uid="{00000000-0005-0000-0000-000011450000}"/>
    <cellStyle name="20% - Accent6 4 2 2 4 3 3" xfId="16747" xr:uid="{00000000-0005-0000-0000-000012450000}"/>
    <cellStyle name="20% - Accent6 4 2 2 4 3 3 2" xfId="39349" xr:uid="{00000000-0005-0000-0000-000013450000}"/>
    <cellStyle name="20% - Accent6 4 2 2 4 3 4" xfId="28048" xr:uid="{00000000-0005-0000-0000-000014450000}"/>
    <cellStyle name="20% - Accent6 4 2 2 4 4" xfId="7639" xr:uid="{00000000-0005-0000-0000-000015450000}"/>
    <cellStyle name="20% - Accent6 4 2 2 4 4 2" xfId="18940" xr:uid="{00000000-0005-0000-0000-000016450000}"/>
    <cellStyle name="20% - Accent6 4 2 2 4 4 2 2" xfId="41542" xr:uid="{00000000-0005-0000-0000-000017450000}"/>
    <cellStyle name="20% - Accent6 4 2 2 4 4 3" xfId="30241" xr:uid="{00000000-0005-0000-0000-000018450000}"/>
    <cellStyle name="20% - Accent6 4 2 2 4 5" xfId="13290" xr:uid="{00000000-0005-0000-0000-000019450000}"/>
    <cellStyle name="20% - Accent6 4 2 2 4 5 2" xfId="35892" xr:uid="{00000000-0005-0000-0000-00001A450000}"/>
    <cellStyle name="20% - Accent6 4 2 2 4 6" xfId="24591" xr:uid="{00000000-0005-0000-0000-00001B450000}"/>
    <cellStyle name="20% - Accent6 4 2 2 5" xfId="2427" xr:uid="{00000000-0005-0000-0000-00001C450000}"/>
    <cellStyle name="20% - Accent6 4 2 2 5 2" xfId="8263" xr:uid="{00000000-0005-0000-0000-00001D450000}"/>
    <cellStyle name="20% - Accent6 4 2 2 5 2 2" xfId="19564" xr:uid="{00000000-0005-0000-0000-00001E450000}"/>
    <cellStyle name="20% - Accent6 4 2 2 5 2 2 2" xfId="42166" xr:uid="{00000000-0005-0000-0000-00001F450000}"/>
    <cellStyle name="20% - Accent6 4 2 2 5 2 3" xfId="30865" xr:uid="{00000000-0005-0000-0000-000020450000}"/>
    <cellStyle name="20% - Accent6 4 2 2 5 3" xfId="13914" xr:uid="{00000000-0005-0000-0000-000021450000}"/>
    <cellStyle name="20% - Accent6 4 2 2 5 3 2" xfId="36516" xr:uid="{00000000-0005-0000-0000-000022450000}"/>
    <cellStyle name="20% - Accent6 4 2 2 5 4" xfId="25215" xr:uid="{00000000-0005-0000-0000-000023450000}"/>
    <cellStyle name="20% - Accent6 4 2 2 6" xfId="4212" xr:uid="{00000000-0005-0000-0000-000024450000}"/>
    <cellStyle name="20% - Accent6 4 2 2 6 2" xfId="9862" xr:uid="{00000000-0005-0000-0000-000025450000}"/>
    <cellStyle name="20% - Accent6 4 2 2 6 2 2" xfId="21163" xr:uid="{00000000-0005-0000-0000-000026450000}"/>
    <cellStyle name="20% - Accent6 4 2 2 6 2 2 2" xfId="43765" xr:uid="{00000000-0005-0000-0000-000027450000}"/>
    <cellStyle name="20% - Accent6 4 2 2 6 2 3" xfId="32464" xr:uid="{00000000-0005-0000-0000-000028450000}"/>
    <cellStyle name="20% - Accent6 4 2 2 6 3" xfId="15513" xr:uid="{00000000-0005-0000-0000-000029450000}"/>
    <cellStyle name="20% - Accent6 4 2 2 6 3 2" xfId="38115" xr:uid="{00000000-0005-0000-0000-00002A450000}"/>
    <cellStyle name="20% - Accent6 4 2 2 6 4" xfId="26814" xr:uid="{00000000-0005-0000-0000-00002B450000}"/>
    <cellStyle name="20% - Accent6 4 2 2 7" xfId="6692" xr:uid="{00000000-0005-0000-0000-00002C450000}"/>
    <cellStyle name="20% - Accent6 4 2 2 7 2" xfId="17993" xr:uid="{00000000-0005-0000-0000-00002D450000}"/>
    <cellStyle name="20% - Accent6 4 2 2 7 2 2" xfId="40595" xr:uid="{00000000-0005-0000-0000-00002E450000}"/>
    <cellStyle name="20% - Accent6 4 2 2 7 3" xfId="29294" xr:uid="{00000000-0005-0000-0000-00002F450000}"/>
    <cellStyle name="20% - Accent6 4 2 2 8" xfId="12343" xr:uid="{00000000-0005-0000-0000-000030450000}"/>
    <cellStyle name="20% - Accent6 4 2 2 8 2" xfId="34945" xr:uid="{00000000-0005-0000-0000-000031450000}"/>
    <cellStyle name="20% - Accent6 4 2 2 9" xfId="23644" xr:uid="{00000000-0005-0000-0000-000032450000}"/>
    <cellStyle name="20% - Accent6 4 2 3" xfId="1199" xr:uid="{00000000-0005-0000-0000-000033450000}"/>
    <cellStyle name="20% - Accent6 4 2 3 2" xfId="1785" xr:uid="{00000000-0005-0000-0000-000034450000}"/>
    <cellStyle name="20% - Accent6 4 2 3 2 2" xfId="3267" xr:uid="{00000000-0005-0000-0000-000035450000}"/>
    <cellStyle name="20% - Accent6 4 2 3 2 2 2" xfId="6239" xr:uid="{00000000-0005-0000-0000-000036450000}"/>
    <cellStyle name="20% - Accent6 4 2 3 2 2 2 2" xfId="11889" xr:uid="{00000000-0005-0000-0000-000037450000}"/>
    <cellStyle name="20% - Accent6 4 2 3 2 2 2 2 2" xfId="23190" xr:uid="{00000000-0005-0000-0000-000038450000}"/>
    <cellStyle name="20% - Accent6 4 2 3 2 2 2 2 2 2" xfId="45792" xr:uid="{00000000-0005-0000-0000-000039450000}"/>
    <cellStyle name="20% - Accent6 4 2 3 2 2 2 2 3" xfId="34491" xr:uid="{00000000-0005-0000-0000-00003A450000}"/>
    <cellStyle name="20% - Accent6 4 2 3 2 2 2 3" xfId="17540" xr:uid="{00000000-0005-0000-0000-00003B450000}"/>
    <cellStyle name="20% - Accent6 4 2 3 2 2 2 3 2" xfId="40142" xr:uid="{00000000-0005-0000-0000-00003C450000}"/>
    <cellStyle name="20% - Accent6 4 2 3 2 2 2 4" xfId="28841" xr:uid="{00000000-0005-0000-0000-00003D450000}"/>
    <cellStyle name="20% - Accent6 4 2 3 2 2 3" xfId="9057" xr:uid="{00000000-0005-0000-0000-00003E450000}"/>
    <cellStyle name="20% - Accent6 4 2 3 2 2 3 2" xfId="20358" xr:uid="{00000000-0005-0000-0000-00003F450000}"/>
    <cellStyle name="20% - Accent6 4 2 3 2 2 3 2 2" xfId="42960" xr:uid="{00000000-0005-0000-0000-000040450000}"/>
    <cellStyle name="20% - Accent6 4 2 3 2 2 3 3" xfId="31659" xr:uid="{00000000-0005-0000-0000-000041450000}"/>
    <cellStyle name="20% - Accent6 4 2 3 2 2 4" xfId="14708" xr:uid="{00000000-0005-0000-0000-000042450000}"/>
    <cellStyle name="20% - Accent6 4 2 3 2 2 4 2" xfId="37310" xr:uid="{00000000-0005-0000-0000-000043450000}"/>
    <cellStyle name="20% - Accent6 4 2 3 2 2 5" xfId="26009" xr:uid="{00000000-0005-0000-0000-000044450000}"/>
    <cellStyle name="20% - Accent6 4 2 3 2 3" xfId="5005" xr:uid="{00000000-0005-0000-0000-000045450000}"/>
    <cellStyle name="20% - Accent6 4 2 3 2 3 2" xfId="10655" xr:uid="{00000000-0005-0000-0000-000046450000}"/>
    <cellStyle name="20% - Accent6 4 2 3 2 3 2 2" xfId="21956" xr:uid="{00000000-0005-0000-0000-000047450000}"/>
    <cellStyle name="20% - Accent6 4 2 3 2 3 2 2 2" xfId="44558" xr:uid="{00000000-0005-0000-0000-000048450000}"/>
    <cellStyle name="20% - Accent6 4 2 3 2 3 2 3" xfId="33257" xr:uid="{00000000-0005-0000-0000-000049450000}"/>
    <cellStyle name="20% - Accent6 4 2 3 2 3 3" xfId="16306" xr:uid="{00000000-0005-0000-0000-00004A450000}"/>
    <cellStyle name="20% - Accent6 4 2 3 2 3 3 2" xfId="38908" xr:uid="{00000000-0005-0000-0000-00004B450000}"/>
    <cellStyle name="20% - Accent6 4 2 3 2 3 4" xfId="27607" xr:uid="{00000000-0005-0000-0000-00004C450000}"/>
    <cellStyle name="20% - Accent6 4 2 3 2 4" xfId="7641" xr:uid="{00000000-0005-0000-0000-00004D450000}"/>
    <cellStyle name="20% - Accent6 4 2 3 2 4 2" xfId="18942" xr:uid="{00000000-0005-0000-0000-00004E450000}"/>
    <cellStyle name="20% - Accent6 4 2 3 2 4 2 2" xfId="41544" xr:uid="{00000000-0005-0000-0000-00004F450000}"/>
    <cellStyle name="20% - Accent6 4 2 3 2 4 3" xfId="30243" xr:uid="{00000000-0005-0000-0000-000050450000}"/>
    <cellStyle name="20% - Accent6 4 2 3 2 5" xfId="13292" xr:uid="{00000000-0005-0000-0000-000051450000}"/>
    <cellStyle name="20% - Accent6 4 2 3 2 5 2" xfId="35894" xr:uid="{00000000-0005-0000-0000-000052450000}"/>
    <cellStyle name="20% - Accent6 4 2 3 2 6" xfId="24593" xr:uid="{00000000-0005-0000-0000-000053450000}"/>
    <cellStyle name="20% - Accent6 4 2 3 3" xfId="2596" xr:uid="{00000000-0005-0000-0000-000054450000}"/>
    <cellStyle name="20% - Accent6 4 2 3 3 2" xfId="5615" xr:uid="{00000000-0005-0000-0000-000055450000}"/>
    <cellStyle name="20% - Accent6 4 2 3 3 2 2" xfId="11265" xr:uid="{00000000-0005-0000-0000-000056450000}"/>
    <cellStyle name="20% - Accent6 4 2 3 3 2 2 2" xfId="22566" xr:uid="{00000000-0005-0000-0000-000057450000}"/>
    <cellStyle name="20% - Accent6 4 2 3 3 2 2 2 2" xfId="45168" xr:uid="{00000000-0005-0000-0000-000058450000}"/>
    <cellStyle name="20% - Accent6 4 2 3 3 2 2 3" xfId="33867" xr:uid="{00000000-0005-0000-0000-000059450000}"/>
    <cellStyle name="20% - Accent6 4 2 3 3 2 3" xfId="16916" xr:uid="{00000000-0005-0000-0000-00005A450000}"/>
    <cellStyle name="20% - Accent6 4 2 3 3 2 3 2" xfId="39518" xr:uid="{00000000-0005-0000-0000-00005B450000}"/>
    <cellStyle name="20% - Accent6 4 2 3 3 2 4" xfId="28217" xr:uid="{00000000-0005-0000-0000-00005C450000}"/>
    <cellStyle name="20% - Accent6 4 2 3 3 3" xfId="8432" xr:uid="{00000000-0005-0000-0000-00005D450000}"/>
    <cellStyle name="20% - Accent6 4 2 3 3 3 2" xfId="19733" xr:uid="{00000000-0005-0000-0000-00005E450000}"/>
    <cellStyle name="20% - Accent6 4 2 3 3 3 2 2" xfId="42335" xr:uid="{00000000-0005-0000-0000-00005F450000}"/>
    <cellStyle name="20% - Accent6 4 2 3 3 3 3" xfId="31034" xr:uid="{00000000-0005-0000-0000-000060450000}"/>
    <cellStyle name="20% - Accent6 4 2 3 3 4" xfId="14083" xr:uid="{00000000-0005-0000-0000-000061450000}"/>
    <cellStyle name="20% - Accent6 4 2 3 3 4 2" xfId="36685" xr:uid="{00000000-0005-0000-0000-000062450000}"/>
    <cellStyle name="20% - Accent6 4 2 3 3 5" xfId="25384" xr:uid="{00000000-0005-0000-0000-000063450000}"/>
    <cellStyle name="20% - Accent6 4 2 3 4" xfId="4381" xr:uid="{00000000-0005-0000-0000-000064450000}"/>
    <cellStyle name="20% - Accent6 4 2 3 4 2" xfId="10031" xr:uid="{00000000-0005-0000-0000-000065450000}"/>
    <cellStyle name="20% - Accent6 4 2 3 4 2 2" xfId="21332" xr:uid="{00000000-0005-0000-0000-000066450000}"/>
    <cellStyle name="20% - Accent6 4 2 3 4 2 2 2" xfId="43934" xr:uid="{00000000-0005-0000-0000-000067450000}"/>
    <cellStyle name="20% - Accent6 4 2 3 4 2 3" xfId="32633" xr:uid="{00000000-0005-0000-0000-000068450000}"/>
    <cellStyle name="20% - Accent6 4 2 3 4 3" xfId="15682" xr:uid="{00000000-0005-0000-0000-000069450000}"/>
    <cellStyle name="20% - Accent6 4 2 3 4 3 2" xfId="38284" xr:uid="{00000000-0005-0000-0000-00006A450000}"/>
    <cellStyle name="20% - Accent6 4 2 3 4 4" xfId="26983" xr:uid="{00000000-0005-0000-0000-00006B450000}"/>
    <cellStyle name="20% - Accent6 4 2 3 5" xfId="7178" xr:uid="{00000000-0005-0000-0000-00006C450000}"/>
    <cellStyle name="20% - Accent6 4 2 3 5 2" xfId="18479" xr:uid="{00000000-0005-0000-0000-00006D450000}"/>
    <cellStyle name="20% - Accent6 4 2 3 5 2 2" xfId="41081" xr:uid="{00000000-0005-0000-0000-00006E450000}"/>
    <cellStyle name="20% - Accent6 4 2 3 5 3" xfId="29780" xr:uid="{00000000-0005-0000-0000-00006F450000}"/>
    <cellStyle name="20% - Accent6 4 2 3 6" xfId="12829" xr:uid="{00000000-0005-0000-0000-000070450000}"/>
    <cellStyle name="20% - Accent6 4 2 3 6 2" xfId="35431" xr:uid="{00000000-0005-0000-0000-000071450000}"/>
    <cellStyle name="20% - Accent6 4 2 3 7" xfId="24130" xr:uid="{00000000-0005-0000-0000-000072450000}"/>
    <cellStyle name="20% - Accent6 4 2 4" xfId="889" xr:uid="{00000000-0005-0000-0000-000073450000}"/>
    <cellStyle name="20% - Accent6 4 2 4 2" xfId="2960" xr:uid="{00000000-0005-0000-0000-000074450000}"/>
    <cellStyle name="20% - Accent6 4 2 4 2 2" xfId="5932" xr:uid="{00000000-0005-0000-0000-000075450000}"/>
    <cellStyle name="20% - Accent6 4 2 4 2 2 2" xfId="11582" xr:uid="{00000000-0005-0000-0000-000076450000}"/>
    <cellStyle name="20% - Accent6 4 2 4 2 2 2 2" xfId="22883" xr:uid="{00000000-0005-0000-0000-000077450000}"/>
    <cellStyle name="20% - Accent6 4 2 4 2 2 2 2 2" xfId="45485" xr:uid="{00000000-0005-0000-0000-000078450000}"/>
    <cellStyle name="20% - Accent6 4 2 4 2 2 2 3" xfId="34184" xr:uid="{00000000-0005-0000-0000-000079450000}"/>
    <cellStyle name="20% - Accent6 4 2 4 2 2 3" xfId="17233" xr:uid="{00000000-0005-0000-0000-00007A450000}"/>
    <cellStyle name="20% - Accent6 4 2 4 2 2 3 2" xfId="39835" xr:uid="{00000000-0005-0000-0000-00007B450000}"/>
    <cellStyle name="20% - Accent6 4 2 4 2 2 4" xfId="28534" xr:uid="{00000000-0005-0000-0000-00007C450000}"/>
    <cellStyle name="20% - Accent6 4 2 4 2 3" xfId="8750" xr:uid="{00000000-0005-0000-0000-00007D450000}"/>
    <cellStyle name="20% - Accent6 4 2 4 2 3 2" xfId="20051" xr:uid="{00000000-0005-0000-0000-00007E450000}"/>
    <cellStyle name="20% - Accent6 4 2 4 2 3 2 2" xfId="42653" xr:uid="{00000000-0005-0000-0000-00007F450000}"/>
    <cellStyle name="20% - Accent6 4 2 4 2 3 3" xfId="31352" xr:uid="{00000000-0005-0000-0000-000080450000}"/>
    <cellStyle name="20% - Accent6 4 2 4 2 4" xfId="14401" xr:uid="{00000000-0005-0000-0000-000081450000}"/>
    <cellStyle name="20% - Accent6 4 2 4 2 4 2" xfId="37003" xr:uid="{00000000-0005-0000-0000-000082450000}"/>
    <cellStyle name="20% - Accent6 4 2 4 2 5" xfId="25702" xr:uid="{00000000-0005-0000-0000-000083450000}"/>
    <cellStyle name="20% - Accent6 4 2 4 3" xfId="4698" xr:uid="{00000000-0005-0000-0000-000084450000}"/>
    <cellStyle name="20% - Accent6 4 2 4 3 2" xfId="10348" xr:uid="{00000000-0005-0000-0000-000085450000}"/>
    <cellStyle name="20% - Accent6 4 2 4 3 2 2" xfId="21649" xr:uid="{00000000-0005-0000-0000-000086450000}"/>
    <cellStyle name="20% - Accent6 4 2 4 3 2 2 2" xfId="44251" xr:uid="{00000000-0005-0000-0000-000087450000}"/>
    <cellStyle name="20% - Accent6 4 2 4 3 2 3" xfId="32950" xr:uid="{00000000-0005-0000-0000-000088450000}"/>
    <cellStyle name="20% - Accent6 4 2 4 3 3" xfId="15999" xr:uid="{00000000-0005-0000-0000-000089450000}"/>
    <cellStyle name="20% - Accent6 4 2 4 3 3 2" xfId="38601" xr:uid="{00000000-0005-0000-0000-00008A450000}"/>
    <cellStyle name="20% - Accent6 4 2 4 3 4" xfId="27300" xr:uid="{00000000-0005-0000-0000-00008B450000}"/>
    <cellStyle name="20% - Accent6 4 2 4 4" xfId="6885" xr:uid="{00000000-0005-0000-0000-00008C450000}"/>
    <cellStyle name="20% - Accent6 4 2 4 4 2" xfId="18186" xr:uid="{00000000-0005-0000-0000-00008D450000}"/>
    <cellStyle name="20% - Accent6 4 2 4 4 2 2" xfId="40788" xr:uid="{00000000-0005-0000-0000-00008E450000}"/>
    <cellStyle name="20% - Accent6 4 2 4 4 3" xfId="29487" xr:uid="{00000000-0005-0000-0000-00008F450000}"/>
    <cellStyle name="20% - Accent6 4 2 4 5" xfId="12536" xr:uid="{00000000-0005-0000-0000-000090450000}"/>
    <cellStyle name="20% - Accent6 4 2 4 5 2" xfId="35138" xr:uid="{00000000-0005-0000-0000-000091450000}"/>
    <cellStyle name="20% - Accent6 4 2 4 6" xfId="23837" xr:uid="{00000000-0005-0000-0000-000092450000}"/>
    <cellStyle name="20% - Accent6 4 2 5" xfId="1782" xr:uid="{00000000-0005-0000-0000-000093450000}"/>
    <cellStyle name="20% - Accent6 4 2 5 2" xfId="3690" xr:uid="{00000000-0005-0000-0000-000094450000}"/>
    <cellStyle name="20% - Accent6 4 2 5 2 2" xfId="9401" xr:uid="{00000000-0005-0000-0000-000095450000}"/>
    <cellStyle name="20% - Accent6 4 2 5 2 2 2" xfId="20702" xr:uid="{00000000-0005-0000-0000-000096450000}"/>
    <cellStyle name="20% - Accent6 4 2 5 2 2 2 2" xfId="43304" xr:uid="{00000000-0005-0000-0000-000097450000}"/>
    <cellStyle name="20% - Accent6 4 2 5 2 2 3" xfId="32003" xr:uid="{00000000-0005-0000-0000-000098450000}"/>
    <cellStyle name="20% - Accent6 4 2 5 2 3" xfId="15052" xr:uid="{00000000-0005-0000-0000-000099450000}"/>
    <cellStyle name="20% - Accent6 4 2 5 2 3 2" xfId="37654" xr:uid="{00000000-0005-0000-0000-00009A450000}"/>
    <cellStyle name="20% - Accent6 4 2 5 2 4" xfId="26353" xr:uid="{00000000-0005-0000-0000-00009B450000}"/>
    <cellStyle name="20% - Accent6 4 2 5 3" xfId="5308" xr:uid="{00000000-0005-0000-0000-00009C450000}"/>
    <cellStyle name="20% - Accent6 4 2 5 3 2" xfId="10958" xr:uid="{00000000-0005-0000-0000-00009D450000}"/>
    <cellStyle name="20% - Accent6 4 2 5 3 2 2" xfId="22259" xr:uid="{00000000-0005-0000-0000-00009E450000}"/>
    <cellStyle name="20% - Accent6 4 2 5 3 2 2 2" xfId="44861" xr:uid="{00000000-0005-0000-0000-00009F450000}"/>
    <cellStyle name="20% - Accent6 4 2 5 3 2 3" xfId="33560" xr:uid="{00000000-0005-0000-0000-0000A0450000}"/>
    <cellStyle name="20% - Accent6 4 2 5 3 3" xfId="16609" xr:uid="{00000000-0005-0000-0000-0000A1450000}"/>
    <cellStyle name="20% - Accent6 4 2 5 3 3 2" xfId="39211" xr:uid="{00000000-0005-0000-0000-0000A2450000}"/>
    <cellStyle name="20% - Accent6 4 2 5 3 4" xfId="27910" xr:uid="{00000000-0005-0000-0000-0000A3450000}"/>
    <cellStyle name="20% - Accent6 4 2 5 4" xfId="7638" xr:uid="{00000000-0005-0000-0000-0000A4450000}"/>
    <cellStyle name="20% - Accent6 4 2 5 4 2" xfId="18939" xr:uid="{00000000-0005-0000-0000-0000A5450000}"/>
    <cellStyle name="20% - Accent6 4 2 5 4 2 2" xfId="41541" xr:uid="{00000000-0005-0000-0000-0000A6450000}"/>
    <cellStyle name="20% - Accent6 4 2 5 4 3" xfId="30240" xr:uid="{00000000-0005-0000-0000-0000A7450000}"/>
    <cellStyle name="20% - Accent6 4 2 5 5" xfId="13289" xr:uid="{00000000-0005-0000-0000-0000A8450000}"/>
    <cellStyle name="20% - Accent6 4 2 5 5 2" xfId="35891" xr:uid="{00000000-0005-0000-0000-0000A9450000}"/>
    <cellStyle name="20% - Accent6 4 2 5 6" xfId="24590" xr:uid="{00000000-0005-0000-0000-0000AA450000}"/>
    <cellStyle name="20% - Accent6 4 2 6" xfId="2287" xr:uid="{00000000-0005-0000-0000-0000AB450000}"/>
    <cellStyle name="20% - Accent6 4 2 6 2" xfId="8123" xr:uid="{00000000-0005-0000-0000-0000AC450000}"/>
    <cellStyle name="20% - Accent6 4 2 6 2 2" xfId="19424" xr:uid="{00000000-0005-0000-0000-0000AD450000}"/>
    <cellStyle name="20% - Accent6 4 2 6 2 2 2" xfId="42026" xr:uid="{00000000-0005-0000-0000-0000AE450000}"/>
    <cellStyle name="20% - Accent6 4 2 6 2 3" xfId="30725" xr:uid="{00000000-0005-0000-0000-0000AF450000}"/>
    <cellStyle name="20% - Accent6 4 2 6 3" xfId="13774" xr:uid="{00000000-0005-0000-0000-0000B0450000}"/>
    <cellStyle name="20% - Accent6 4 2 6 3 2" xfId="36376" xr:uid="{00000000-0005-0000-0000-0000B1450000}"/>
    <cellStyle name="20% - Accent6 4 2 6 4" xfId="25075" xr:uid="{00000000-0005-0000-0000-0000B2450000}"/>
    <cellStyle name="20% - Accent6 4 2 7" xfId="4074" xr:uid="{00000000-0005-0000-0000-0000B3450000}"/>
    <cellStyle name="20% - Accent6 4 2 7 2" xfId="9724" xr:uid="{00000000-0005-0000-0000-0000B4450000}"/>
    <cellStyle name="20% - Accent6 4 2 7 2 2" xfId="21025" xr:uid="{00000000-0005-0000-0000-0000B5450000}"/>
    <cellStyle name="20% - Accent6 4 2 7 2 2 2" xfId="43627" xr:uid="{00000000-0005-0000-0000-0000B6450000}"/>
    <cellStyle name="20% - Accent6 4 2 7 2 3" xfId="32326" xr:uid="{00000000-0005-0000-0000-0000B7450000}"/>
    <cellStyle name="20% - Accent6 4 2 7 3" xfId="15375" xr:uid="{00000000-0005-0000-0000-0000B8450000}"/>
    <cellStyle name="20% - Accent6 4 2 7 3 2" xfId="37977" xr:uid="{00000000-0005-0000-0000-0000B9450000}"/>
    <cellStyle name="20% - Accent6 4 2 7 4" xfId="26676" xr:uid="{00000000-0005-0000-0000-0000BA450000}"/>
    <cellStyle name="20% - Accent6 4 2 8" xfId="6525" xr:uid="{00000000-0005-0000-0000-0000BB450000}"/>
    <cellStyle name="20% - Accent6 4 2 8 2" xfId="17826" xr:uid="{00000000-0005-0000-0000-0000BC450000}"/>
    <cellStyle name="20% - Accent6 4 2 8 2 2" xfId="40428" xr:uid="{00000000-0005-0000-0000-0000BD450000}"/>
    <cellStyle name="20% - Accent6 4 2 8 3" xfId="29127" xr:uid="{00000000-0005-0000-0000-0000BE450000}"/>
    <cellStyle name="20% - Accent6 4 2 9" xfId="12176" xr:uid="{00000000-0005-0000-0000-0000BF450000}"/>
    <cellStyle name="20% - Accent6 4 2 9 2" xfId="34778" xr:uid="{00000000-0005-0000-0000-0000C0450000}"/>
    <cellStyle name="20% - Accent6 4 3" xfId="431" xr:uid="{00000000-0005-0000-0000-0000C1450000}"/>
    <cellStyle name="20% - Accent6 4 3 10" xfId="23526" xr:uid="{00000000-0005-0000-0000-0000C2450000}"/>
    <cellStyle name="20% - Accent6 4 3 2" xfId="676" xr:uid="{00000000-0005-0000-0000-0000C3450000}"/>
    <cellStyle name="20% - Accent6 4 3 2 2" xfId="1386" xr:uid="{00000000-0005-0000-0000-0000C4450000}"/>
    <cellStyle name="20% - Accent6 4 3 2 2 2" xfId="1788" xr:uid="{00000000-0005-0000-0000-0000C5450000}"/>
    <cellStyle name="20% - Accent6 4 3 2 2 2 2" xfId="3455" xr:uid="{00000000-0005-0000-0000-0000C6450000}"/>
    <cellStyle name="20% - Accent6 4 3 2 2 2 2 2" xfId="6427" xr:uid="{00000000-0005-0000-0000-0000C7450000}"/>
    <cellStyle name="20% - Accent6 4 3 2 2 2 2 2 2" xfId="12077" xr:uid="{00000000-0005-0000-0000-0000C8450000}"/>
    <cellStyle name="20% - Accent6 4 3 2 2 2 2 2 2 2" xfId="23378" xr:uid="{00000000-0005-0000-0000-0000C9450000}"/>
    <cellStyle name="20% - Accent6 4 3 2 2 2 2 2 2 2 2" xfId="45980" xr:uid="{00000000-0005-0000-0000-0000CA450000}"/>
    <cellStyle name="20% - Accent6 4 3 2 2 2 2 2 2 3" xfId="34679" xr:uid="{00000000-0005-0000-0000-0000CB450000}"/>
    <cellStyle name="20% - Accent6 4 3 2 2 2 2 2 3" xfId="17728" xr:uid="{00000000-0005-0000-0000-0000CC450000}"/>
    <cellStyle name="20% - Accent6 4 3 2 2 2 2 2 3 2" xfId="40330" xr:uid="{00000000-0005-0000-0000-0000CD450000}"/>
    <cellStyle name="20% - Accent6 4 3 2 2 2 2 2 4" xfId="29029" xr:uid="{00000000-0005-0000-0000-0000CE450000}"/>
    <cellStyle name="20% - Accent6 4 3 2 2 2 2 3" xfId="9245" xr:uid="{00000000-0005-0000-0000-0000CF450000}"/>
    <cellStyle name="20% - Accent6 4 3 2 2 2 2 3 2" xfId="20546" xr:uid="{00000000-0005-0000-0000-0000D0450000}"/>
    <cellStyle name="20% - Accent6 4 3 2 2 2 2 3 2 2" xfId="43148" xr:uid="{00000000-0005-0000-0000-0000D1450000}"/>
    <cellStyle name="20% - Accent6 4 3 2 2 2 2 3 3" xfId="31847" xr:uid="{00000000-0005-0000-0000-0000D2450000}"/>
    <cellStyle name="20% - Accent6 4 3 2 2 2 2 4" xfId="14896" xr:uid="{00000000-0005-0000-0000-0000D3450000}"/>
    <cellStyle name="20% - Accent6 4 3 2 2 2 2 4 2" xfId="37498" xr:uid="{00000000-0005-0000-0000-0000D4450000}"/>
    <cellStyle name="20% - Accent6 4 3 2 2 2 2 5" xfId="26197" xr:uid="{00000000-0005-0000-0000-0000D5450000}"/>
    <cellStyle name="20% - Accent6 4 3 2 2 2 3" xfId="5193" xr:uid="{00000000-0005-0000-0000-0000D6450000}"/>
    <cellStyle name="20% - Accent6 4 3 2 2 2 3 2" xfId="10843" xr:uid="{00000000-0005-0000-0000-0000D7450000}"/>
    <cellStyle name="20% - Accent6 4 3 2 2 2 3 2 2" xfId="22144" xr:uid="{00000000-0005-0000-0000-0000D8450000}"/>
    <cellStyle name="20% - Accent6 4 3 2 2 2 3 2 2 2" xfId="44746" xr:uid="{00000000-0005-0000-0000-0000D9450000}"/>
    <cellStyle name="20% - Accent6 4 3 2 2 2 3 2 3" xfId="33445" xr:uid="{00000000-0005-0000-0000-0000DA450000}"/>
    <cellStyle name="20% - Accent6 4 3 2 2 2 3 3" xfId="16494" xr:uid="{00000000-0005-0000-0000-0000DB450000}"/>
    <cellStyle name="20% - Accent6 4 3 2 2 2 3 3 2" xfId="39096" xr:uid="{00000000-0005-0000-0000-0000DC450000}"/>
    <cellStyle name="20% - Accent6 4 3 2 2 2 3 4" xfId="27795" xr:uid="{00000000-0005-0000-0000-0000DD450000}"/>
    <cellStyle name="20% - Accent6 4 3 2 2 2 4" xfId="7644" xr:uid="{00000000-0005-0000-0000-0000DE450000}"/>
    <cellStyle name="20% - Accent6 4 3 2 2 2 4 2" xfId="18945" xr:uid="{00000000-0005-0000-0000-0000DF450000}"/>
    <cellStyle name="20% - Accent6 4 3 2 2 2 4 2 2" xfId="41547" xr:uid="{00000000-0005-0000-0000-0000E0450000}"/>
    <cellStyle name="20% - Accent6 4 3 2 2 2 4 3" xfId="30246" xr:uid="{00000000-0005-0000-0000-0000E1450000}"/>
    <cellStyle name="20% - Accent6 4 3 2 2 2 5" xfId="13295" xr:uid="{00000000-0005-0000-0000-0000E2450000}"/>
    <cellStyle name="20% - Accent6 4 3 2 2 2 5 2" xfId="35897" xr:uid="{00000000-0005-0000-0000-0000E3450000}"/>
    <cellStyle name="20% - Accent6 4 3 2 2 2 6" xfId="24596" xr:uid="{00000000-0005-0000-0000-0000E4450000}"/>
    <cellStyle name="20% - Accent6 4 3 2 2 3" xfId="2784" xr:uid="{00000000-0005-0000-0000-0000E5450000}"/>
    <cellStyle name="20% - Accent6 4 3 2 2 3 2" xfId="5803" xr:uid="{00000000-0005-0000-0000-0000E6450000}"/>
    <cellStyle name="20% - Accent6 4 3 2 2 3 2 2" xfId="11453" xr:uid="{00000000-0005-0000-0000-0000E7450000}"/>
    <cellStyle name="20% - Accent6 4 3 2 2 3 2 2 2" xfId="22754" xr:uid="{00000000-0005-0000-0000-0000E8450000}"/>
    <cellStyle name="20% - Accent6 4 3 2 2 3 2 2 2 2" xfId="45356" xr:uid="{00000000-0005-0000-0000-0000E9450000}"/>
    <cellStyle name="20% - Accent6 4 3 2 2 3 2 2 3" xfId="34055" xr:uid="{00000000-0005-0000-0000-0000EA450000}"/>
    <cellStyle name="20% - Accent6 4 3 2 2 3 2 3" xfId="17104" xr:uid="{00000000-0005-0000-0000-0000EB450000}"/>
    <cellStyle name="20% - Accent6 4 3 2 2 3 2 3 2" xfId="39706" xr:uid="{00000000-0005-0000-0000-0000EC450000}"/>
    <cellStyle name="20% - Accent6 4 3 2 2 3 2 4" xfId="28405" xr:uid="{00000000-0005-0000-0000-0000ED450000}"/>
    <cellStyle name="20% - Accent6 4 3 2 2 3 3" xfId="8620" xr:uid="{00000000-0005-0000-0000-0000EE450000}"/>
    <cellStyle name="20% - Accent6 4 3 2 2 3 3 2" xfId="19921" xr:uid="{00000000-0005-0000-0000-0000EF450000}"/>
    <cellStyle name="20% - Accent6 4 3 2 2 3 3 2 2" xfId="42523" xr:uid="{00000000-0005-0000-0000-0000F0450000}"/>
    <cellStyle name="20% - Accent6 4 3 2 2 3 3 3" xfId="31222" xr:uid="{00000000-0005-0000-0000-0000F1450000}"/>
    <cellStyle name="20% - Accent6 4 3 2 2 3 4" xfId="14271" xr:uid="{00000000-0005-0000-0000-0000F2450000}"/>
    <cellStyle name="20% - Accent6 4 3 2 2 3 4 2" xfId="36873" xr:uid="{00000000-0005-0000-0000-0000F3450000}"/>
    <cellStyle name="20% - Accent6 4 3 2 2 3 5" xfId="25572" xr:uid="{00000000-0005-0000-0000-0000F4450000}"/>
    <cellStyle name="20% - Accent6 4 3 2 2 4" xfId="4569" xr:uid="{00000000-0005-0000-0000-0000F5450000}"/>
    <cellStyle name="20% - Accent6 4 3 2 2 4 2" xfId="10219" xr:uid="{00000000-0005-0000-0000-0000F6450000}"/>
    <cellStyle name="20% - Accent6 4 3 2 2 4 2 2" xfId="21520" xr:uid="{00000000-0005-0000-0000-0000F7450000}"/>
    <cellStyle name="20% - Accent6 4 3 2 2 4 2 2 2" xfId="44122" xr:uid="{00000000-0005-0000-0000-0000F8450000}"/>
    <cellStyle name="20% - Accent6 4 3 2 2 4 2 3" xfId="32821" xr:uid="{00000000-0005-0000-0000-0000F9450000}"/>
    <cellStyle name="20% - Accent6 4 3 2 2 4 3" xfId="15870" xr:uid="{00000000-0005-0000-0000-0000FA450000}"/>
    <cellStyle name="20% - Accent6 4 3 2 2 4 3 2" xfId="38472" xr:uid="{00000000-0005-0000-0000-0000FB450000}"/>
    <cellStyle name="20% - Accent6 4 3 2 2 4 4" xfId="27171" xr:uid="{00000000-0005-0000-0000-0000FC450000}"/>
    <cellStyle name="20% - Accent6 4 3 2 2 5" xfId="7365" xr:uid="{00000000-0005-0000-0000-0000FD450000}"/>
    <cellStyle name="20% - Accent6 4 3 2 2 5 2" xfId="18666" xr:uid="{00000000-0005-0000-0000-0000FE450000}"/>
    <cellStyle name="20% - Accent6 4 3 2 2 5 2 2" xfId="41268" xr:uid="{00000000-0005-0000-0000-0000FF450000}"/>
    <cellStyle name="20% - Accent6 4 3 2 2 5 3" xfId="29967" xr:uid="{00000000-0005-0000-0000-000000460000}"/>
    <cellStyle name="20% - Accent6 4 3 2 2 6" xfId="13016" xr:uid="{00000000-0005-0000-0000-000001460000}"/>
    <cellStyle name="20% - Accent6 4 3 2 2 6 2" xfId="35618" xr:uid="{00000000-0005-0000-0000-000002460000}"/>
    <cellStyle name="20% - Accent6 4 3 2 2 7" xfId="24317" xr:uid="{00000000-0005-0000-0000-000003460000}"/>
    <cellStyle name="20% - Accent6 4 3 2 3" xfId="1084" xr:uid="{00000000-0005-0000-0000-000004460000}"/>
    <cellStyle name="20% - Accent6 4 3 2 3 2" xfId="3147" xr:uid="{00000000-0005-0000-0000-000005460000}"/>
    <cellStyle name="20% - Accent6 4 3 2 3 2 2" xfId="6119" xr:uid="{00000000-0005-0000-0000-000006460000}"/>
    <cellStyle name="20% - Accent6 4 3 2 3 2 2 2" xfId="11769" xr:uid="{00000000-0005-0000-0000-000007460000}"/>
    <cellStyle name="20% - Accent6 4 3 2 3 2 2 2 2" xfId="23070" xr:uid="{00000000-0005-0000-0000-000008460000}"/>
    <cellStyle name="20% - Accent6 4 3 2 3 2 2 2 2 2" xfId="45672" xr:uid="{00000000-0005-0000-0000-000009460000}"/>
    <cellStyle name="20% - Accent6 4 3 2 3 2 2 2 3" xfId="34371" xr:uid="{00000000-0005-0000-0000-00000A460000}"/>
    <cellStyle name="20% - Accent6 4 3 2 3 2 2 3" xfId="17420" xr:uid="{00000000-0005-0000-0000-00000B460000}"/>
    <cellStyle name="20% - Accent6 4 3 2 3 2 2 3 2" xfId="40022" xr:uid="{00000000-0005-0000-0000-00000C460000}"/>
    <cellStyle name="20% - Accent6 4 3 2 3 2 2 4" xfId="28721" xr:uid="{00000000-0005-0000-0000-00000D460000}"/>
    <cellStyle name="20% - Accent6 4 3 2 3 2 3" xfId="8937" xr:uid="{00000000-0005-0000-0000-00000E460000}"/>
    <cellStyle name="20% - Accent6 4 3 2 3 2 3 2" xfId="20238" xr:uid="{00000000-0005-0000-0000-00000F460000}"/>
    <cellStyle name="20% - Accent6 4 3 2 3 2 3 2 2" xfId="42840" xr:uid="{00000000-0005-0000-0000-000010460000}"/>
    <cellStyle name="20% - Accent6 4 3 2 3 2 3 3" xfId="31539" xr:uid="{00000000-0005-0000-0000-000011460000}"/>
    <cellStyle name="20% - Accent6 4 3 2 3 2 4" xfId="14588" xr:uid="{00000000-0005-0000-0000-000012460000}"/>
    <cellStyle name="20% - Accent6 4 3 2 3 2 4 2" xfId="37190" xr:uid="{00000000-0005-0000-0000-000013460000}"/>
    <cellStyle name="20% - Accent6 4 3 2 3 2 5" xfId="25889" xr:uid="{00000000-0005-0000-0000-000014460000}"/>
    <cellStyle name="20% - Accent6 4 3 2 3 3" xfId="4885" xr:uid="{00000000-0005-0000-0000-000015460000}"/>
    <cellStyle name="20% - Accent6 4 3 2 3 3 2" xfId="10535" xr:uid="{00000000-0005-0000-0000-000016460000}"/>
    <cellStyle name="20% - Accent6 4 3 2 3 3 2 2" xfId="21836" xr:uid="{00000000-0005-0000-0000-000017460000}"/>
    <cellStyle name="20% - Accent6 4 3 2 3 3 2 2 2" xfId="44438" xr:uid="{00000000-0005-0000-0000-000018460000}"/>
    <cellStyle name="20% - Accent6 4 3 2 3 3 2 3" xfId="33137" xr:uid="{00000000-0005-0000-0000-000019460000}"/>
    <cellStyle name="20% - Accent6 4 3 2 3 3 3" xfId="16186" xr:uid="{00000000-0005-0000-0000-00001A460000}"/>
    <cellStyle name="20% - Accent6 4 3 2 3 3 3 2" xfId="38788" xr:uid="{00000000-0005-0000-0000-00001B460000}"/>
    <cellStyle name="20% - Accent6 4 3 2 3 3 4" xfId="27487" xr:uid="{00000000-0005-0000-0000-00001C460000}"/>
    <cellStyle name="20% - Accent6 4 3 2 3 4" xfId="7072" xr:uid="{00000000-0005-0000-0000-00001D460000}"/>
    <cellStyle name="20% - Accent6 4 3 2 3 4 2" xfId="18373" xr:uid="{00000000-0005-0000-0000-00001E460000}"/>
    <cellStyle name="20% - Accent6 4 3 2 3 4 2 2" xfId="40975" xr:uid="{00000000-0005-0000-0000-00001F460000}"/>
    <cellStyle name="20% - Accent6 4 3 2 3 4 3" xfId="29674" xr:uid="{00000000-0005-0000-0000-000020460000}"/>
    <cellStyle name="20% - Accent6 4 3 2 3 5" xfId="12723" xr:uid="{00000000-0005-0000-0000-000021460000}"/>
    <cellStyle name="20% - Accent6 4 3 2 3 5 2" xfId="35325" xr:uid="{00000000-0005-0000-0000-000022460000}"/>
    <cellStyle name="20% - Accent6 4 3 2 3 6" xfId="24024" xr:uid="{00000000-0005-0000-0000-000023460000}"/>
    <cellStyle name="20% - Accent6 4 3 2 4" xfId="1787" xr:uid="{00000000-0005-0000-0000-000024460000}"/>
    <cellStyle name="20% - Accent6 4 3 2 4 2" xfId="3693" xr:uid="{00000000-0005-0000-0000-000025460000}"/>
    <cellStyle name="20% - Accent6 4 3 2 4 2 2" xfId="9404" xr:uid="{00000000-0005-0000-0000-000026460000}"/>
    <cellStyle name="20% - Accent6 4 3 2 4 2 2 2" xfId="20705" xr:uid="{00000000-0005-0000-0000-000027460000}"/>
    <cellStyle name="20% - Accent6 4 3 2 4 2 2 2 2" xfId="43307" xr:uid="{00000000-0005-0000-0000-000028460000}"/>
    <cellStyle name="20% - Accent6 4 3 2 4 2 2 3" xfId="32006" xr:uid="{00000000-0005-0000-0000-000029460000}"/>
    <cellStyle name="20% - Accent6 4 3 2 4 2 3" xfId="15055" xr:uid="{00000000-0005-0000-0000-00002A460000}"/>
    <cellStyle name="20% - Accent6 4 3 2 4 2 3 2" xfId="37657" xr:uid="{00000000-0005-0000-0000-00002B460000}"/>
    <cellStyle name="20% - Accent6 4 3 2 4 2 4" xfId="26356" xr:uid="{00000000-0005-0000-0000-00002C460000}"/>
    <cellStyle name="20% - Accent6 4 3 2 4 3" xfId="5495" xr:uid="{00000000-0005-0000-0000-00002D460000}"/>
    <cellStyle name="20% - Accent6 4 3 2 4 3 2" xfId="11145" xr:uid="{00000000-0005-0000-0000-00002E460000}"/>
    <cellStyle name="20% - Accent6 4 3 2 4 3 2 2" xfId="22446" xr:uid="{00000000-0005-0000-0000-00002F460000}"/>
    <cellStyle name="20% - Accent6 4 3 2 4 3 2 2 2" xfId="45048" xr:uid="{00000000-0005-0000-0000-000030460000}"/>
    <cellStyle name="20% - Accent6 4 3 2 4 3 2 3" xfId="33747" xr:uid="{00000000-0005-0000-0000-000031460000}"/>
    <cellStyle name="20% - Accent6 4 3 2 4 3 3" xfId="16796" xr:uid="{00000000-0005-0000-0000-000032460000}"/>
    <cellStyle name="20% - Accent6 4 3 2 4 3 3 2" xfId="39398" xr:uid="{00000000-0005-0000-0000-000033460000}"/>
    <cellStyle name="20% - Accent6 4 3 2 4 3 4" xfId="28097" xr:uid="{00000000-0005-0000-0000-000034460000}"/>
    <cellStyle name="20% - Accent6 4 3 2 4 4" xfId="7643" xr:uid="{00000000-0005-0000-0000-000035460000}"/>
    <cellStyle name="20% - Accent6 4 3 2 4 4 2" xfId="18944" xr:uid="{00000000-0005-0000-0000-000036460000}"/>
    <cellStyle name="20% - Accent6 4 3 2 4 4 2 2" xfId="41546" xr:uid="{00000000-0005-0000-0000-000037460000}"/>
    <cellStyle name="20% - Accent6 4 3 2 4 4 3" xfId="30245" xr:uid="{00000000-0005-0000-0000-000038460000}"/>
    <cellStyle name="20% - Accent6 4 3 2 4 5" xfId="13294" xr:uid="{00000000-0005-0000-0000-000039460000}"/>
    <cellStyle name="20% - Accent6 4 3 2 4 5 2" xfId="35896" xr:uid="{00000000-0005-0000-0000-00003A460000}"/>
    <cellStyle name="20% - Accent6 4 3 2 4 6" xfId="24595" xr:uid="{00000000-0005-0000-0000-00003B460000}"/>
    <cellStyle name="20% - Accent6 4 3 2 5" xfId="2476" xr:uid="{00000000-0005-0000-0000-00003C460000}"/>
    <cellStyle name="20% - Accent6 4 3 2 5 2" xfId="8312" xr:uid="{00000000-0005-0000-0000-00003D460000}"/>
    <cellStyle name="20% - Accent6 4 3 2 5 2 2" xfId="19613" xr:uid="{00000000-0005-0000-0000-00003E460000}"/>
    <cellStyle name="20% - Accent6 4 3 2 5 2 2 2" xfId="42215" xr:uid="{00000000-0005-0000-0000-00003F460000}"/>
    <cellStyle name="20% - Accent6 4 3 2 5 2 3" xfId="30914" xr:uid="{00000000-0005-0000-0000-000040460000}"/>
    <cellStyle name="20% - Accent6 4 3 2 5 3" xfId="13963" xr:uid="{00000000-0005-0000-0000-000041460000}"/>
    <cellStyle name="20% - Accent6 4 3 2 5 3 2" xfId="36565" xr:uid="{00000000-0005-0000-0000-000042460000}"/>
    <cellStyle name="20% - Accent6 4 3 2 5 4" xfId="25264" xr:uid="{00000000-0005-0000-0000-000043460000}"/>
    <cellStyle name="20% - Accent6 4 3 2 6" xfId="4261" xr:uid="{00000000-0005-0000-0000-000044460000}"/>
    <cellStyle name="20% - Accent6 4 3 2 6 2" xfId="9911" xr:uid="{00000000-0005-0000-0000-000045460000}"/>
    <cellStyle name="20% - Accent6 4 3 2 6 2 2" xfId="21212" xr:uid="{00000000-0005-0000-0000-000046460000}"/>
    <cellStyle name="20% - Accent6 4 3 2 6 2 2 2" xfId="43814" xr:uid="{00000000-0005-0000-0000-000047460000}"/>
    <cellStyle name="20% - Accent6 4 3 2 6 2 3" xfId="32513" xr:uid="{00000000-0005-0000-0000-000048460000}"/>
    <cellStyle name="20% - Accent6 4 3 2 6 3" xfId="15562" xr:uid="{00000000-0005-0000-0000-000049460000}"/>
    <cellStyle name="20% - Accent6 4 3 2 6 3 2" xfId="38164" xr:uid="{00000000-0005-0000-0000-00004A460000}"/>
    <cellStyle name="20% - Accent6 4 3 2 6 4" xfId="26863" xr:uid="{00000000-0005-0000-0000-00004B460000}"/>
    <cellStyle name="20% - Accent6 4 3 2 7" xfId="6741" xr:uid="{00000000-0005-0000-0000-00004C460000}"/>
    <cellStyle name="20% - Accent6 4 3 2 7 2" xfId="18042" xr:uid="{00000000-0005-0000-0000-00004D460000}"/>
    <cellStyle name="20% - Accent6 4 3 2 7 2 2" xfId="40644" xr:uid="{00000000-0005-0000-0000-00004E460000}"/>
    <cellStyle name="20% - Accent6 4 3 2 7 3" xfId="29343" xr:uid="{00000000-0005-0000-0000-00004F460000}"/>
    <cellStyle name="20% - Accent6 4 3 2 8" xfId="12392" xr:uid="{00000000-0005-0000-0000-000050460000}"/>
    <cellStyle name="20% - Accent6 4 3 2 8 2" xfId="34994" xr:uid="{00000000-0005-0000-0000-000051460000}"/>
    <cellStyle name="20% - Accent6 4 3 2 9" xfId="23693" xr:uid="{00000000-0005-0000-0000-000052460000}"/>
    <cellStyle name="20% - Accent6 4 3 3" xfId="1248" xr:uid="{00000000-0005-0000-0000-000053460000}"/>
    <cellStyle name="20% - Accent6 4 3 3 2" xfId="1789" xr:uid="{00000000-0005-0000-0000-000054460000}"/>
    <cellStyle name="20% - Accent6 4 3 3 2 2" xfId="3316" xr:uid="{00000000-0005-0000-0000-000055460000}"/>
    <cellStyle name="20% - Accent6 4 3 3 2 2 2" xfId="6288" xr:uid="{00000000-0005-0000-0000-000056460000}"/>
    <cellStyle name="20% - Accent6 4 3 3 2 2 2 2" xfId="11938" xr:uid="{00000000-0005-0000-0000-000057460000}"/>
    <cellStyle name="20% - Accent6 4 3 3 2 2 2 2 2" xfId="23239" xr:uid="{00000000-0005-0000-0000-000058460000}"/>
    <cellStyle name="20% - Accent6 4 3 3 2 2 2 2 2 2" xfId="45841" xr:uid="{00000000-0005-0000-0000-000059460000}"/>
    <cellStyle name="20% - Accent6 4 3 3 2 2 2 2 3" xfId="34540" xr:uid="{00000000-0005-0000-0000-00005A460000}"/>
    <cellStyle name="20% - Accent6 4 3 3 2 2 2 3" xfId="17589" xr:uid="{00000000-0005-0000-0000-00005B460000}"/>
    <cellStyle name="20% - Accent6 4 3 3 2 2 2 3 2" xfId="40191" xr:uid="{00000000-0005-0000-0000-00005C460000}"/>
    <cellStyle name="20% - Accent6 4 3 3 2 2 2 4" xfId="28890" xr:uid="{00000000-0005-0000-0000-00005D460000}"/>
    <cellStyle name="20% - Accent6 4 3 3 2 2 3" xfId="9106" xr:uid="{00000000-0005-0000-0000-00005E460000}"/>
    <cellStyle name="20% - Accent6 4 3 3 2 2 3 2" xfId="20407" xr:uid="{00000000-0005-0000-0000-00005F460000}"/>
    <cellStyle name="20% - Accent6 4 3 3 2 2 3 2 2" xfId="43009" xr:uid="{00000000-0005-0000-0000-000060460000}"/>
    <cellStyle name="20% - Accent6 4 3 3 2 2 3 3" xfId="31708" xr:uid="{00000000-0005-0000-0000-000061460000}"/>
    <cellStyle name="20% - Accent6 4 3 3 2 2 4" xfId="14757" xr:uid="{00000000-0005-0000-0000-000062460000}"/>
    <cellStyle name="20% - Accent6 4 3 3 2 2 4 2" xfId="37359" xr:uid="{00000000-0005-0000-0000-000063460000}"/>
    <cellStyle name="20% - Accent6 4 3 3 2 2 5" xfId="26058" xr:uid="{00000000-0005-0000-0000-000064460000}"/>
    <cellStyle name="20% - Accent6 4 3 3 2 3" xfId="5054" xr:uid="{00000000-0005-0000-0000-000065460000}"/>
    <cellStyle name="20% - Accent6 4 3 3 2 3 2" xfId="10704" xr:uid="{00000000-0005-0000-0000-000066460000}"/>
    <cellStyle name="20% - Accent6 4 3 3 2 3 2 2" xfId="22005" xr:uid="{00000000-0005-0000-0000-000067460000}"/>
    <cellStyle name="20% - Accent6 4 3 3 2 3 2 2 2" xfId="44607" xr:uid="{00000000-0005-0000-0000-000068460000}"/>
    <cellStyle name="20% - Accent6 4 3 3 2 3 2 3" xfId="33306" xr:uid="{00000000-0005-0000-0000-000069460000}"/>
    <cellStyle name="20% - Accent6 4 3 3 2 3 3" xfId="16355" xr:uid="{00000000-0005-0000-0000-00006A460000}"/>
    <cellStyle name="20% - Accent6 4 3 3 2 3 3 2" xfId="38957" xr:uid="{00000000-0005-0000-0000-00006B460000}"/>
    <cellStyle name="20% - Accent6 4 3 3 2 3 4" xfId="27656" xr:uid="{00000000-0005-0000-0000-00006C460000}"/>
    <cellStyle name="20% - Accent6 4 3 3 2 4" xfId="7645" xr:uid="{00000000-0005-0000-0000-00006D460000}"/>
    <cellStyle name="20% - Accent6 4 3 3 2 4 2" xfId="18946" xr:uid="{00000000-0005-0000-0000-00006E460000}"/>
    <cellStyle name="20% - Accent6 4 3 3 2 4 2 2" xfId="41548" xr:uid="{00000000-0005-0000-0000-00006F460000}"/>
    <cellStyle name="20% - Accent6 4 3 3 2 4 3" xfId="30247" xr:uid="{00000000-0005-0000-0000-000070460000}"/>
    <cellStyle name="20% - Accent6 4 3 3 2 5" xfId="13296" xr:uid="{00000000-0005-0000-0000-000071460000}"/>
    <cellStyle name="20% - Accent6 4 3 3 2 5 2" xfId="35898" xr:uid="{00000000-0005-0000-0000-000072460000}"/>
    <cellStyle name="20% - Accent6 4 3 3 2 6" xfId="24597" xr:uid="{00000000-0005-0000-0000-000073460000}"/>
    <cellStyle name="20% - Accent6 4 3 3 3" xfId="2645" xr:uid="{00000000-0005-0000-0000-000074460000}"/>
    <cellStyle name="20% - Accent6 4 3 3 3 2" xfId="5664" xr:uid="{00000000-0005-0000-0000-000075460000}"/>
    <cellStyle name="20% - Accent6 4 3 3 3 2 2" xfId="11314" xr:uid="{00000000-0005-0000-0000-000076460000}"/>
    <cellStyle name="20% - Accent6 4 3 3 3 2 2 2" xfId="22615" xr:uid="{00000000-0005-0000-0000-000077460000}"/>
    <cellStyle name="20% - Accent6 4 3 3 3 2 2 2 2" xfId="45217" xr:uid="{00000000-0005-0000-0000-000078460000}"/>
    <cellStyle name="20% - Accent6 4 3 3 3 2 2 3" xfId="33916" xr:uid="{00000000-0005-0000-0000-000079460000}"/>
    <cellStyle name="20% - Accent6 4 3 3 3 2 3" xfId="16965" xr:uid="{00000000-0005-0000-0000-00007A460000}"/>
    <cellStyle name="20% - Accent6 4 3 3 3 2 3 2" xfId="39567" xr:uid="{00000000-0005-0000-0000-00007B460000}"/>
    <cellStyle name="20% - Accent6 4 3 3 3 2 4" xfId="28266" xr:uid="{00000000-0005-0000-0000-00007C460000}"/>
    <cellStyle name="20% - Accent6 4 3 3 3 3" xfId="8481" xr:uid="{00000000-0005-0000-0000-00007D460000}"/>
    <cellStyle name="20% - Accent6 4 3 3 3 3 2" xfId="19782" xr:uid="{00000000-0005-0000-0000-00007E460000}"/>
    <cellStyle name="20% - Accent6 4 3 3 3 3 2 2" xfId="42384" xr:uid="{00000000-0005-0000-0000-00007F460000}"/>
    <cellStyle name="20% - Accent6 4 3 3 3 3 3" xfId="31083" xr:uid="{00000000-0005-0000-0000-000080460000}"/>
    <cellStyle name="20% - Accent6 4 3 3 3 4" xfId="14132" xr:uid="{00000000-0005-0000-0000-000081460000}"/>
    <cellStyle name="20% - Accent6 4 3 3 3 4 2" xfId="36734" xr:uid="{00000000-0005-0000-0000-000082460000}"/>
    <cellStyle name="20% - Accent6 4 3 3 3 5" xfId="25433" xr:uid="{00000000-0005-0000-0000-000083460000}"/>
    <cellStyle name="20% - Accent6 4 3 3 4" xfId="4430" xr:uid="{00000000-0005-0000-0000-000084460000}"/>
    <cellStyle name="20% - Accent6 4 3 3 4 2" xfId="10080" xr:uid="{00000000-0005-0000-0000-000085460000}"/>
    <cellStyle name="20% - Accent6 4 3 3 4 2 2" xfId="21381" xr:uid="{00000000-0005-0000-0000-000086460000}"/>
    <cellStyle name="20% - Accent6 4 3 3 4 2 2 2" xfId="43983" xr:uid="{00000000-0005-0000-0000-000087460000}"/>
    <cellStyle name="20% - Accent6 4 3 3 4 2 3" xfId="32682" xr:uid="{00000000-0005-0000-0000-000088460000}"/>
    <cellStyle name="20% - Accent6 4 3 3 4 3" xfId="15731" xr:uid="{00000000-0005-0000-0000-000089460000}"/>
    <cellStyle name="20% - Accent6 4 3 3 4 3 2" xfId="38333" xr:uid="{00000000-0005-0000-0000-00008A460000}"/>
    <cellStyle name="20% - Accent6 4 3 3 4 4" xfId="27032" xr:uid="{00000000-0005-0000-0000-00008B460000}"/>
    <cellStyle name="20% - Accent6 4 3 3 5" xfId="7227" xr:uid="{00000000-0005-0000-0000-00008C460000}"/>
    <cellStyle name="20% - Accent6 4 3 3 5 2" xfId="18528" xr:uid="{00000000-0005-0000-0000-00008D460000}"/>
    <cellStyle name="20% - Accent6 4 3 3 5 2 2" xfId="41130" xr:uid="{00000000-0005-0000-0000-00008E460000}"/>
    <cellStyle name="20% - Accent6 4 3 3 5 3" xfId="29829" xr:uid="{00000000-0005-0000-0000-00008F460000}"/>
    <cellStyle name="20% - Accent6 4 3 3 6" xfId="12878" xr:uid="{00000000-0005-0000-0000-000090460000}"/>
    <cellStyle name="20% - Accent6 4 3 3 6 2" xfId="35480" xr:uid="{00000000-0005-0000-0000-000091460000}"/>
    <cellStyle name="20% - Accent6 4 3 3 7" xfId="24179" xr:uid="{00000000-0005-0000-0000-000092460000}"/>
    <cellStyle name="20% - Accent6 4 3 4" xfId="939" xr:uid="{00000000-0005-0000-0000-000093460000}"/>
    <cellStyle name="20% - Accent6 4 3 4 2" xfId="3009" xr:uid="{00000000-0005-0000-0000-000094460000}"/>
    <cellStyle name="20% - Accent6 4 3 4 2 2" xfId="5981" xr:uid="{00000000-0005-0000-0000-000095460000}"/>
    <cellStyle name="20% - Accent6 4 3 4 2 2 2" xfId="11631" xr:uid="{00000000-0005-0000-0000-000096460000}"/>
    <cellStyle name="20% - Accent6 4 3 4 2 2 2 2" xfId="22932" xr:uid="{00000000-0005-0000-0000-000097460000}"/>
    <cellStyle name="20% - Accent6 4 3 4 2 2 2 2 2" xfId="45534" xr:uid="{00000000-0005-0000-0000-000098460000}"/>
    <cellStyle name="20% - Accent6 4 3 4 2 2 2 3" xfId="34233" xr:uid="{00000000-0005-0000-0000-000099460000}"/>
    <cellStyle name="20% - Accent6 4 3 4 2 2 3" xfId="17282" xr:uid="{00000000-0005-0000-0000-00009A460000}"/>
    <cellStyle name="20% - Accent6 4 3 4 2 2 3 2" xfId="39884" xr:uid="{00000000-0005-0000-0000-00009B460000}"/>
    <cellStyle name="20% - Accent6 4 3 4 2 2 4" xfId="28583" xr:uid="{00000000-0005-0000-0000-00009C460000}"/>
    <cellStyle name="20% - Accent6 4 3 4 2 3" xfId="8799" xr:uid="{00000000-0005-0000-0000-00009D460000}"/>
    <cellStyle name="20% - Accent6 4 3 4 2 3 2" xfId="20100" xr:uid="{00000000-0005-0000-0000-00009E460000}"/>
    <cellStyle name="20% - Accent6 4 3 4 2 3 2 2" xfId="42702" xr:uid="{00000000-0005-0000-0000-00009F460000}"/>
    <cellStyle name="20% - Accent6 4 3 4 2 3 3" xfId="31401" xr:uid="{00000000-0005-0000-0000-0000A0460000}"/>
    <cellStyle name="20% - Accent6 4 3 4 2 4" xfId="14450" xr:uid="{00000000-0005-0000-0000-0000A1460000}"/>
    <cellStyle name="20% - Accent6 4 3 4 2 4 2" xfId="37052" xr:uid="{00000000-0005-0000-0000-0000A2460000}"/>
    <cellStyle name="20% - Accent6 4 3 4 2 5" xfId="25751" xr:uid="{00000000-0005-0000-0000-0000A3460000}"/>
    <cellStyle name="20% - Accent6 4 3 4 3" xfId="4747" xr:uid="{00000000-0005-0000-0000-0000A4460000}"/>
    <cellStyle name="20% - Accent6 4 3 4 3 2" xfId="10397" xr:uid="{00000000-0005-0000-0000-0000A5460000}"/>
    <cellStyle name="20% - Accent6 4 3 4 3 2 2" xfId="21698" xr:uid="{00000000-0005-0000-0000-0000A6460000}"/>
    <cellStyle name="20% - Accent6 4 3 4 3 2 2 2" xfId="44300" xr:uid="{00000000-0005-0000-0000-0000A7460000}"/>
    <cellStyle name="20% - Accent6 4 3 4 3 2 3" xfId="32999" xr:uid="{00000000-0005-0000-0000-0000A8460000}"/>
    <cellStyle name="20% - Accent6 4 3 4 3 3" xfId="16048" xr:uid="{00000000-0005-0000-0000-0000A9460000}"/>
    <cellStyle name="20% - Accent6 4 3 4 3 3 2" xfId="38650" xr:uid="{00000000-0005-0000-0000-0000AA460000}"/>
    <cellStyle name="20% - Accent6 4 3 4 3 4" xfId="27349" xr:uid="{00000000-0005-0000-0000-0000AB460000}"/>
    <cellStyle name="20% - Accent6 4 3 4 4" xfId="6934" xr:uid="{00000000-0005-0000-0000-0000AC460000}"/>
    <cellStyle name="20% - Accent6 4 3 4 4 2" xfId="18235" xr:uid="{00000000-0005-0000-0000-0000AD460000}"/>
    <cellStyle name="20% - Accent6 4 3 4 4 2 2" xfId="40837" xr:uid="{00000000-0005-0000-0000-0000AE460000}"/>
    <cellStyle name="20% - Accent6 4 3 4 4 3" xfId="29536" xr:uid="{00000000-0005-0000-0000-0000AF460000}"/>
    <cellStyle name="20% - Accent6 4 3 4 5" xfId="12585" xr:uid="{00000000-0005-0000-0000-0000B0460000}"/>
    <cellStyle name="20% - Accent6 4 3 4 5 2" xfId="35187" xr:uid="{00000000-0005-0000-0000-0000B1460000}"/>
    <cellStyle name="20% - Accent6 4 3 4 6" xfId="23886" xr:uid="{00000000-0005-0000-0000-0000B2460000}"/>
    <cellStyle name="20% - Accent6 4 3 5" xfId="1786" xr:uid="{00000000-0005-0000-0000-0000B3460000}"/>
    <cellStyle name="20% - Accent6 4 3 5 2" xfId="3692" xr:uid="{00000000-0005-0000-0000-0000B4460000}"/>
    <cellStyle name="20% - Accent6 4 3 5 2 2" xfId="9403" xr:uid="{00000000-0005-0000-0000-0000B5460000}"/>
    <cellStyle name="20% - Accent6 4 3 5 2 2 2" xfId="20704" xr:uid="{00000000-0005-0000-0000-0000B6460000}"/>
    <cellStyle name="20% - Accent6 4 3 5 2 2 2 2" xfId="43306" xr:uid="{00000000-0005-0000-0000-0000B7460000}"/>
    <cellStyle name="20% - Accent6 4 3 5 2 2 3" xfId="32005" xr:uid="{00000000-0005-0000-0000-0000B8460000}"/>
    <cellStyle name="20% - Accent6 4 3 5 2 3" xfId="15054" xr:uid="{00000000-0005-0000-0000-0000B9460000}"/>
    <cellStyle name="20% - Accent6 4 3 5 2 3 2" xfId="37656" xr:uid="{00000000-0005-0000-0000-0000BA460000}"/>
    <cellStyle name="20% - Accent6 4 3 5 2 4" xfId="26355" xr:uid="{00000000-0005-0000-0000-0000BB460000}"/>
    <cellStyle name="20% - Accent6 4 3 5 3" xfId="5357" xr:uid="{00000000-0005-0000-0000-0000BC460000}"/>
    <cellStyle name="20% - Accent6 4 3 5 3 2" xfId="11007" xr:uid="{00000000-0005-0000-0000-0000BD460000}"/>
    <cellStyle name="20% - Accent6 4 3 5 3 2 2" xfId="22308" xr:uid="{00000000-0005-0000-0000-0000BE460000}"/>
    <cellStyle name="20% - Accent6 4 3 5 3 2 2 2" xfId="44910" xr:uid="{00000000-0005-0000-0000-0000BF460000}"/>
    <cellStyle name="20% - Accent6 4 3 5 3 2 3" xfId="33609" xr:uid="{00000000-0005-0000-0000-0000C0460000}"/>
    <cellStyle name="20% - Accent6 4 3 5 3 3" xfId="16658" xr:uid="{00000000-0005-0000-0000-0000C1460000}"/>
    <cellStyle name="20% - Accent6 4 3 5 3 3 2" xfId="39260" xr:uid="{00000000-0005-0000-0000-0000C2460000}"/>
    <cellStyle name="20% - Accent6 4 3 5 3 4" xfId="27959" xr:uid="{00000000-0005-0000-0000-0000C3460000}"/>
    <cellStyle name="20% - Accent6 4 3 5 4" xfId="7642" xr:uid="{00000000-0005-0000-0000-0000C4460000}"/>
    <cellStyle name="20% - Accent6 4 3 5 4 2" xfId="18943" xr:uid="{00000000-0005-0000-0000-0000C5460000}"/>
    <cellStyle name="20% - Accent6 4 3 5 4 2 2" xfId="41545" xr:uid="{00000000-0005-0000-0000-0000C6460000}"/>
    <cellStyle name="20% - Accent6 4 3 5 4 3" xfId="30244" xr:uid="{00000000-0005-0000-0000-0000C7460000}"/>
    <cellStyle name="20% - Accent6 4 3 5 5" xfId="13293" xr:uid="{00000000-0005-0000-0000-0000C8460000}"/>
    <cellStyle name="20% - Accent6 4 3 5 5 2" xfId="35895" xr:uid="{00000000-0005-0000-0000-0000C9460000}"/>
    <cellStyle name="20% - Accent6 4 3 5 6" xfId="24594" xr:uid="{00000000-0005-0000-0000-0000CA460000}"/>
    <cellStyle name="20% - Accent6 4 3 6" xfId="2336" xr:uid="{00000000-0005-0000-0000-0000CB460000}"/>
    <cellStyle name="20% - Accent6 4 3 6 2" xfId="8172" xr:uid="{00000000-0005-0000-0000-0000CC460000}"/>
    <cellStyle name="20% - Accent6 4 3 6 2 2" xfId="19473" xr:uid="{00000000-0005-0000-0000-0000CD460000}"/>
    <cellStyle name="20% - Accent6 4 3 6 2 2 2" xfId="42075" xr:uid="{00000000-0005-0000-0000-0000CE460000}"/>
    <cellStyle name="20% - Accent6 4 3 6 2 3" xfId="30774" xr:uid="{00000000-0005-0000-0000-0000CF460000}"/>
    <cellStyle name="20% - Accent6 4 3 6 3" xfId="13823" xr:uid="{00000000-0005-0000-0000-0000D0460000}"/>
    <cellStyle name="20% - Accent6 4 3 6 3 2" xfId="36425" xr:uid="{00000000-0005-0000-0000-0000D1460000}"/>
    <cellStyle name="20% - Accent6 4 3 6 4" xfId="25124" xr:uid="{00000000-0005-0000-0000-0000D2460000}"/>
    <cellStyle name="20% - Accent6 4 3 7" xfId="4123" xr:uid="{00000000-0005-0000-0000-0000D3460000}"/>
    <cellStyle name="20% - Accent6 4 3 7 2" xfId="9773" xr:uid="{00000000-0005-0000-0000-0000D4460000}"/>
    <cellStyle name="20% - Accent6 4 3 7 2 2" xfId="21074" xr:uid="{00000000-0005-0000-0000-0000D5460000}"/>
    <cellStyle name="20% - Accent6 4 3 7 2 2 2" xfId="43676" xr:uid="{00000000-0005-0000-0000-0000D6460000}"/>
    <cellStyle name="20% - Accent6 4 3 7 2 3" xfId="32375" xr:uid="{00000000-0005-0000-0000-0000D7460000}"/>
    <cellStyle name="20% - Accent6 4 3 7 3" xfId="15424" xr:uid="{00000000-0005-0000-0000-0000D8460000}"/>
    <cellStyle name="20% - Accent6 4 3 7 3 2" xfId="38026" xr:uid="{00000000-0005-0000-0000-0000D9460000}"/>
    <cellStyle name="20% - Accent6 4 3 7 4" xfId="26725" xr:uid="{00000000-0005-0000-0000-0000DA460000}"/>
    <cellStyle name="20% - Accent6 4 3 8" xfId="6574" xr:uid="{00000000-0005-0000-0000-0000DB460000}"/>
    <cellStyle name="20% - Accent6 4 3 8 2" xfId="17875" xr:uid="{00000000-0005-0000-0000-0000DC460000}"/>
    <cellStyle name="20% - Accent6 4 3 8 2 2" xfId="40477" xr:uid="{00000000-0005-0000-0000-0000DD460000}"/>
    <cellStyle name="20% - Accent6 4 3 8 3" xfId="29176" xr:uid="{00000000-0005-0000-0000-0000DE460000}"/>
    <cellStyle name="20% - Accent6 4 3 9" xfId="12225" xr:uid="{00000000-0005-0000-0000-0000DF460000}"/>
    <cellStyle name="20% - Accent6 4 3 9 2" xfId="34827" xr:uid="{00000000-0005-0000-0000-0000E0460000}"/>
    <cellStyle name="20% - Accent6 4 4" xfId="578" xr:uid="{00000000-0005-0000-0000-0000E1460000}"/>
    <cellStyle name="20% - Accent6 4 4 2" xfId="1152" xr:uid="{00000000-0005-0000-0000-0000E2460000}"/>
    <cellStyle name="20% - Accent6 4 4 2 2" xfId="1791" xr:uid="{00000000-0005-0000-0000-0000E3460000}"/>
    <cellStyle name="20% - Accent6 4 4 2 2 2" xfId="3220" xr:uid="{00000000-0005-0000-0000-0000E4460000}"/>
    <cellStyle name="20% - Accent6 4 4 2 2 2 2" xfId="6192" xr:uid="{00000000-0005-0000-0000-0000E5460000}"/>
    <cellStyle name="20% - Accent6 4 4 2 2 2 2 2" xfId="11842" xr:uid="{00000000-0005-0000-0000-0000E6460000}"/>
    <cellStyle name="20% - Accent6 4 4 2 2 2 2 2 2" xfId="23143" xr:uid="{00000000-0005-0000-0000-0000E7460000}"/>
    <cellStyle name="20% - Accent6 4 4 2 2 2 2 2 2 2" xfId="45745" xr:uid="{00000000-0005-0000-0000-0000E8460000}"/>
    <cellStyle name="20% - Accent6 4 4 2 2 2 2 2 3" xfId="34444" xr:uid="{00000000-0005-0000-0000-0000E9460000}"/>
    <cellStyle name="20% - Accent6 4 4 2 2 2 2 3" xfId="17493" xr:uid="{00000000-0005-0000-0000-0000EA460000}"/>
    <cellStyle name="20% - Accent6 4 4 2 2 2 2 3 2" xfId="40095" xr:uid="{00000000-0005-0000-0000-0000EB460000}"/>
    <cellStyle name="20% - Accent6 4 4 2 2 2 2 4" xfId="28794" xr:uid="{00000000-0005-0000-0000-0000EC460000}"/>
    <cellStyle name="20% - Accent6 4 4 2 2 2 3" xfId="9010" xr:uid="{00000000-0005-0000-0000-0000ED460000}"/>
    <cellStyle name="20% - Accent6 4 4 2 2 2 3 2" xfId="20311" xr:uid="{00000000-0005-0000-0000-0000EE460000}"/>
    <cellStyle name="20% - Accent6 4 4 2 2 2 3 2 2" xfId="42913" xr:uid="{00000000-0005-0000-0000-0000EF460000}"/>
    <cellStyle name="20% - Accent6 4 4 2 2 2 3 3" xfId="31612" xr:uid="{00000000-0005-0000-0000-0000F0460000}"/>
    <cellStyle name="20% - Accent6 4 4 2 2 2 4" xfId="14661" xr:uid="{00000000-0005-0000-0000-0000F1460000}"/>
    <cellStyle name="20% - Accent6 4 4 2 2 2 4 2" xfId="37263" xr:uid="{00000000-0005-0000-0000-0000F2460000}"/>
    <cellStyle name="20% - Accent6 4 4 2 2 2 5" xfId="25962" xr:uid="{00000000-0005-0000-0000-0000F3460000}"/>
    <cellStyle name="20% - Accent6 4 4 2 2 3" xfId="4958" xr:uid="{00000000-0005-0000-0000-0000F4460000}"/>
    <cellStyle name="20% - Accent6 4 4 2 2 3 2" xfId="10608" xr:uid="{00000000-0005-0000-0000-0000F5460000}"/>
    <cellStyle name="20% - Accent6 4 4 2 2 3 2 2" xfId="21909" xr:uid="{00000000-0005-0000-0000-0000F6460000}"/>
    <cellStyle name="20% - Accent6 4 4 2 2 3 2 2 2" xfId="44511" xr:uid="{00000000-0005-0000-0000-0000F7460000}"/>
    <cellStyle name="20% - Accent6 4 4 2 2 3 2 3" xfId="33210" xr:uid="{00000000-0005-0000-0000-0000F8460000}"/>
    <cellStyle name="20% - Accent6 4 4 2 2 3 3" xfId="16259" xr:uid="{00000000-0005-0000-0000-0000F9460000}"/>
    <cellStyle name="20% - Accent6 4 4 2 2 3 3 2" xfId="38861" xr:uid="{00000000-0005-0000-0000-0000FA460000}"/>
    <cellStyle name="20% - Accent6 4 4 2 2 3 4" xfId="27560" xr:uid="{00000000-0005-0000-0000-0000FB460000}"/>
    <cellStyle name="20% - Accent6 4 4 2 2 4" xfId="7647" xr:uid="{00000000-0005-0000-0000-0000FC460000}"/>
    <cellStyle name="20% - Accent6 4 4 2 2 4 2" xfId="18948" xr:uid="{00000000-0005-0000-0000-0000FD460000}"/>
    <cellStyle name="20% - Accent6 4 4 2 2 4 2 2" xfId="41550" xr:uid="{00000000-0005-0000-0000-0000FE460000}"/>
    <cellStyle name="20% - Accent6 4 4 2 2 4 3" xfId="30249" xr:uid="{00000000-0005-0000-0000-0000FF460000}"/>
    <cellStyle name="20% - Accent6 4 4 2 2 5" xfId="13298" xr:uid="{00000000-0005-0000-0000-000000470000}"/>
    <cellStyle name="20% - Accent6 4 4 2 2 5 2" xfId="35900" xr:uid="{00000000-0005-0000-0000-000001470000}"/>
    <cellStyle name="20% - Accent6 4 4 2 2 6" xfId="24599" xr:uid="{00000000-0005-0000-0000-000002470000}"/>
    <cellStyle name="20% - Accent6 4 4 2 3" xfId="2549" xr:uid="{00000000-0005-0000-0000-000003470000}"/>
    <cellStyle name="20% - Accent6 4 4 2 3 2" xfId="5568" xr:uid="{00000000-0005-0000-0000-000004470000}"/>
    <cellStyle name="20% - Accent6 4 4 2 3 2 2" xfId="11218" xr:uid="{00000000-0005-0000-0000-000005470000}"/>
    <cellStyle name="20% - Accent6 4 4 2 3 2 2 2" xfId="22519" xr:uid="{00000000-0005-0000-0000-000006470000}"/>
    <cellStyle name="20% - Accent6 4 4 2 3 2 2 2 2" xfId="45121" xr:uid="{00000000-0005-0000-0000-000007470000}"/>
    <cellStyle name="20% - Accent6 4 4 2 3 2 2 3" xfId="33820" xr:uid="{00000000-0005-0000-0000-000008470000}"/>
    <cellStyle name="20% - Accent6 4 4 2 3 2 3" xfId="16869" xr:uid="{00000000-0005-0000-0000-000009470000}"/>
    <cellStyle name="20% - Accent6 4 4 2 3 2 3 2" xfId="39471" xr:uid="{00000000-0005-0000-0000-00000A470000}"/>
    <cellStyle name="20% - Accent6 4 4 2 3 2 4" xfId="28170" xr:uid="{00000000-0005-0000-0000-00000B470000}"/>
    <cellStyle name="20% - Accent6 4 4 2 3 3" xfId="8385" xr:uid="{00000000-0005-0000-0000-00000C470000}"/>
    <cellStyle name="20% - Accent6 4 4 2 3 3 2" xfId="19686" xr:uid="{00000000-0005-0000-0000-00000D470000}"/>
    <cellStyle name="20% - Accent6 4 4 2 3 3 2 2" xfId="42288" xr:uid="{00000000-0005-0000-0000-00000E470000}"/>
    <cellStyle name="20% - Accent6 4 4 2 3 3 3" xfId="30987" xr:uid="{00000000-0005-0000-0000-00000F470000}"/>
    <cellStyle name="20% - Accent6 4 4 2 3 4" xfId="14036" xr:uid="{00000000-0005-0000-0000-000010470000}"/>
    <cellStyle name="20% - Accent6 4 4 2 3 4 2" xfId="36638" xr:uid="{00000000-0005-0000-0000-000011470000}"/>
    <cellStyle name="20% - Accent6 4 4 2 3 5" xfId="25337" xr:uid="{00000000-0005-0000-0000-000012470000}"/>
    <cellStyle name="20% - Accent6 4 4 2 4" xfId="4334" xr:uid="{00000000-0005-0000-0000-000013470000}"/>
    <cellStyle name="20% - Accent6 4 4 2 4 2" xfId="9984" xr:uid="{00000000-0005-0000-0000-000014470000}"/>
    <cellStyle name="20% - Accent6 4 4 2 4 2 2" xfId="21285" xr:uid="{00000000-0005-0000-0000-000015470000}"/>
    <cellStyle name="20% - Accent6 4 4 2 4 2 2 2" xfId="43887" xr:uid="{00000000-0005-0000-0000-000016470000}"/>
    <cellStyle name="20% - Accent6 4 4 2 4 2 3" xfId="32586" xr:uid="{00000000-0005-0000-0000-000017470000}"/>
    <cellStyle name="20% - Accent6 4 4 2 4 3" xfId="15635" xr:uid="{00000000-0005-0000-0000-000018470000}"/>
    <cellStyle name="20% - Accent6 4 4 2 4 3 2" xfId="38237" xr:uid="{00000000-0005-0000-0000-000019470000}"/>
    <cellStyle name="20% - Accent6 4 4 2 4 4" xfId="26936" xr:uid="{00000000-0005-0000-0000-00001A470000}"/>
    <cellStyle name="20% - Accent6 4 4 2 5" xfId="7131" xr:uid="{00000000-0005-0000-0000-00001B470000}"/>
    <cellStyle name="20% - Accent6 4 4 2 5 2" xfId="18432" xr:uid="{00000000-0005-0000-0000-00001C470000}"/>
    <cellStyle name="20% - Accent6 4 4 2 5 2 2" xfId="41034" xr:uid="{00000000-0005-0000-0000-00001D470000}"/>
    <cellStyle name="20% - Accent6 4 4 2 5 3" xfId="29733" xr:uid="{00000000-0005-0000-0000-00001E470000}"/>
    <cellStyle name="20% - Accent6 4 4 2 6" xfId="12782" xr:uid="{00000000-0005-0000-0000-00001F470000}"/>
    <cellStyle name="20% - Accent6 4 4 2 6 2" xfId="35384" xr:uid="{00000000-0005-0000-0000-000020470000}"/>
    <cellStyle name="20% - Accent6 4 4 2 7" xfId="24083" xr:uid="{00000000-0005-0000-0000-000021470000}"/>
    <cellStyle name="20% - Accent6 4 4 3" xfId="826" xr:uid="{00000000-0005-0000-0000-000022470000}"/>
    <cellStyle name="20% - Accent6 4 4 3 2" xfId="2913" xr:uid="{00000000-0005-0000-0000-000023470000}"/>
    <cellStyle name="20% - Accent6 4 4 3 2 2" xfId="5885" xr:uid="{00000000-0005-0000-0000-000024470000}"/>
    <cellStyle name="20% - Accent6 4 4 3 2 2 2" xfId="11535" xr:uid="{00000000-0005-0000-0000-000025470000}"/>
    <cellStyle name="20% - Accent6 4 4 3 2 2 2 2" xfId="22836" xr:uid="{00000000-0005-0000-0000-000026470000}"/>
    <cellStyle name="20% - Accent6 4 4 3 2 2 2 2 2" xfId="45438" xr:uid="{00000000-0005-0000-0000-000027470000}"/>
    <cellStyle name="20% - Accent6 4 4 3 2 2 2 3" xfId="34137" xr:uid="{00000000-0005-0000-0000-000028470000}"/>
    <cellStyle name="20% - Accent6 4 4 3 2 2 3" xfId="17186" xr:uid="{00000000-0005-0000-0000-000029470000}"/>
    <cellStyle name="20% - Accent6 4 4 3 2 2 3 2" xfId="39788" xr:uid="{00000000-0005-0000-0000-00002A470000}"/>
    <cellStyle name="20% - Accent6 4 4 3 2 2 4" xfId="28487" xr:uid="{00000000-0005-0000-0000-00002B470000}"/>
    <cellStyle name="20% - Accent6 4 4 3 2 3" xfId="8703" xr:uid="{00000000-0005-0000-0000-00002C470000}"/>
    <cellStyle name="20% - Accent6 4 4 3 2 3 2" xfId="20004" xr:uid="{00000000-0005-0000-0000-00002D470000}"/>
    <cellStyle name="20% - Accent6 4 4 3 2 3 2 2" xfId="42606" xr:uid="{00000000-0005-0000-0000-00002E470000}"/>
    <cellStyle name="20% - Accent6 4 4 3 2 3 3" xfId="31305" xr:uid="{00000000-0005-0000-0000-00002F470000}"/>
    <cellStyle name="20% - Accent6 4 4 3 2 4" xfId="14354" xr:uid="{00000000-0005-0000-0000-000030470000}"/>
    <cellStyle name="20% - Accent6 4 4 3 2 4 2" xfId="36956" xr:uid="{00000000-0005-0000-0000-000031470000}"/>
    <cellStyle name="20% - Accent6 4 4 3 2 5" xfId="25655" xr:uid="{00000000-0005-0000-0000-000032470000}"/>
    <cellStyle name="20% - Accent6 4 4 3 3" xfId="4651" xr:uid="{00000000-0005-0000-0000-000033470000}"/>
    <cellStyle name="20% - Accent6 4 4 3 3 2" xfId="10301" xr:uid="{00000000-0005-0000-0000-000034470000}"/>
    <cellStyle name="20% - Accent6 4 4 3 3 2 2" xfId="21602" xr:uid="{00000000-0005-0000-0000-000035470000}"/>
    <cellStyle name="20% - Accent6 4 4 3 3 2 2 2" xfId="44204" xr:uid="{00000000-0005-0000-0000-000036470000}"/>
    <cellStyle name="20% - Accent6 4 4 3 3 2 3" xfId="32903" xr:uid="{00000000-0005-0000-0000-000037470000}"/>
    <cellStyle name="20% - Accent6 4 4 3 3 3" xfId="15952" xr:uid="{00000000-0005-0000-0000-000038470000}"/>
    <cellStyle name="20% - Accent6 4 4 3 3 3 2" xfId="38554" xr:uid="{00000000-0005-0000-0000-000039470000}"/>
    <cellStyle name="20% - Accent6 4 4 3 3 4" xfId="27253" xr:uid="{00000000-0005-0000-0000-00003A470000}"/>
    <cellStyle name="20% - Accent6 4 4 3 4" xfId="6834" xr:uid="{00000000-0005-0000-0000-00003B470000}"/>
    <cellStyle name="20% - Accent6 4 4 3 4 2" xfId="18135" xr:uid="{00000000-0005-0000-0000-00003C470000}"/>
    <cellStyle name="20% - Accent6 4 4 3 4 2 2" xfId="40737" xr:uid="{00000000-0005-0000-0000-00003D470000}"/>
    <cellStyle name="20% - Accent6 4 4 3 4 3" xfId="29436" xr:uid="{00000000-0005-0000-0000-00003E470000}"/>
    <cellStyle name="20% - Accent6 4 4 3 5" xfId="12485" xr:uid="{00000000-0005-0000-0000-00003F470000}"/>
    <cellStyle name="20% - Accent6 4 4 3 5 2" xfId="35087" xr:uid="{00000000-0005-0000-0000-000040470000}"/>
    <cellStyle name="20% - Accent6 4 4 3 6" xfId="23786" xr:uid="{00000000-0005-0000-0000-000041470000}"/>
    <cellStyle name="20% - Accent6 4 4 4" xfId="1790" xr:uid="{00000000-0005-0000-0000-000042470000}"/>
    <cellStyle name="20% - Accent6 4 4 4 2" xfId="3694" xr:uid="{00000000-0005-0000-0000-000043470000}"/>
    <cellStyle name="20% - Accent6 4 4 4 2 2" xfId="9405" xr:uid="{00000000-0005-0000-0000-000044470000}"/>
    <cellStyle name="20% - Accent6 4 4 4 2 2 2" xfId="20706" xr:uid="{00000000-0005-0000-0000-000045470000}"/>
    <cellStyle name="20% - Accent6 4 4 4 2 2 2 2" xfId="43308" xr:uid="{00000000-0005-0000-0000-000046470000}"/>
    <cellStyle name="20% - Accent6 4 4 4 2 2 3" xfId="32007" xr:uid="{00000000-0005-0000-0000-000047470000}"/>
    <cellStyle name="20% - Accent6 4 4 4 2 3" xfId="15056" xr:uid="{00000000-0005-0000-0000-000048470000}"/>
    <cellStyle name="20% - Accent6 4 4 4 2 3 2" xfId="37658" xr:uid="{00000000-0005-0000-0000-000049470000}"/>
    <cellStyle name="20% - Accent6 4 4 4 2 4" xfId="26357" xr:uid="{00000000-0005-0000-0000-00004A470000}"/>
    <cellStyle name="20% - Accent6 4 4 4 3" xfId="5261" xr:uid="{00000000-0005-0000-0000-00004B470000}"/>
    <cellStyle name="20% - Accent6 4 4 4 3 2" xfId="10911" xr:uid="{00000000-0005-0000-0000-00004C470000}"/>
    <cellStyle name="20% - Accent6 4 4 4 3 2 2" xfId="22212" xr:uid="{00000000-0005-0000-0000-00004D470000}"/>
    <cellStyle name="20% - Accent6 4 4 4 3 2 2 2" xfId="44814" xr:uid="{00000000-0005-0000-0000-00004E470000}"/>
    <cellStyle name="20% - Accent6 4 4 4 3 2 3" xfId="33513" xr:uid="{00000000-0005-0000-0000-00004F470000}"/>
    <cellStyle name="20% - Accent6 4 4 4 3 3" xfId="16562" xr:uid="{00000000-0005-0000-0000-000050470000}"/>
    <cellStyle name="20% - Accent6 4 4 4 3 3 2" xfId="39164" xr:uid="{00000000-0005-0000-0000-000051470000}"/>
    <cellStyle name="20% - Accent6 4 4 4 3 4" xfId="27863" xr:uid="{00000000-0005-0000-0000-000052470000}"/>
    <cellStyle name="20% - Accent6 4 4 4 4" xfId="7646" xr:uid="{00000000-0005-0000-0000-000053470000}"/>
    <cellStyle name="20% - Accent6 4 4 4 4 2" xfId="18947" xr:uid="{00000000-0005-0000-0000-000054470000}"/>
    <cellStyle name="20% - Accent6 4 4 4 4 2 2" xfId="41549" xr:uid="{00000000-0005-0000-0000-000055470000}"/>
    <cellStyle name="20% - Accent6 4 4 4 4 3" xfId="30248" xr:uid="{00000000-0005-0000-0000-000056470000}"/>
    <cellStyle name="20% - Accent6 4 4 4 5" xfId="13297" xr:uid="{00000000-0005-0000-0000-000057470000}"/>
    <cellStyle name="20% - Accent6 4 4 4 5 2" xfId="35899" xr:uid="{00000000-0005-0000-0000-000058470000}"/>
    <cellStyle name="20% - Accent6 4 4 4 6" xfId="24598" xr:uid="{00000000-0005-0000-0000-000059470000}"/>
    <cellStyle name="20% - Accent6 4 4 5" xfId="2233" xr:uid="{00000000-0005-0000-0000-00005A470000}"/>
    <cellStyle name="20% - Accent6 4 4 5 2" xfId="8075" xr:uid="{00000000-0005-0000-0000-00005B470000}"/>
    <cellStyle name="20% - Accent6 4 4 5 2 2" xfId="19376" xr:uid="{00000000-0005-0000-0000-00005C470000}"/>
    <cellStyle name="20% - Accent6 4 4 5 2 2 2" xfId="41978" xr:uid="{00000000-0005-0000-0000-00005D470000}"/>
    <cellStyle name="20% - Accent6 4 4 5 2 3" xfId="30677" xr:uid="{00000000-0005-0000-0000-00005E470000}"/>
    <cellStyle name="20% - Accent6 4 4 5 3" xfId="13726" xr:uid="{00000000-0005-0000-0000-00005F470000}"/>
    <cellStyle name="20% - Accent6 4 4 5 3 2" xfId="36328" xr:uid="{00000000-0005-0000-0000-000060470000}"/>
    <cellStyle name="20% - Accent6 4 4 5 4" xfId="25027" xr:uid="{00000000-0005-0000-0000-000061470000}"/>
    <cellStyle name="20% - Accent6 4 4 6" xfId="4027" xr:uid="{00000000-0005-0000-0000-000062470000}"/>
    <cellStyle name="20% - Accent6 4 4 6 2" xfId="9677" xr:uid="{00000000-0005-0000-0000-000063470000}"/>
    <cellStyle name="20% - Accent6 4 4 6 2 2" xfId="20978" xr:uid="{00000000-0005-0000-0000-000064470000}"/>
    <cellStyle name="20% - Accent6 4 4 6 2 2 2" xfId="43580" xr:uid="{00000000-0005-0000-0000-000065470000}"/>
    <cellStyle name="20% - Accent6 4 4 6 2 3" xfId="32279" xr:uid="{00000000-0005-0000-0000-000066470000}"/>
    <cellStyle name="20% - Accent6 4 4 6 3" xfId="15328" xr:uid="{00000000-0005-0000-0000-000067470000}"/>
    <cellStyle name="20% - Accent6 4 4 6 3 2" xfId="37930" xr:uid="{00000000-0005-0000-0000-000068470000}"/>
    <cellStyle name="20% - Accent6 4 4 6 4" xfId="26629" xr:uid="{00000000-0005-0000-0000-000069470000}"/>
    <cellStyle name="20% - Accent6 4 4 7" xfId="6645" xr:uid="{00000000-0005-0000-0000-00006A470000}"/>
    <cellStyle name="20% - Accent6 4 4 7 2" xfId="17946" xr:uid="{00000000-0005-0000-0000-00006B470000}"/>
    <cellStyle name="20% - Accent6 4 4 7 2 2" xfId="40548" xr:uid="{00000000-0005-0000-0000-00006C470000}"/>
    <cellStyle name="20% - Accent6 4 4 7 3" xfId="29247" xr:uid="{00000000-0005-0000-0000-00006D470000}"/>
    <cellStyle name="20% - Accent6 4 4 8" xfId="12296" xr:uid="{00000000-0005-0000-0000-00006E470000}"/>
    <cellStyle name="20% - Accent6 4 4 8 2" xfId="34898" xr:uid="{00000000-0005-0000-0000-00006F470000}"/>
    <cellStyle name="20% - Accent6 4 4 9" xfId="23597" xr:uid="{00000000-0005-0000-0000-000070470000}"/>
    <cellStyle name="20% - Accent6 4 5" xfId="522" xr:uid="{00000000-0005-0000-0000-000071470000}"/>
    <cellStyle name="20% - Accent6 4 5 2" xfId="1291" xr:uid="{00000000-0005-0000-0000-000072470000}"/>
    <cellStyle name="20% - Accent6 4 5 2 2" xfId="1793" xr:uid="{00000000-0005-0000-0000-000073470000}"/>
    <cellStyle name="20% - Accent6 4 5 2 2 2" xfId="3360" xr:uid="{00000000-0005-0000-0000-000074470000}"/>
    <cellStyle name="20% - Accent6 4 5 2 2 2 2" xfId="6332" xr:uid="{00000000-0005-0000-0000-000075470000}"/>
    <cellStyle name="20% - Accent6 4 5 2 2 2 2 2" xfId="11982" xr:uid="{00000000-0005-0000-0000-000076470000}"/>
    <cellStyle name="20% - Accent6 4 5 2 2 2 2 2 2" xfId="23283" xr:uid="{00000000-0005-0000-0000-000077470000}"/>
    <cellStyle name="20% - Accent6 4 5 2 2 2 2 2 2 2" xfId="45885" xr:uid="{00000000-0005-0000-0000-000078470000}"/>
    <cellStyle name="20% - Accent6 4 5 2 2 2 2 2 3" xfId="34584" xr:uid="{00000000-0005-0000-0000-000079470000}"/>
    <cellStyle name="20% - Accent6 4 5 2 2 2 2 3" xfId="17633" xr:uid="{00000000-0005-0000-0000-00007A470000}"/>
    <cellStyle name="20% - Accent6 4 5 2 2 2 2 3 2" xfId="40235" xr:uid="{00000000-0005-0000-0000-00007B470000}"/>
    <cellStyle name="20% - Accent6 4 5 2 2 2 2 4" xfId="28934" xr:uid="{00000000-0005-0000-0000-00007C470000}"/>
    <cellStyle name="20% - Accent6 4 5 2 2 2 3" xfId="9150" xr:uid="{00000000-0005-0000-0000-00007D470000}"/>
    <cellStyle name="20% - Accent6 4 5 2 2 2 3 2" xfId="20451" xr:uid="{00000000-0005-0000-0000-00007E470000}"/>
    <cellStyle name="20% - Accent6 4 5 2 2 2 3 2 2" xfId="43053" xr:uid="{00000000-0005-0000-0000-00007F470000}"/>
    <cellStyle name="20% - Accent6 4 5 2 2 2 3 3" xfId="31752" xr:uid="{00000000-0005-0000-0000-000080470000}"/>
    <cellStyle name="20% - Accent6 4 5 2 2 2 4" xfId="14801" xr:uid="{00000000-0005-0000-0000-000081470000}"/>
    <cellStyle name="20% - Accent6 4 5 2 2 2 4 2" xfId="37403" xr:uid="{00000000-0005-0000-0000-000082470000}"/>
    <cellStyle name="20% - Accent6 4 5 2 2 2 5" xfId="26102" xr:uid="{00000000-0005-0000-0000-000083470000}"/>
    <cellStyle name="20% - Accent6 4 5 2 2 3" xfId="5098" xr:uid="{00000000-0005-0000-0000-000084470000}"/>
    <cellStyle name="20% - Accent6 4 5 2 2 3 2" xfId="10748" xr:uid="{00000000-0005-0000-0000-000085470000}"/>
    <cellStyle name="20% - Accent6 4 5 2 2 3 2 2" xfId="22049" xr:uid="{00000000-0005-0000-0000-000086470000}"/>
    <cellStyle name="20% - Accent6 4 5 2 2 3 2 2 2" xfId="44651" xr:uid="{00000000-0005-0000-0000-000087470000}"/>
    <cellStyle name="20% - Accent6 4 5 2 2 3 2 3" xfId="33350" xr:uid="{00000000-0005-0000-0000-000088470000}"/>
    <cellStyle name="20% - Accent6 4 5 2 2 3 3" xfId="16399" xr:uid="{00000000-0005-0000-0000-000089470000}"/>
    <cellStyle name="20% - Accent6 4 5 2 2 3 3 2" xfId="39001" xr:uid="{00000000-0005-0000-0000-00008A470000}"/>
    <cellStyle name="20% - Accent6 4 5 2 2 3 4" xfId="27700" xr:uid="{00000000-0005-0000-0000-00008B470000}"/>
    <cellStyle name="20% - Accent6 4 5 2 2 4" xfId="7649" xr:uid="{00000000-0005-0000-0000-00008C470000}"/>
    <cellStyle name="20% - Accent6 4 5 2 2 4 2" xfId="18950" xr:uid="{00000000-0005-0000-0000-00008D470000}"/>
    <cellStyle name="20% - Accent6 4 5 2 2 4 2 2" xfId="41552" xr:uid="{00000000-0005-0000-0000-00008E470000}"/>
    <cellStyle name="20% - Accent6 4 5 2 2 4 3" xfId="30251" xr:uid="{00000000-0005-0000-0000-00008F470000}"/>
    <cellStyle name="20% - Accent6 4 5 2 2 5" xfId="13300" xr:uid="{00000000-0005-0000-0000-000090470000}"/>
    <cellStyle name="20% - Accent6 4 5 2 2 5 2" xfId="35902" xr:uid="{00000000-0005-0000-0000-000091470000}"/>
    <cellStyle name="20% - Accent6 4 5 2 2 6" xfId="24601" xr:uid="{00000000-0005-0000-0000-000092470000}"/>
    <cellStyle name="20% - Accent6 4 5 2 3" xfId="2689" xr:uid="{00000000-0005-0000-0000-000093470000}"/>
    <cellStyle name="20% - Accent6 4 5 2 3 2" xfId="5708" xr:uid="{00000000-0005-0000-0000-000094470000}"/>
    <cellStyle name="20% - Accent6 4 5 2 3 2 2" xfId="11358" xr:uid="{00000000-0005-0000-0000-000095470000}"/>
    <cellStyle name="20% - Accent6 4 5 2 3 2 2 2" xfId="22659" xr:uid="{00000000-0005-0000-0000-000096470000}"/>
    <cellStyle name="20% - Accent6 4 5 2 3 2 2 2 2" xfId="45261" xr:uid="{00000000-0005-0000-0000-000097470000}"/>
    <cellStyle name="20% - Accent6 4 5 2 3 2 2 3" xfId="33960" xr:uid="{00000000-0005-0000-0000-000098470000}"/>
    <cellStyle name="20% - Accent6 4 5 2 3 2 3" xfId="17009" xr:uid="{00000000-0005-0000-0000-000099470000}"/>
    <cellStyle name="20% - Accent6 4 5 2 3 2 3 2" xfId="39611" xr:uid="{00000000-0005-0000-0000-00009A470000}"/>
    <cellStyle name="20% - Accent6 4 5 2 3 2 4" xfId="28310" xr:uid="{00000000-0005-0000-0000-00009B470000}"/>
    <cellStyle name="20% - Accent6 4 5 2 3 3" xfId="8525" xr:uid="{00000000-0005-0000-0000-00009C470000}"/>
    <cellStyle name="20% - Accent6 4 5 2 3 3 2" xfId="19826" xr:uid="{00000000-0005-0000-0000-00009D470000}"/>
    <cellStyle name="20% - Accent6 4 5 2 3 3 2 2" xfId="42428" xr:uid="{00000000-0005-0000-0000-00009E470000}"/>
    <cellStyle name="20% - Accent6 4 5 2 3 3 3" xfId="31127" xr:uid="{00000000-0005-0000-0000-00009F470000}"/>
    <cellStyle name="20% - Accent6 4 5 2 3 4" xfId="14176" xr:uid="{00000000-0005-0000-0000-0000A0470000}"/>
    <cellStyle name="20% - Accent6 4 5 2 3 4 2" xfId="36778" xr:uid="{00000000-0005-0000-0000-0000A1470000}"/>
    <cellStyle name="20% - Accent6 4 5 2 3 5" xfId="25477" xr:uid="{00000000-0005-0000-0000-0000A2470000}"/>
    <cellStyle name="20% - Accent6 4 5 2 4" xfId="4474" xr:uid="{00000000-0005-0000-0000-0000A3470000}"/>
    <cellStyle name="20% - Accent6 4 5 2 4 2" xfId="10124" xr:uid="{00000000-0005-0000-0000-0000A4470000}"/>
    <cellStyle name="20% - Accent6 4 5 2 4 2 2" xfId="21425" xr:uid="{00000000-0005-0000-0000-0000A5470000}"/>
    <cellStyle name="20% - Accent6 4 5 2 4 2 2 2" xfId="44027" xr:uid="{00000000-0005-0000-0000-0000A6470000}"/>
    <cellStyle name="20% - Accent6 4 5 2 4 2 3" xfId="32726" xr:uid="{00000000-0005-0000-0000-0000A7470000}"/>
    <cellStyle name="20% - Accent6 4 5 2 4 3" xfId="15775" xr:uid="{00000000-0005-0000-0000-0000A8470000}"/>
    <cellStyle name="20% - Accent6 4 5 2 4 3 2" xfId="38377" xr:uid="{00000000-0005-0000-0000-0000A9470000}"/>
    <cellStyle name="20% - Accent6 4 5 2 4 4" xfId="27076" xr:uid="{00000000-0005-0000-0000-0000AA470000}"/>
    <cellStyle name="20% - Accent6 4 5 2 5" xfId="7270" xr:uid="{00000000-0005-0000-0000-0000AB470000}"/>
    <cellStyle name="20% - Accent6 4 5 2 5 2" xfId="18571" xr:uid="{00000000-0005-0000-0000-0000AC470000}"/>
    <cellStyle name="20% - Accent6 4 5 2 5 2 2" xfId="41173" xr:uid="{00000000-0005-0000-0000-0000AD470000}"/>
    <cellStyle name="20% - Accent6 4 5 2 5 3" xfId="29872" xr:uid="{00000000-0005-0000-0000-0000AE470000}"/>
    <cellStyle name="20% - Accent6 4 5 2 6" xfId="12921" xr:uid="{00000000-0005-0000-0000-0000AF470000}"/>
    <cellStyle name="20% - Accent6 4 5 2 6 2" xfId="35523" xr:uid="{00000000-0005-0000-0000-0000B0470000}"/>
    <cellStyle name="20% - Accent6 4 5 2 7" xfId="24222" xr:uid="{00000000-0005-0000-0000-0000B1470000}"/>
    <cellStyle name="20% - Accent6 4 5 3" xfId="989" xr:uid="{00000000-0005-0000-0000-0000B2470000}"/>
    <cellStyle name="20% - Accent6 4 5 3 2" xfId="3052" xr:uid="{00000000-0005-0000-0000-0000B3470000}"/>
    <cellStyle name="20% - Accent6 4 5 3 2 2" xfId="6024" xr:uid="{00000000-0005-0000-0000-0000B4470000}"/>
    <cellStyle name="20% - Accent6 4 5 3 2 2 2" xfId="11674" xr:uid="{00000000-0005-0000-0000-0000B5470000}"/>
    <cellStyle name="20% - Accent6 4 5 3 2 2 2 2" xfId="22975" xr:uid="{00000000-0005-0000-0000-0000B6470000}"/>
    <cellStyle name="20% - Accent6 4 5 3 2 2 2 2 2" xfId="45577" xr:uid="{00000000-0005-0000-0000-0000B7470000}"/>
    <cellStyle name="20% - Accent6 4 5 3 2 2 2 3" xfId="34276" xr:uid="{00000000-0005-0000-0000-0000B8470000}"/>
    <cellStyle name="20% - Accent6 4 5 3 2 2 3" xfId="17325" xr:uid="{00000000-0005-0000-0000-0000B9470000}"/>
    <cellStyle name="20% - Accent6 4 5 3 2 2 3 2" xfId="39927" xr:uid="{00000000-0005-0000-0000-0000BA470000}"/>
    <cellStyle name="20% - Accent6 4 5 3 2 2 4" xfId="28626" xr:uid="{00000000-0005-0000-0000-0000BB470000}"/>
    <cellStyle name="20% - Accent6 4 5 3 2 3" xfId="8842" xr:uid="{00000000-0005-0000-0000-0000BC470000}"/>
    <cellStyle name="20% - Accent6 4 5 3 2 3 2" xfId="20143" xr:uid="{00000000-0005-0000-0000-0000BD470000}"/>
    <cellStyle name="20% - Accent6 4 5 3 2 3 2 2" xfId="42745" xr:uid="{00000000-0005-0000-0000-0000BE470000}"/>
    <cellStyle name="20% - Accent6 4 5 3 2 3 3" xfId="31444" xr:uid="{00000000-0005-0000-0000-0000BF470000}"/>
    <cellStyle name="20% - Accent6 4 5 3 2 4" xfId="14493" xr:uid="{00000000-0005-0000-0000-0000C0470000}"/>
    <cellStyle name="20% - Accent6 4 5 3 2 4 2" xfId="37095" xr:uid="{00000000-0005-0000-0000-0000C1470000}"/>
    <cellStyle name="20% - Accent6 4 5 3 2 5" xfId="25794" xr:uid="{00000000-0005-0000-0000-0000C2470000}"/>
    <cellStyle name="20% - Accent6 4 5 3 3" xfId="4790" xr:uid="{00000000-0005-0000-0000-0000C3470000}"/>
    <cellStyle name="20% - Accent6 4 5 3 3 2" xfId="10440" xr:uid="{00000000-0005-0000-0000-0000C4470000}"/>
    <cellStyle name="20% - Accent6 4 5 3 3 2 2" xfId="21741" xr:uid="{00000000-0005-0000-0000-0000C5470000}"/>
    <cellStyle name="20% - Accent6 4 5 3 3 2 2 2" xfId="44343" xr:uid="{00000000-0005-0000-0000-0000C6470000}"/>
    <cellStyle name="20% - Accent6 4 5 3 3 2 3" xfId="33042" xr:uid="{00000000-0005-0000-0000-0000C7470000}"/>
    <cellStyle name="20% - Accent6 4 5 3 3 3" xfId="16091" xr:uid="{00000000-0005-0000-0000-0000C8470000}"/>
    <cellStyle name="20% - Accent6 4 5 3 3 3 2" xfId="38693" xr:uid="{00000000-0005-0000-0000-0000C9470000}"/>
    <cellStyle name="20% - Accent6 4 5 3 3 4" xfId="27392" xr:uid="{00000000-0005-0000-0000-0000CA470000}"/>
    <cellStyle name="20% - Accent6 4 5 3 4" xfId="6977" xr:uid="{00000000-0005-0000-0000-0000CB470000}"/>
    <cellStyle name="20% - Accent6 4 5 3 4 2" xfId="18278" xr:uid="{00000000-0005-0000-0000-0000CC470000}"/>
    <cellStyle name="20% - Accent6 4 5 3 4 2 2" xfId="40880" xr:uid="{00000000-0005-0000-0000-0000CD470000}"/>
    <cellStyle name="20% - Accent6 4 5 3 4 3" xfId="29579" xr:uid="{00000000-0005-0000-0000-0000CE470000}"/>
    <cellStyle name="20% - Accent6 4 5 3 5" xfId="12628" xr:uid="{00000000-0005-0000-0000-0000CF470000}"/>
    <cellStyle name="20% - Accent6 4 5 3 5 2" xfId="35230" xr:uid="{00000000-0005-0000-0000-0000D0470000}"/>
    <cellStyle name="20% - Accent6 4 5 3 6" xfId="23929" xr:uid="{00000000-0005-0000-0000-0000D1470000}"/>
    <cellStyle name="20% - Accent6 4 5 4" xfId="1792" xr:uid="{00000000-0005-0000-0000-0000D2470000}"/>
    <cellStyle name="20% - Accent6 4 5 4 2" xfId="3695" xr:uid="{00000000-0005-0000-0000-0000D3470000}"/>
    <cellStyle name="20% - Accent6 4 5 4 2 2" xfId="9406" xr:uid="{00000000-0005-0000-0000-0000D4470000}"/>
    <cellStyle name="20% - Accent6 4 5 4 2 2 2" xfId="20707" xr:uid="{00000000-0005-0000-0000-0000D5470000}"/>
    <cellStyle name="20% - Accent6 4 5 4 2 2 2 2" xfId="43309" xr:uid="{00000000-0005-0000-0000-0000D6470000}"/>
    <cellStyle name="20% - Accent6 4 5 4 2 2 3" xfId="32008" xr:uid="{00000000-0005-0000-0000-0000D7470000}"/>
    <cellStyle name="20% - Accent6 4 5 4 2 3" xfId="15057" xr:uid="{00000000-0005-0000-0000-0000D8470000}"/>
    <cellStyle name="20% - Accent6 4 5 4 2 3 2" xfId="37659" xr:uid="{00000000-0005-0000-0000-0000D9470000}"/>
    <cellStyle name="20% - Accent6 4 5 4 2 4" xfId="26358" xr:uid="{00000000-0005-0000-0000-0000DA470000}"/>
    <cellStyle name="20% - Accent6 4 5 4 3" xfId="5400" xr:uid="{00000000-0005-0000-0000-0000DB470000}"/>
    <cellStyle name="20% - Accent6 4 5 4 3 2" xfId="11050" xr:uid="{00000000-0005-0000-0000-0000DC470000}"/>
    <cellStyle name="20% - Accent6 4 5 4 3 2 2" xfId="22351" xr:uid="{00000000-0005-0000-0000-0000DD470000}"/>
    <cellStyle name="20% - Accent6 4 5 4 3 2 2 2" xfId="44953" xr:uid="{00000000-0005-0000-0000-0000DE470000}"/>
    <cellStyle name="20% - Accent6 4 5 4 3 2 3" xfId="33652" xr:uid="{00000000-0005-0000-0000-0000DF470000}"/>
    <cellStyle name="20% - Accent6 4 5 4 3 3" xfId="16701" xr:uid="{00000000-0005-0000-0000-0000E0470000}"/>
    <cellStyle name="20% - Accent6 4 5 4 3 3 2" xfId="39303" xr:uid="{00000000-0005-0000-0000-0000E1470000}"/>
    <cellStyle name="20% - Accent6 4 5 4 3 4" xfId="28002" xr:uid="{00000000-0005-0000-0000-0000E2470000}"/>
    <cellStyle name="20% - Accent6 4 5 4 4" xfId="7648" xr:uid="{00000000-0005-0000-0000-0000E3470000}"/>
    <cellStyle name="20% - Accent6 4 5 4 4 2" xfId="18949" xr:uid="{00000000-0005-0000-0000-0000E4470000}"/>
    <cellStyle name="20% - Accent6 4 5 4 4 2 2" xfId="41551" xr:uid="{00000000-0005-0000-0000-0000E5470000}"/>
    <cellStyle name="20% - Accent6 4 5 4 4 3" xfId="30250" xr:uid="{00000000-0005-0000-0000-0000E6470000}"/>
    <cellStyle name="20% - Accent6 4 5 4 5" xfId="13299" xr:uid="{00000000-0005-0000-0000-0000E7470000}"/>
    <cellStyle name="20% - Accent6 4 5 4 5 2" xfId="35901" xr:uid="{00000000-0005-0000-0000-0000E8470000}"/>
    <cellStyle name="20% - Accent6 4 5 4 6" xfId="24600" xr:uid="{00000000-0005-0000-0000-0000E9470000}"/>
    <cellStyle name="20% - Accent6 4 5 5" xfId="2381" xr:uid="{00000000-0005-0000-0000-0000EA470000}"/>
    <cellStyle name="20% - Accent6 4 5 5 2" xfId="8217" xr:uid="{00000000-0005-0000-0000-0000EB470000}"/>
    <cellStyle name="20% - Accent6 4 5 5 2 2" xfId="19518" xr:uid="{00000000-0005-0000-0000-0000EC470000}"/>
    <cellStyle name="20% - Accent6 4 5 5 2 2 2" xfId="42120" xr:uid="{00000000-0005-0000-0000-0000ED470000}"/>
    <cellStyle name="20% - Accent6 4 5 5 2 3" xfId="30819" xr:uid="{00000000-0005-0000-0000-0000EE470000}"/>
    <cellStyle name="20% - Accent6 4 5 5 3" xfId="13868" xr:uid="{00000000-0005-0000-0000-0000EF470000}"/>
    <cellStyle name="20% - Accent6 4 5 5 3 2" xfId="36470" xr:uid="{00000000-0005-0000-0000-0000F0470000}"/>
    <cellStyle name="20% - Accent6 4 5 5 4" xfId="25169" xr:uid="{00000000-0005-0000-0000-0000F1470000}"/>
    <cellStyle name="20% - Accent6 4 5 6" xfId="4166" xr:uid="{00000000-0005-0000-0000-0000F2470000}"/>
    <cellStyle name="20% - Accent6 4 5 6 2" xfId="9816" xr:uid="{00000000-0005-0000-0000-0000F3470000}"/>
    <cellStyle name="20% - Accent6 4 5 6 2 2" xfId="21117" xr:uid="{00000000-0005-0000-0000-0000F4470000}"/>
    <cellStyle name="20% - Accent6 4 5 6 2 2 2" xfId="43719" xr:uid="{00000000-0005-0000-0000-0000F5470000}"/>
    <cellStyle name="20% - Accent6 4 5 6 2 3" xfId="32418" xr:uid="{00000000-0005-0000-0000-0000F6470000}"/>
    <cellStyle name="20% - Accent6 4 5 6 3" xfId="15467" xr:uid="{00000000-0005-0000-0000-0000F7470000}"/>
    <cellStyle name="20% - Accent6 4 5 6 3 2" xfId="38069" xr:uid="{00000000-0005-0000-0000-0000F8470000}"/>
    <cellStyle name="20% - Accent6 4 5 6 4" xfId="26768" xr:uid="{00000000-0005-0000-0000-0000F9470000}"/>
    <cellStyle name="20% - Accent6 4 5 7" xfId="6617" xr:uid="{00000000-0005-0000-0000-0000FA470000}"/>
    <cellStyle name="20% - Accent6 4 5 7 2" xfId="17918" xr:uid="{00000000-0005-0000-0000-0000FB470000}"/>
    <cellStyle name="20% - Accent6 4 5 7 2 2" xfId="40520" xr:uid="{00000000-0005-0000-0000-0000FC470000}"/>
    <cellStyle name="20% - Accent6 4 5 7 3" xfId="29219" xr:uid="{00000000-0005-0000-0000-0000FD470000}"/>
    <cellStyle name="20% - Accent6 4 5 8" xfId="12268" xr:uid="{00000000-0005-0000-0000-0000FE470000}"/>
    <cellStyle name="20% - Accent6 4 5 8 2" xfId="34870" xr:uid="{00000000-0005-0000-0000-0000FF470000}"/>
    <cellStyle name="20% - Accent6 4 5 9" xfId="23569" xr:uid="{00000000-0005-0000-0000-000000480000}"/>
    <cellStyle name="20% - Accent6 4 6" xfId="1124" xr:uid="{00000000-0005-0000-0000-000001480000}"/>
    <cellStyle name="20% - Accent6 4 6 2" xfId="1794" xr:uid="{00000000-0005-0000-0000-000002480000}"/>
    <cellStyle name="20% - Accent6 4 6 2 2" xfId="3191" xr:uid="{00000000-0005-0000-0000-000003480000}"/>
    <cellStyle name="20% - Accent6 4 6 2 2 2" xfId="6163" xr:uid="{00000000-0005-0000-0000-000004480000}"/>
    <cellStyle name="20% - Accent6 4 6 2 2 2 2" xfId="11813" xr:uid="{00000000-0005-0000-0000-000005480000}"/>
    <cellStyle name="20% - Accent6 4 6 2 2 2 2 2" xfId="23114" xr:uid="{00000000-0005-0000-0000-000006480000}"/>
    <cellStyle name="20% - Accent6 4 6 2 2 2 2 2 2" xfId="45716" xr:uid="{00000000-0005-0000-0000-000007480000}"/>
    <cellStyle name="20% - Accent6 4 6 2 2 2 2 3" xfId="34415" xr:uid="{00000000-0005-0000-0000-000008480000}"/>
    <cellStyle name="20% - Accent6 4 6 2 2 2 3" xfId="17464" xr:uid="{00000000-0005-0000-0000-000009480000}"/>
    <cellStyle name="20% - Accent6 4 6 2 2 2 3 2" xfId="40066" xr:uid="{00000000-0005-0000-0000-00000A480000}"/>
    <cellStyle name="20% - Accent6 4 6 2 2 2 4" xfId="28765" xr:uid="{00000000-0005-0000-0000-00000B480000}"/>
    <cellStyle name="20% - Accent6 4 6 2 2 3" xfId="8981" xr:uid="{00000000-0005-0000-0000-00000C480000}"/>
    <cellStyle name="20% - Accent6 4 6 2 2 3 2" xfId="20282" xr:uid="{00000000-0005-0000-0000-00000D480000}"/>
    <cellStyle name="20% - Accent6 4 6 2 2 3 2 2" xfId="42884" xr:uid="{00000000-0005-0000-0000-00000E480000}"/>
    <cellStyle name="20% - Accent6 4 6 2 2 3 3" xfId="31583" xr:uid="{00000000-0005-0000-0000-00000F480000}"/>
    <cellStyle name="20% - Accent6 4 6 2 2 4" xfId="14632" xr:uid="{00000000-0005-0000-0000-000010480000}"/>
    <cellStyle name="20% - Accent6 4 6 2 2 4 2" xfId="37234" xr:uid="{00000000-0005-0000-0000-000011480000}"/>
    <cellStyle name="20% - Accent6 4 6 2 2 5" xfId="25933" xr:uid="{00000000-0005-0000-0000-000012480000}"/>
    <cellStyle name="20% - Accent6 4 6 2 3" xfId="4929" xr:uid="{00000000-0005-0000-0000-000013480000}"/>
    <cellStyle name="20% - Accent6 4 6 2 3 2" xfId="10579" xr:uid="{00000000-0005-0000-0000-000014480000}"/>
    <cellStyle name="20% - Accent6 4 6 2 3 2 2" xfId="21880" xr:uid="{00000000-0005-0000-0000-000015480000}"/>
    <cellStyle name="20% - Accent6 4 6 2 3 2 2 2" xfId="44482" xr:uid="{00000000-0005-0000-0000-000016480000}"/>
    <cellStyle name="20% - Accent6 4 6 2 3 2 3" xfId="33181" xr:uid="{00000000-0005-0000-0000-000017480000}"/>
    <cellStyle name="20% - Accent6 4 6 2 3 3" xfId="16230" xr:uid="{00000000-0005-0000-0000-000018480000}"/>
    <cellStyle name="20% - Accent6 4 6 2 3 3 2" xfId="38832" xr:uid="{00000000-0005-0000-0000-000019480000}"/>
    <cellStyle name="20% - Accent6 4 6 2 3 4" xfId="27531" xr:uid="{00000000-0005-0000-0000-00001A480000}"/>
    <cellStyle name="20% - Accent6 4 6 2 4" xfId="7650" xr:uid="{00000000-0005-0000-0000-00001B480000}"/>
    <cellStyle name="20% - Accent6 4 6 2 4 2" xfId="18951" xr:uid="{00000000-0005-0000-0000-00001C480000}"/>
    <cellStyle name="20% - Accent6 4 6 2 4 2 2" xfId="41553" xr:uid="{00000000-0005-0000-0000-00001D480000}"/>
    <cellStyle name="20% - Accent6 4 6 2 4 3" xfId="30252" xr:uid="{00000000-0005-0000-0000-00001E480000}"/>
    <cellStyle name="20% - Accent6 4 6 2 5" xfId="13301" xr:uid="{00000000-0005-0000-0000-00001F480000}"/>
    <cellStyle name="20% - Accent6 4 6 2 5 2" xfId="35903" xr:uid="{00000000-0005-0000-0000-000020480000}"/>
    <cellStyle name="20% - Accent6 4 6 2 6" xfId="24602" xr:uid="{00000000-0005-0000-0000-000021480000}"/>
    <cellStyle name="20% - Accent6 4 6 3" xfId="2520" xr:uid="{00000000-0005-0000-0000-000022480000}"/>
    <cellStyle name="20% - Accent6 4 6 3 2" xfId="5539" xr:uid="{00000000-0005-0000-0000-000023480000}"/>
    <cellStyle name="20% - Accent6 4 6 3 2 2" xfId="11189" xr:uid="{00000000-0005-0000-0000-000024480000}"/>
    <cellStyle name="20% - Accent6 4 6 3 2 2 2" xfId="22490" xr:uid="{00000000-0005-0000-0000-000025480000}"/>
    <cellStyle name="20% - Accent6 4 6 3 2 2 2 2" xfId="45092" xr:uid="{00000000-0005-0000-0000-000026480000}"/>
    <cellStyle name="20% - Accent6 4 6 3 2 2 3" xfId="33791" xr:uid="{00000000-0005-0000-0000-000027480000}"/>
    <cellStyle name="20% - Accent6 4 6 3 2 3" xfId="16840" xr:uid="{00000000-0005-0000-0000-000028480000}"/>
    <cellStyle name="20% - Accent6 4 6 3 2 3 2" xfId="39442" xr:uid="{00000000-0005-0000-0000-000029480000}"/>
    <cellStyle name="20% - Accent6 4 6 3 2 4" xfId="28141" xr:uid="{00000000-0005-0000-0000-00002A480000}"/>
    <cellStyle name="20% - Accent6 4 6 3 3" xfId="8356" xr:uid="{00000000-0005-0000-0000-00002B480000}"/>
    <cellStyle name="20% - Accent6 4 6 3 3 2" xfId="19657" xr:uid="{00000000-0005-0000-0000-00002C480000}"/>
    <cellStyle name="20% - Accent6 4 6 3 3 2 2" xfId="42259" xr:uid="{00000000-0005-0000-0000-00002D480000}"/>
    <cellStyle name="20% - Accent6 4 6 3 3 3" xfId="30958" xr:uid="{00000000-0005-0000-0000-00002E480000}"/>
    <cellStyle name="20% - Accent6 4 6 3 4" xfId="14007" xr:uid="{00000000-0005-0000-0000-00002F480000}"/>
    <cellStyle name="20% - Accent6 4 6 3 4 2" xfId="36609" xr:uid="{00000000-0005-0000-0000-000030480000}"/>
    <cellStyle name="20% - Accent6 4 6 3 5" xfId="25308" xr:uid="{00000000-0005-0000-0000-000031480000}"/>
    <cellStyle name="20% - Accent6 4 6 4" xfId="4305" xr:uid="{00000000-0005-0000-0000-000032480000}"/>
    <cellStyle name="20% - Accent6 4 6 4 2" xfId="9955" xr:uid="{00000000-0005-0000-0000-000033480000}"/>
    <cellStyle name="20% - Accent6 4 6 4 2 2" xfId="21256" xr:uid="{00000000-0005-0000-0000-000034480000}"/>
    <cellStyle name="20% - Accent6 4 6 4 2 2 2" xfId="43858" xr:uid="{00000000-0005-0000-0000-000035480000}"/>
    <cellStyle name="20% - Accent6 4 6 4 2 3" xfId="32557" xr:uid="{00000000-0005-0000-0000-000036480000}"/>
    <cellStyle name="20% - Accent6 4 6 4 3" xfId="15606" xr:uid="{00000000-0005-0000-0000-000037480000}"/>
    <cellStyle name="20% - Accent6 4 6 4 3 2" xfId="38208" xr:uid="{00000000-0005-0000-0000-000038480000}"/>
    <cellStyle name="20% - Accent6 4 6 4 4" xfId="26907" xr:uid="{00000000-0005-0000-0000-000039480000}"/>
    <cellStyle name="20% - Accent6 4 6 5" xfId="7103" xr:uid="{00000000-0005-0000-0000-00003A480000}"/>
    <cellStyle name="20% - Accent6 4 6 5 2" xfId="18404" xr:uid="{00000000-0005-0000-0000-00003B480000}"/>
    <cellStyle name="20% - Accent6 4 6 5 2 2" xfId="41006" xr:uid="{00000000-0005-0000-0000-00003C480000}"/>
    <cellStyle name="20% - Accent6 4 6 5 3" xfId="29705" xr:uid="{00000000-0005-0000-0000-00003D480000}"/>
    <cellStyle name="20% - Accent6 4 6 6" xfId="12754" xr:uid="{00000000-0005-0000-0000-00003E480000}"/>
    <cellStyle name="20% - Accent6 4 6 6 2" xfId="35356" xr:uid="{00000000-0005-0000-0000-00003F480000}"/>
    <cellStyle name="20% - Accent6 4 6 7" xfId="24055" xr:uid="{00000000-0005-0000-0000-000040480000}"/>
    <cellStyle name="20% - Accent6 4 7" xfId="788" xr:uid="{00000000-0005-0000-0000-000041480000}"/>
    <cellStyle name="20% - Accent6 4 7 2" xfId="2885" xr:uid="{00000000-0005-0000-0000-000042480000}"/>
    <cellStyle name="20% - Accent6 4 7 2 2" xfId="5857" xr:uid="{00000000-0005-0000-0000-000043480000}"/>
    <cellStyle name="20% - Accent6 4 7 2 2 2" xfId="11507" xr:uid="{00000000-0005-0000-0000-000044480000}"/>
    <cellStyle name="20% - Accent6 4 7 2 2 2 2" xfId="22808" xr:uid="{00000000-0005-0000-0000-000045480000}"/>
    <cellStyle name="20% - Accent6 4 7 2 2 2 2 2" xfId="45410" xr:uid="{00000000-0005-0000-0000-000046480000}"/>
    <cellStyle name="20% - Accent6 4 7 2 2 2 3" xfId="34109" xr:uid="{00000000-0005-0000-0000-000047480000}"/>
    <cellStyle name="20% - Accent6 4 7 2 2 3" xfId="17158" xr:uid="{00000000-0005-0000-0000-000048480000}"/>
    <cellStyle name="20% - Accent6 4 7 2 2 3 2" xfId="39760" xr:uid="{00000000-0005-0000-0000-000049480000}"/>
    <cellStyle name="20% - Accent6 4 7 2 2 4" xfId="28459" xr:uid="{00000000-0005-0000-0000-00004A480000}"/>
    <cellStyle name="20% - Accent6 4 7 2 3" xfId="8675" xr:uid="{00000000-0005-0000-0000-00004B480000}"/>
    <cellStyle name="20% - Accent6 4 7 2 3 2" xfId="19976" xr:uid="{00000000-0005-0000-0000-00004C480000}"/>
    <cellStyle name="20% - Accent6 4 7 2 3 2 2" xfId="42578" xr:uid="{00000000-0005-0000-0000-00004D480000}"/>
    <cellStyle name="20% - Accent6 4 7 2 3 3" xfId="31277" xr:uid="{00000000-0005-0000-0000-00004E480000}"/>
    <cellStyle name="20% - Accent6 4 7 2 4" xfId="14326" xr:uid="{00000000-0005-0000-0000-00004F480000}"/>
    <cellStyle name="20% - Accent6 4 7 2 4 2" xfId="36928" xr:uid="{00000000-0005-0000-0000-000050480000}"/>
    <cellStyle name="20% - Accent6 4 7 2 5" xfId="25627" xr:uid="{00000000-0005-0000-0000-000051480000}"/>
    <cellStyle name="20% - Accent6 4 7 3" xfId="4623" xr:uid="{00000000-0005-0000-0000-000052480000}"/>
    <cellStyle name="20% - Accent6 4 7 3 2" xfId="10273" xr:uid="{00000000-0005-0000-0000-000053480000}"/>
    <cellStyle name="20% - Accent6 4 7 3 2 2" xfId="21574" xr:uid="{00000000-0005-0000-0000-000054480000}"/>
    <cellStyle name="20% - Accent6 4 7 3 2 2 2" xfId="44176" xr:uid="{00000000-0005-0000-0000-000055480000}"/>
    <cellStyle name="20% - Accent6 4 7 3 2 3" xfId="32875" xr:uid="{00000000-0005-0000-0000-000056480000}"/>
    <cellStyle name="20% - Accent6 4 7 3 3" xfId="15924" xr:uid="{00000000-0005-0000-0000-000057480000}"/>
    <cellStyle name="20% - Accent6 4 7 3 3 2" xfId="38526" xr:uid="{00000000-0005-0000-0000-000058480000}"/>
    <cellStyle name="20% - Accent6 4 7 3 4" xfId="27225" xr:uid="{00000000-0005-0000-0000-000059480000}"/>
    <cellStyle name="20% - Accent6 4 7 4" xfId="6805" xr:uid="{00000000-0005-0000-0000-00005A480000}"/>
    <cellStyle name="20% - Accent6 4 7 4 2" xfId="18106" xr:uid="{00000000-0005-0000-0000-00005B480000}"/>
    <cellStyle name="20% - Accent6 4 7 4 2 2" xfId="40708" xr:uid="{00000000-0005-0000-0000-00005C480000}"/>
    <cellStyle name="20% - Accent6 4 7 4 3" xfId="29407" xr:uid="{00000000-0005-0000-0000-00005D480000}"/>
    <cellStyle name="20% - Accent6 4 7 5" xfId="12456" xr:uid="{00000000-0005-0000-0000-00005E480000}"/>
    <cellStyle name="20% - Accent6 4 7 5 2" xfId="35058" xr:uid="{00000000-0005-0000-0000-00005F480000}"/>
    <cellStyle name="20% - Accent6 4 7 6" xfId="23757" xr:uid="{00000000-0005-0000-0000-000060480000}"/>
    <cellStyle name="20% - Accent6 4 8" xfId="1781" xr:uid="{00000000-0005-0000-0000-000061480000}"/>
    <cellStyle name="20% - Accent6 4 8 2" xfId="3689" xr:uid="{00000000-0005-0000-0000-000062480000}"/>
    <cellStyle name="20% - Accent6 4 8 2 2" xfId="9400" xr:uid="{00000000-0005-0000-0000-000063480000}"/>
    <cellStyle name="20% - Accent6 4 8 2 2 2" xfId="20701" xr:uid="{00000000-0005-0000-0000-000064480000}"/>
    <cellStyle name="20% - Accent6 4 8 2 2 2 2" xfId="43303" xr:uid="{00000000-0005-0000-0000-000065480000}"/>
    <cellStyle name="20% - Accent6 4 8 2 2 3" xfId="32002" xr:uid="{00000000-0005-0000-0000-000066480000}"/>
    <cellStyle name="20% - Accent6 4 8 2 3" xfId="15051" xr:uid="{00000000-0005-0000-0000-000067480000}"/>
    <cellStyle name="20% - Accent6 4 8 2 3 2" xfId="37653" xr:uid="{00000000-0005-0000-0000-000068480000}"/>
    <cellStyle name="20% - Accent6 4 8 2 4" xfId="26352" xr:uid="{00000000-0005-0000-0000-000069480000}"/>
    <cellStyle name="20% - Accent6 4 8 3" xfId="5233" xr:uid="{00000000-0005-0000-0000-00006A480000}"/>
    <cellStyle name="20% - Accent6 4 8 3 2" xfId="10883" xr:uid="{00000000-0005-0000-0000-00006B480000}"/>
    <cellStyle name="20% - Accent6 4 8 3 2 2" xfId="22184" xr:uid="{00000000-0005-0000-0000-00006C480000}"/>
    <cellStyle name="20% - Accent6 4 8 3 2 2 2" xfId="44786" xr:uid="{00000000-0005-0000-0000-00006D480000}"/>
    <cellStyle name="20% - Accent6 4 8 3 2 3" xfId="33485" xr:uid="{00000000-0005-0000-0000-00006E480000}"/>
    <cellStyle name="20% - Accent6 4 8 3 3" xfId="16534" xr:uid="{00000000-0005-0000-0000-00006F480000}"/>
    <cellStyle name="20% - Accent6 4 8 3 3 2" xfId="39136" xr:uid="{00000000-0005-0000-0000-000070480000}"/>
    <cellStyle name="20% - Accent6 4 8 3 4" xfId="27835" xr:uid="{00000000-0005-0000-0000-000071480000}"/>
    <cellStyle name="20% - Accent6 4 8 4" xfId="7637" xr:uid="{00000000-0005-0000-0000-000072480000}"/>
    <cellStyle name="20% - Accent6 4 8 4 2" xfId="18938" xr:uid="{00000000-0005-0000-0000-000073480000}"/>
    <cellStyle name="20% - Accent6 4 8 4 2 2" xfId="41540" xr:uid="{00000000-0005-0000-0000-000074480000}"/>
    <cellStyle name="20% - Accent6 4 8 4 3" xfId="30239" xr:uid="{00000000-0005-0000-0000-000075480000}"/>
    <cellStyle name="20% - Accent6 4 8 5" xfId="13288" xr:uid="{00000000-0005-0000-0000-000076480000}"/>
    <cellStyle name="20% - Accent6 4 8 5 2" xfId="35890" xr:uid="{00000000-0005-0000-0000-000077480000}"/>
    <cellStyle name="20% - Accent6 4 8 6" xfId="24589" xr:uid="{00000000-0005-0000-0000-000078480000}"/>
    <cellStyle name="20% - Accent6 4 9" xfId="2204" xr:uid="{00000000-0005-0000-0000-000079480000}"/>
    <cellStyle name="20% - Accent6 4 9 2" xfId="8047" xr:uid="{00000000-0005-0000-0000-00007A480000}"/>
    <cellStyle name="20% - Accent6 4 9 2 2" xfId="19348" xr:uid="{00000000-0005-0000-0000-00007B480000}"/>
    <cellStyle name="20% - Accent6 4 9 2 2 2" xfId="41950" xr:uid="{00000000-0005-0000-0000-00007C480000}"/>
    <cellStyle name="20% - Accent6 4 9 2 3" xfId="30649" xr:uid="{00000000-0005-0000-0000-00007D480000}"/>
    <cellStyle name="20% - Accent6 4 9 3" xfId="13698" xr:uid="{00000000-0005-0000-0000-00007E480000}"/>
    <cellStyle name="20% - Accent6 4 9 3 2" xfId="36300" xr:uid="{00000000-0005-0000-0000-00007F480000}"/>
    <cellStyle name="20% - Accent6 4 9 4" xfId="24999" xr:uid="{00000000-0005-0000-0000-000080480000}"/>
    <cellStyle name="20% - Accent6 5" xfId="277" xr:uid="{00000000-0005-0000-0000-000081480000}"/>
    <cellStyle name="20% - Accent6 5 10" xfId="12142" xr:uid="{00000000-0005-0000-0000-000082480000}"/>
    <cellStyle name="20% - Accent6 5 10 2" xfId="34744" xr:uid="{00000000-0005-0000-0000-000083480000}"/>
    <cellStyle name="20% - Accent6 5 11" xfId="23443" xr:uid="{00000000-0005-0000-0000-000084480000}"/>
    <cellStyle name="20% - Accent6 5 2" xfId="443" xr:uid="{00000000-0005-0000-0000-000085480000}"/>
    <cellStyle name="20% - Accent6 5 2 10" xfId="23538" xr:uid="{00000000-0005-0000-0000-000086480000}"/>
    <cellStyle name="20% - Accent6 5 2 2" xfId="688" xr:uid="{00000000-0005-0000-0000-000087480000}"/>
    <cellStyle name="20% - Accent6 5 2 2 2" xfId="1398" xr:uid="{00000000-0005-0000-0000-000088480000}"/>
    <cellStyle name="20% - Accent6 5 2 2 2 2" xfId="1798" xr:uid="{00000000-0005-0000-0000-000089480000}"/>
    <cellStyle name="20% - Accent6 5 2 2 2 2 2" xfId="3467" xr:uid="{00000000-0005-0000-0000-00008A480000}"/>
    <cellStyle name="20% - Accent6 5 2 2 2 2 2 2" xfId="6439" xr:uid="{00000000-0005-0000-0000-00008B480000}"/>
    <cellStyle name="20% - Accent6 5 2 2 2 2 2 2 2" xfId="12089" xr:uid="{00000000-0005-0000-0000-00008C480000}"/>
    <cellStyle name="20% - Accent6 5 2 2 2 2 2 2 2 2" xfId="23390" xr:uid="{00000000-0005-0000-0000-00008D480000}"/>
    <cellStyle name="20% - Accent6 5 2 2 2 2 2 2 2 2 2" xfId="45992" xr:uid="{00000000-0005-0000-0000-00008E480000}"/>
    <cellStyle name="20% - Accent6 5 2 2 2 2 2 2 2 3" xfId="34691" xr:uid="{00000000-0005-0000-0000-00008F480000}"/>
    <cellStyle name="20% - Accent6 5 2 2 2 2 2 2 3" xfId="17740" xr:uid="{00000000-0005-0000-0000-000090480000}"/>
    <cellStyle name="20% - Accent6 5 2 2 2 2 2 2 3 2" xfId="40342" xr:uid="{00000000-0005-0000-0000-000091480000}"/>
    <cellStyle name="20% - Accent6 5 2 2 2 2 2 2 4" xfId="29041" xr:uid="{00000000-0005-0000-0000-000092480000}"/>
    <cellStyle name="20% - Accent6 5 2 2 2 2 2 3" xfId="9257" xr:uid="{00000000-0005-0000-0000-000093480000}"/>
    <cellStyle name="20% - Accent6 5 2 2 2 2 2 3 2" xfId="20558" xr:uid="{00000000-0005-0000-0000-000094480000}"/>
    <cellStyle name="20% - Accent6 5 2 2 2 2 2 3 2 2" xfId="43160" xr:uid="{00000000-0005-0000-0000-000095480000}"/>
    <cellStyle name="20% - Accent6 5 2 2 2 2 2 3 3" xfId="31859" xr:uid="{00000000-0005-0000-0000-000096480000}"/>
    <cellStyle name="20% - Accent6 5 2 2 2 2 2 4" xfId="14908" xr:uid="{00000000-0005-0000-0000-000097480000}"/>
    <cellStyle name="20% - Accent6 5 2 2 2 2 2 4 2" xfId="37510" xr:uid="{00000000-0005-0000-0000-000098480000}"/>
    <cellStyle name="20% - Accent6 5 2 2 2 2 2 5" xfId="26209" xr:uid="{00000000-0005-0000-0000-000099480000}"/>
    <cellStyle name="20% - Accent6 5 2 2 2 2 3" xfId="5205" xr:uid="{00000000-0005-0000-0000-00009A480000}"/>
    <cellStyle name="20% - Accent6 5 2 2 2 2 3 2" xfId="10855" xr:uid="{00000000-0005-0000-0000-00009B480000}"/>
    <cellStyle name="20% - Accent6 5 2 2 2 2 3 2 2" xfId="22156" xr:uid="{00000000-0005-0000-0000-00009C480000}"/>
    <cellStyle name="20% - Accent6 5 2 2 2 2 3 2 2 2" xfId="44758" xr:uid="{00000000-0005-0000-0000-00009D480000}"/>
    <cellStyle name="20% - Accent6 5 2 2 2 2 3 2 3" xfId="33457" xr:uid="{00000000-0005-0000-0000-00009E480000}"/>
    <cellStyle name="20% - Accent6 5 2 2 2 2 3 3" xfId="16506" xr:uid="{00000000-0005-0000-0000-00009F480000}"/>
    <cellStyle name="20% - Accent6 5 2 2 2 2 3 3 2" xfId="39108" xr:uid="{00000000-0005-0000-0000-0000A0480000}"/>
    <cellStyle name="20% - Accent6 5 2 2 2 2 3 4" xfId="27807" xr:uid="{00000000-0005-0000-0000-0000A1480000}"/>
    <cellStyle name="20% - Accent6 5 2 2 2 2 4" xfId="7654" xr:uid="{00000000-0005-0000-0000-0000A2480000}"/>
    <cellStyle name="20% - Accent6 5 2 2 2 2 4 2" xfId="18955" xr:uid="{00000000-0005-0000-0000-0000A3480000}"/>
    <cellStyle name="20% - Accent6 5 2 2 2 2 4 2 2" xfId="41557" xr:uid="{00000000-0005-0000-0000-0000A4480000}"/>
    <cellStyle name="20% - Accent6 5 2 2 2 2 4 3" xfId="30256" xr:uid="{00000000-0005-0000-0000-0000A5480000}"/>
    <cellStyle name="20% - Accent6 5 2 2 2 2 5" xfId="13305" xr:uid="{00000000-0005-0000-0000-0000A6480000}"/>
    <cellStyle name="20% - Accent6 5 2 2 2 2 5 2" xfId="35907" xr:uid="{00000000-0005-0000-0000-0000A7480000}"/>
    <cellStyle name="20% - Accent6 5 2 2 2 2 6" xfId="24606" xr:uid="{00000000-0005-0000-0000-0000A8480000}"/>
    <cellStyle name="20% - Accent6 5 2 2 2 3" xfId="2796" xr:uid="{00000000-0005-0000-0000-0000A9480000}"/>
    <cellStyle name="20% - Accent6 5 2 2 2 3 2" xfId="5815" xr:uid="{00000000-0005-0000-0000-0000AA480000}"/>
    <cellStyle name="20% - Accent6 5 2 2 2 3 2 2" xfId="11465" xr:uid="{00000000-0005-0000-0000-0000AB480000}"/>
    <cellStyle name="20% - Accent6 5 2 2 2 3 2 2 2" xfId="22766" xr:uid="{00000000-0005-0000-0000-0000AC480000}"/>
    <cellStyle name="20% - Accent6 5 2 2 2 3 2 2 2 2" xfId="45368" xr:uid="{00000000-0005-0000-0000-0000AD480000}"/>
    <cellStyle name="20% - Accent6 5 2 2 2 3 2 2 3" xfId="34067" xr:uid="{00000000-0005-0000-0000-0000AE480000}"/>
    <cellStyle name="20% - Accent6 5 2 2 2 3 2 3" xfId="17116" xr:uid="{00000000-0005-0000-0000-0000AF480000}"/>
    <cellStyle name="20% - Accent6 5 2 2 2 3 2 3 2" xfId="39718" xr:uid="{00000000-0005-0000-0000-0000B0480000}"/>
    <cellStyle name="20% - Accent6 5 2 2 2 3 2 4" xfId="28417" xr:uid="{00000000-0005-0000-0000-0000B1480000}"/>
    <cellStyle name="20% - Accent6 5 2 2 2 3 3" xfId="8632" xr:uid="{00000000-0005-0000-0000-0000B2480000}"/>
    <cellStyle name="20% - Accent6 5 2 2 2 3 3 2" xfId="19933" xr:uid="{00000000-0005-0000-0000-0000B3480000}"/>
    <cellStyle name="20% - Accent6 5 2 2 2 3 3 2 2" xfId="42535" xr:uid="{00000000-0005-0000-0000-0000B4480000}"/>
    <cellStyle name="20% - Accent6 5 2 2 2 3 3 3" xfId="31234" xr:uid="{00000000-0005-0000-0000-0000B5480000}"/>
    <cellStyle name="20% - Accent6 5 2 2 2 3 4" xfId="14283" xr:uid="{00000000-0005-0000-0000-0000B6480000}"/>
    <cellStyle name="20% - Accent6 5 2 2 2 3 4 2" xfId="36885" xr:uid="{00000000-0005-0000-0000-0000B7480000}"/>
    <cellStyle name="20% - Accent6 5 2 2 2 3 5" xfId="25584" xr:uid="{00000000-0005-0000-0000-0000B8480000}"/>
    <cellStyle name="20% - Accent6 5 2 2 2 4" xfId="4581" xr:uid="{00000000-0005-0000-0000-0000B9480000}"/>
    <cellStyle name="20% - Accent6 5 2 2 2 4 2" xfId="10231" xr:uid="{00000000-0005-0000-0000-0000BA480000}"/>
    <cellStyle name="20% - Accent6 5 2 2 2 4 2 2" xfId="21532" xr:uid="{00000000-0005-0000-0000-0000BB480000}"/>
    <cellStyle name="20% - Accent6 5 2 2 2 4 2 2 2" xfId="44134" xr:uid="{00000000-0005-0000-0000-0000BC480000}"/>
    <cellStyle name="20% - Accent6 5 2 2 2 4 2 3" xfId="32833" xr:uid="{00000000-0005-0000-0000-0000BD480000}"/>
    <cellStyle name="20% - Accent6 5 2 2 2 4 3" xfId="15882" xr:uid="{00000000-0005-0000-0000-0000BE480000}"/>
    <cellStyle name="20% - Accent6 5 2 2 2 4 3 2" xfId="38484" xr:uid="{00000000-0005-0000-0000-0000BF480000}"/>
    <cellStyle name="20% - Accent6 5 2 2 2 4 4" xfId="27183" xr:uid="{00000000-0005-0000-0000-0000C0480000}"/>
    <cellStyle name="20% - Accent6 5 2 2 2 5" xfId="7377" xr:uid="{00000000-0005-0000-0000-0000C1480000}"/>
    <cellStyle name="20% - Accent6 5 2 2 2 5 2" xfId="18678" xr:uid="{00000000-0005-0000-0000-0000C2480000}"/>
    <cellStyle name="20% - Accent6 5 2 2 2 5 2 2" xfId="41280" xr:uid="{00000000-0005-0000-0000-0000C3480000}"/>
    <cellStyle name="20% - Accent6 5 2 2 2 5 3" xfId="29979" xr:uid="{00000000-0005-0000-0000-0000C4480000}"/>
    <cellStyle name="20% - Accent6 5 2 2 2 6" xfId="13028" xr:uid="{00000000-0005-0000-0000-0000C5480000}"/>
    <cellStyle name="20% - Accent6 5 2 2 2 6 2" xfId="35630" xr:uid="{00000000-0005-0000-0000-0000C6480000}"/>
    <cellStyle name="20% - Accent6 5 2 2 2 7" xfId="24329" xr:uid="{00000000-0005-0000-0000-0000C7480000}"/>
    <cellStyle name="20% - Accent6 5 2 2 3" xfId="1096" xr:uid="{00000000-0005-0000-0000-0000C8480000}"/>
    <cellStyle name="20% - Accent6 5 2 2 3 2" xfId="3159" xr:uid="{00000000-0005-0000-0000-0000C9480000}"/>
    <cellStyle name="20% - Accent6 5 2 2 3 2 2" xfId="6131" xr:uid="{00000000-0005-0000-0000-0000CA480000}"/>
    <cellStyle name="20% - Accent6 5 2 2 3 2 2 2" xfId="11781" xr:uid="{00000000-0005-0000-0000-0000CB480000}"/>
    <cellStyle name="20% - Accent6 5 2 2 3 2 2 2 2" xfId="23082" xr:uid="{00000000-0005-0000-0000-0000CC480000}"/>
    <cellStyle name="20% - Accent6 5 2 2 3 2 2 2 2 2" xfId="45684" xr:uid="{00000000-0005-0000-0000-0000CD480000}"/>
    <cellStyle name="20% - Accent6 5 2 2 3 2 2 2 3" xfId="34383" xr:uid="{00000000-0005-0000-0000-0000CE480000}"/>
    <cellStyle name="20% - Accent6 5 2 2 3 2 2 3" xfId="17432" xr:uid="{00000000-0005-0000-0000-0000CF480000}"/>
    <cellStyle name="20% - Accent6 5 2 2 3 2 2 3 2" xfId="40034" xr:uid="{00000000-0005-0000-0000-0000D0480000}"/>
    <cellStyle name="20% - Accent6 5 2 2 3 2 2 4" xfId="28733" xr:uid="{00000000-0005-0000-0000-0000D1480000}"/>
    <cellStyle name="20% - Accent6 5 2 2 3 2 3" xfId="8949" xr:uid="{00000000-0005-0000-0000-0000D2480000}"/>
    <cellStyle name="20% - Accent6 5 2 2 3 2 3 2" xfId="20250" xr:uid="{00000000-0005-0000-0000-0000D3480000}"/>
    <cellStyle name="20% - Accent6 5 2 2 3 2 3 2 2" xfId="42852" xr:uid="{00000000-0005-0000-0000-0000D4480000}"/>
    <cellStyle name="20% - Accent6 5 2 2 3 2 3 3" xfId="31551" xr:uid="{00000000-0005-0000-0000-0000D5480000}"/>
    <cellStyle name="20% - Accent6 5 2 2 3 2 4" xfId="14600" xr:uid="{00000000-0005-0000-0000-0000D6480000}"/>
    <cellStyle name="20% - Accent6 5 2 2 3 2 4 2" xfId="37202" xr:uid="{00000000-0005-0000-0000-0000D7480000}"/>
    <cellStyle name="20% - Accent6 5 2 2 3 2 5" xfId="25901" xr:uid="{00000000-0005-0000-0000-0000D8480000}"/>
    <cellStyle name="20% - Accent6 5 2 2 3 3" xfId="4897" xr:uid="{00000000-0005-0000-0000-0000D9480000}"/>
    <cellStyle name="20% - Accent6 5 2 2 3 3 2" xfId="10547" xr:uid="{00000000-0005-0000-0000-0000DA480000}"/>
    <cellStyle name="20% - Accent6 5 2 2 3 3 2 2" xfId="21848" xr:uid="{00000000-0005-0000-0000-0000DB480000}"/>
    <cellStyle name="20% - Accent6 5 2 2 3 3 2 2 2" xfId="44450" xr:uid="{00000000-0005-0000-0000-0000DC480000}"/>
    <cellStyle name="20% - Accent6 5 2 2 3 3 2 3" xfId="33149" xr:uid="{00000000-0005-0000-0000-0000DD480000}"/>
    <cellStyle name="20% - Accent6 5 2 2 3 3 3" xfId="16198" xr:uid="{00000000-0005-0000-0000-0000DE480000}"/>
    <cellStyle name="20% - Accent6 5 2 2 3 3 3 2" xfId="38800" xr:uid="{00000000-0005-0000-0000-0000DF480000}"/>
    <cellStyle name="20% - Accent6 5 2 2 3 3 4" xfId="27499" xr:uid="{00000000-0005-0000-0000-0000E0480000}"/>
    <cellStyle name="20% - Accent6 5 2 2 3 4" xfId="7084" xr:uid="{00000000-0005-0000-0000-0000E1480000}"/>
    <cellStyle name="20% - Accent6 5 2 2 3 4 2" xfId="18385" xr:uid="{00000000-0005-0000-0000-0000E2480000}"/>
    <cellStyle name="20% - Accent6 5 2 2 3 4 2 2" xfId="40987" xr:uid="{00000000-0005-0000-0000-0000E3480000}"/>
    <cellStyle name="20% - Accent6 5 2 2 3 4 3" xfId="29686" xr:uid="{00000000-0005-0000-0000-0000E4480000}"/>
    <cellStyle name="20% - Accent6 5 2 2 3 5" xfId="12735" xr:uid="{00000000-0005-0000-0000-0000E5480000}"/>
    <cellStyle name="20% - Accent6 5 2 2 3 5 2" xfId="35337" xr:uid="{00000000-0005-0000-0000-0000E6480000}"/>
    <cellStyle name="20% - Accent6 5 2 2 3 6" xfId="24036" xr:uid="{00000000-0005-0000-0000-0000E7480000}"/>
    <cellStyle name="20% - Accent6 5 2 2 4" xfId="1797" xr:uid="{00000000-0005-0000-0000-0000E8480000}"/>
    <cellStyle name="20% - Accent6 5 2 2 4 2" xfId="3698" xr:uid="{00000000-0005-0000-0000-0000E9480000}"/>
    <cellStyle name="20% - Accent6 5 2 2 4 2 2" xfId="9409" xr:uid="{00000000-0005-0000-0000-0000EA480000}"/>
    <cellStyle name="20% - Accent6 5 2 2 4 2 2 2" xfId="20710" xr:uid="{00000000-0005-0000-0000-0000EB480000}"/>
    <cellStyle name="20% - Accent6 5 2 2 4 2 2 2 2" xfId="43312" xr:uid="{00000000-0005-0000-0000-0000EC480000}"/>
    <cellStyle name="20% - Accent6 5 2 2 4 2 2 3" xfId="32011" xr:uid="{00000000-0005-0000-0000-0000ED480000}"/>
    <cellStyle name="20% - Accent6 5 2 2 4 2 3" xfId="15060" xr:uid="{00000000-0005-0000-0000-0000EE480000}"/>
    <cellStyle name="20% - Accent6 5 2 2 4 2 3 2" xfId="37662" xr:uid="{00000000-0005-0000-0000-0000EF480000}"/>
    <cellStyle name="20% - Accent6 5 2 2 4 2 4" xfId="26361" xr:uid="{00000000-0005-0000-0000-0000F0480000}"/>
    <cellStyle name="20% - Accent6 5 2 2 4 3" xfId="5507" xr:uid="{00000000-0005-0000-0000-0000F1480000}"/>
    <cellStyle name="20% - Accent6 5 2 2 4 3 2" xfId="11157" xr:uid="{00000000-0005-0000-0000-0000F2480000}"/>
    <cellStyle name="20% - Accent6 5 2 2 4 3 2 2" xfId="22458" xr:uid="{00000000-0005-0000-0000-0000F3480000}"/>
    <cellStyle name="20% - Accent6 5 2 2 4 3 2 2 2" xfId="45060" xr:uid="{00000000-0005-0000-0000-0000F4480000}"/>
    <cellStyle name="20% - Accent6 5 2 2 4 3 2 3" xfId="33759" xr:uid="{00000000-0005-0000-0000-0000F5480000}"/>
    <cellStyle name="20% - Accent6 5 2 2 4 3 3" xfId="16808" xr:uid="{00000000-0005-0000-0000-0000F6480000}"/>
    <cellStyle name="20% - Accent6 5 2 2 4 3 3 2" xfId="39410" xr:uid="{00000000-0005-0000-0000-0000F7480000}"/>
    <cellStyle name="20% - Accent6 5 2 2 4 3 4" xfId="28109" xr:uid="{00000000-0005-0000-0000-0000F8480000}"/>
    <cellStyle name="20% - Accent6 5 2 2 4 4" xfId="7653" xr:uid="{00000000-0005-0000-0000-0000F9480000}"/>
    <cellStyle name="20% - Accent6 5 2 2 4 4 2" xfId="18954" xr:uid="{00000000-0005-0000-0000-0000FA480000}"/>
    <cellStyle name="20% - Accent6 5 2 2 4 4 2 2" xfId="41556" xr:uid="{00000000-0005-0000-0000-0000FB480000}"/>
    <cellStyle name="20% - Accent6 5 2 2 4 4 3" xfId="30255" xr:uid="{00000000-0005-0000-0000-0000FC480000}"/>
    <cellStyle name="20% - Accent6 5 2 2 4 5" xfId="13304" xr:uid="{00000000-0005-0000-0000-0000FD480000}"/>
    <cellStyle name="20% - Accent6 5 2 2 4 5 2" xfId="35906" xr:uid="{00000000-0005-0000-0000-0000FE480000}"/>
    <cellStyle name="20% - Accent6 5 2 2 4 6" xfId="24605" xr:uid="{00000000-0005-0000-0000-0000FF480000}"/>
    <cellStyle name="20% - Accent6 5 2 2 5" xfId="2488" xr:uid="{00000000-0005-0000-0000-000000490000}"/>
    <cellStyle name="20% - Accent6 5 2 2 5 2" xfId="8324" xr:uid="{00000000-0005-0000-0000-000001490000}"/>
    <cellStyle name="20% - Accent6 5 2 2 5 2 2" xfId="19625" xr:uid="{00000000-0005-0000-0000-000002490000}"/>
    <cellStyle name="20% - Accent6 5 2 2 5 2 2 2" xfId="42227" xr:uid="{00000000-0005-0000-0000-000003490000}"/>
    <cellStyle name="20% - Accent6 5 2 2 5 2 3" xfId="30926" xr:uid="{00000000-0005-0000-0000-000004490000}"/>
    <cellStyle name="20% - Accent6 5 2 2 5 3" xfId="13975" xr:uid="{00000000-0005-0000-0000-000005490000}"/>
    <cellStyle name="20% - Accent6 5 2 2 5 3 2" xfId="36577" xr:uid="{00000000-0005-0000-0000-000006490000}"/>
    <cellStyle name="20% - Accent6 5 2 2 5 4" xfId="25276" xr:uid="{00000000-0005-0000-0000-000007490000}"/>
    <cellStyle name="20% - Accent6 5 2 2 6" xfId="4273" xr:uid="{00000000-0005-0000-0000-000008490000}"/>
    <cellStyle name="20% - Accent6 5 2 2 6 2" xfId="9923" xr:uid="{00000000-0005-0000-0000-000009490000}"/>
    <cellStyle name="20% - Accent6 5 2 2 6 2 2" xfId="21224" xr:uid="{00000000-0005-0000-0000-00000A490000}"/>
    <cellStyle name="20% - Accent6 5 2 2 6 2 2 2" xfId="43826" xr:uid="{00000000-0005-0000-0000-00000B490000}"/>
    <cellStyle name="20% - Accent6 5 2 2 6 2 3" xfId="32525" xr:uid="{00000000-0005-0000-0000-00000C490000}"/>
    <cellStyle name="20% - Accent6 5 2 2 6 3" xfId="15574" xr:uid="{00000000-0005-0000-0000-00000D490000}"/>
    <cellStyle name="20% - Accent6 5 2 2 6 3 2" xfId="38176" xr:uid="{00000000-0005-0000-0000-00000E490000}"/>
    <cellStyle name="20% - Accent6 5 2 2 6 4" xfId="26875" xr:uid="{00000000-0005-0000-0000-00000F490000}"/>
    <cellStyle name="20% - Accent6 5 2 2 7" xfId="6753" xr:uid="{00000000-0005-0000-0000-000010490000}"/>
    <cellStyle name="20% - Accent6 5 2 2 7 2" xfId="18054" xr:uid="{00000000-0005-0000-0000-000011490000}"/>
    <cellStyle name="20% - Accent6 5 2 2 7 2 2" xfId="40656" xr:uid="{00000000-0005-0000-0000-000012490000}"/>
    <cellStyle name="20% - Accent6 5 2 2 7 3" xfId="29355" xr:uid="{00000000-0005-0000-0000-000013490000}"/>
    <cellStyle name="20% - Accent6 5 2 2 8" xfId="12404" xr:uid="{00000000-0005-0000-0000-000014490000}"/>
    <cellStyle name="20% - Accent6 5 2 2 8 2" xfId="35006" xr:uid="{00000000-0005-0000-0000-000015490000}"/>
    <cellStyle name="20% - Accent6 5 2 2 9" xfId="23705" xr:uid="{00000000-0005-0000-0000-000016490000}"/>
    <cellStyle name="20% - Accent6 5 2 3" xfId="1260" xr:uid="{00000000-0005-0000-0000-000017490000}"/>
    <cellStyle name="20% - Accent6 5 2 3 2" xfId="1799" xr:uid="{00000000-0005-0000-0000-000018490000}"/>
    <cellStyle name="20% - Accent6 5 2 3 2 2" xfId="3328" xr:uid="{00000000-0005-0000-0000-000019490000}"/>
    <cellStyle name="20% - Accent6 5 2 3 2 2 2" xfId="6300" xr:uid="{00000000-0005-0000-0000-00001A490000}"/>
    <cellStyle name="20% - Accent6 5 2 3 2 2 2 2" xfId="11950" xr:uid="{00000000-0005-0000-0000-00001B490000}"/>
    <cellStyle name="20% - Accent6 5 2 3 2 2 2 2 2" xfId="23251" xr:uid="{00000000-0005-0000-0000-00001C490000}"/>
    <cellStyle name="20% - Accent6 5 2 3 2 2 2 2 2 2" xfId="45853" xr:uid="{00000000-0005-0000-0000-00001D490000}"/>
    <cellStyle name="20% - Accent6 5 2 3 2 2 2 2 3" xfId="34552" xr:uid="{00000000-0005-0000-0000-00001E490000}"/>
    <cellStyle name="20% - Accent6 5 2 3 2 2 2 3" xfId="17601" xr:uid="{00000000-0005-0000-0000-00001F490000}"/>
    <cellStyle name="20% - Accent6 5 2 3 2 2 2 3 2" xfId="40203" xr:uid="{00000000-0005-0000-0000-000020490000}"/>
    <cellStyle name="20% - Accent6 5 2 3 2 2 2 4" xfId="28902" xr:uid="{00000000-0005-0000-0000-000021490000}"/>
    <cellStyle name="20% - Accent6 5 2 3 2 2 3" xfId="9118" xr:uid="{00000000-0005-0000-0000-000022490000}"/>
    <cellStyle name="20% - Accent6 5 2 3 2 2 3 2" xfId="20419" xr:uid="{00000000-0005-0000-0000-000023490000}"/>
    <cellStyle name="20% - Accent6 5 2 3 2 2 3 2 2" xfId="43021" xr:uid="{00000000-0005-0000-0000-000024490000}"/>
    <cellStyle name="20% - Accent6 5 2 3 2 2 3 3" xfId="31720" xr:uid="{00000000-0005-0000-0000-000025490000}"/>
    <cellStyle name="20% - Accent6 5 2 3 2 2 4" xfId="14769" xr:uid="{00000000-0005-0000-0000-000026490000}"/>
    <cellStyle name="20% - Accent6 5 2 3 2 2 4 2" xfId="37371" xr:uid="{00000000-0005-0000-0000-000027490000}"/>
    <cellStyle name="20% - Accent6 5 2 3 2 2 5" xfId="26070" xr:uid="{00000000-0005-0000-0000-000028490000}"/>
    <cellStyle name="20% - Accent6 5 2 3 2 3" xfId="5066" xr:uid="{00000000-0005-0000-0000-000029490000}"/>
    <cellStyle name="20% - Accent6 5 2 3 2 3 2" xfId="10716" xr:uid="{00000000-0005-0000-0000-00002A490000}"/>
    <cellStyle name="20% - Accent6 5 2 3 2 3 2 2" xfId="22017" xr:uid="{00000000-0005-0000-0000-00002B490000}"/>
    <cellStyle name="20% - Accent6 5 2 3 2 3 2 2 2" xfId="44619" xr:uid="{00000000-0005-0000-0000-00002C490000}"/>
    <cellStyle name="20% - Accent6 5 2 3 2 3 2 3" xfId="33318" xr:uid="{00000000-0005-0000-0000-00002D490000}"/>
    <cellStyle name="20% - Accent6 5 2 3 2 3 3" xfId="16367" xr:uid="{00000000-0005-0000-0000-00002E490000}"/>
    <cellStyle name="20% - Accent6 5 2 3 2 3 3 2" xfId="38969" xr:uid="{00000000-0005-0000-0000-00002F490000}"/>
    <cellStyle name="20% - Accent6 5 2 3 2 3 4" xfId="27668" xr:uid="{00000000-0005-0000-0000-000030490000}"/>
    <cellStyle name="20% - Accent6 5 2 3 2 4" xfId="7655" xr:uid="{00000000-0005-0000-0000-000031490000}"/>
    <cellStyle name="20% - Accent6 5 2 3 2 4 2" xfId="18956" xr:uid="{00000000-0005-0000-0000-000032490000}"/>
    <cellStyle name="20% - Accent6 5 2 3 2 4 2 2" xfId="41558" xr:uid="{00000000-0005-0000-0000-000033490000}"/>
    <cellStyle name="20% - Accent6 5 2 3 2 4 3" xfId="30257" xr:uid="{00000000-0005-0000-0000-000034490000}"/>
    <cellStyle name="20% - Accent6 5 2 3 2 5" xfId="13306" xr:uid="{00000000-0005-0000-0000-000035490000}"/>
    <cellStyle name="20% - Accent6 5 2 3 2 5 2" xfId="35908" xr:uid="{00000000-0005-0000-0000-000036490000}"/>
    <cellStyle name="20% - Accent6 5 2 3 2 6" xfId="24607" xr:uid="{00000000-0005-0000-0000-000037490000}"/>
    <cellStyle name="20% - Accent6 5 2 3 3" xfId="2657" xr:uid="{00000000-0005-0000-0000-000038490000}"/>
    <cellStyle name="20% - Accent6 5 2 3 3 2" xfId="5676" xr:uid="{00000000-0005-0000-0000-000039490000}"/>
    <cellStyle name="20% - Accent6 5 2 3 3 2 2" xfId="11326" xr:uid="{00000000-0005-0000-0000-00003A490000}"/>
    <cellStyle name="20% - Accent6 5 2 3 3 2 2 2" xfId="22627" xr:uid="{00000000-0005-0000-0000-00003B490000}"/>
    <cellStyle name="20% - Accent6 5 2 3 3 2 2 2 2" xfId="45229" xr:uid="{00000000-0005-0000-0000-00003C490000}"/>
    <cellStyle name="20% - Accent6 5 2 3 3 2 2 3" xfId="33928" xr:uid="{00000000-0005-0000-0000-00003D490000}"/>
    <cellStyle name="20% - Accent6 5 2 3 3 2 3" xfId="16977" xr:uid="{00000000-0005-0000-0000-00003E490000}"/>
    <cellStyle name="20% - Accent6 5 2 3 3 2 3 2" xfId="39579" xr:uid="{00000000-0005-0000-0000-00003F490000}"/>
    <cellStyle name="20% - Accent6 5 2 3 3 2 4" xfId="28278" xr:uid="{00000000-0005-0000-0000-000040490000}"/>
    <cellStyle name="20% - Accent6 5 2 3 3 3" xfId="8493" xr:uid="{00000000-0005-0000-0000-000041490000}"/>
    <cellStyle name="20% - Accent6 5 2 3 3 3 2" xfId="19794" xr:uid="{00000000-0005-0000-0000-000042490000}"/>
    <cellStyle name="20% - Accent6 5 2 3 3 3 2 2" xfId="42396" xr:uid="{00000000-0005-0000-0000-000043490000}"/>
    <cellStyle name="20% - Accent6 5 2 3 3 3 3" xfId="31095" xr:uid="{00000000-0005-0000-0000-000044490000}"/>
    <cellStyle name="20% - Accent6 5 2 3 3 4" xfId="14144" xr:uid="{00000000-0005-0000-0000-000045490000}"/>
    <cellStyle name="20% - Accent6 5 2 3 3 4 2" xfId="36746" xr:uid="{00000000-0005-0000-0000-000046490000}"/>
    <cellStyle name="20% - Accent6 5 2 3 3 5" xfId="25445" xr:uid="{00000000-0005-0000-0000-000047490000}"/>
    <cellStyle name="20% - Accent6 5 2 3 4" xfId="4442" xr:uid="{00000000-0005-0000-0000-000048490000}"/>
    <cellStyle name="20% - Accent6 5 2 3 4 2" xfId="10092" xr:uid="{00000000-0005-0000-0000-000049490000}"/>
    <cellStyle name="20% - Accent6 5 2 3 4 2 2" xfId="21393" xr:uid="{00000000-0005-0000-0000-00004A490000}"/>
    <cellStyle name="20% - Accent6 5 2 3 4 2 2 2" xfId="43995" xr:uid="{00000000-0005-0000-0000-00004B490000}"/>
    <cellStyle name="20% - Accent6 5 2 3 4 2 3" xfId="32694" xr:uid="{00000000-0005-0000-0000-00004C490000}"/>
    <cellStyle name="20% - Accent6 5 2 3 4 3" xfId="15743" xr:uid="{00000000-0005-0000-0000-00004D490000}"/>
    <cellStyle name="20% - Accent6 5 2 3 4 3 2" xfId="38345" xr:uid="{00000000-0005-0000-0000-00004E490000}"/>
    <cellStyle name="20% - Accent6 5 2 3 4 4" xfId="27044" xr:uid="{00000000-0005-0000-0000-00004F490000}"/>
    <cellStyle name="20% - Accent6 5 2 3 5" xfId="7239" xr:uid="{00000000-0005-0000-0000-000050490000}"/>
    <cellStyle name="20% - Accent6 5 2 3 5 2" xfId="18540" xr:uid="{00000000-0005-0000-0000-000051490000}"/>
    <cellStyle name="20% - Accent6 5 2 3 5 2 2" xfId="41142" xr:uid="{00000000-0005-0000-0000-000052490000}"/>
    <cellStyle name="20% - Accent6 5 2 3 5 3" xfId="29841" xr:uid="{00000000-0005-0000-0000-000053490000}"/>
    <cellStyle name="20% - Accent6 5 2 3 6" xfId="12890" xr:uid="{00000000-0005-0000-0000-000054490000}"/>
    <cellStyle name="20% - Accent6 5 2 3 6 2" xfId="35492" xr:uid="{00000000-0005-0000-0000-000055490000}"/>
    <cellStyle name="20% - Accent6 5 2 3 7" xfId="24191" xr:uid="{00000000-0005-0000-0000-000056490000}"/>
    <cellStyle name="20% - Accent6 5 2 4" xfId="951" xr:uid="{00000000-0005-0000-0000-000057490000}"/>
    <cellStyle name="20% - Accent6 5 2 4 2" xfId="3021" xr:uid="{00000000-0005-0000-0000-000058490000}"/>
    <cellStyle name="20% - Accent6 5 2 4 2 2" xfId="5993" xr:uid="{00000000-0005-0000-0000-000059490000}"/>
    <cellStyle name="20% - Accent6 5 2 4 2 2 2" xfId="11643" xr:uid="{00000000-0005-0000-0000-00005A490000}"/>
    <cellStyle name="20% - Accent6 5 2 4 2 2 2 2" xfId="22944" xr:uid="{00000000-0005-0000-0000-00005B490000}"/>
    <cellStyle name="20% - Accent6 5 2 4 2 2 2 2 2" xfId="45546" xr:uid="{00000000-0005-0000-0000-00005C490000}"/>
    <cellStyle name="20% - Accent6 5 2 4 2 2 2 3" xfId="34245" xr:uid="{00000000-0005-0000-0000-00005D490000}"/>
    <cellStyle name="20% - Accent6 5 2 4 2 2 3" xfId="17294" xr:uid="{00000000-0005-0000-0000-00005E490000}"/>
    <cellStyle name="20% - Accent6 5 2 4 2 2 3 2" xfId="39896" xr:uid="{00000000-0005-0000-0000-00005F490000}"/>
    <cellStyle name="20% - Accent6 5 2 4 2 2 4" xfId="28595" xr:uid="{00000000-0005-0000-0000-000060490000}"/>
    <cellStyle name="20% - Accent6 5 2 4 2 3" xfId="8811" xr:uid="{00000000-0005-0000-0000-000061490000}"/>
    <cellStyle name="20% - Accent6 5 2 4 2 3 2" xfId="20112" xr:uid="{00000000-0005-0000-0000-000062490000}"/>
    <cellStyle name="20% - Accent6 5 2 4 2 3 2 2" xfId="42714" xr:uid="{00000000-0005-0000-0000-000063490000}"/>
    <cellStyle name="20% - Accent6 5 2 4 2 3 3" xfId="31413" xr:uid="{00000000-0005-0000-0000-000064490000}"/>
    <cellStyle name="20% - Accent6 5 2 4 2 4" xfId="14462" xr:uid="{00000000-0005-0000-0000-000065490000}"/>
    <cellStyle name="20% - Accent6 5 2 4 2 4 2" xfId="37064" xr:uid="{00000000-0005-0000-0000-000066490000}"/>
    <cellStyle name="20% - Accent6 5 2 4 2 5" xfId="25763" xr:uid="{00000000-0005-0000-0000-000067490000}"/>
    <cellStyle name="20% - Accent6 5 2 4 3" xfId="4759" xr:uid="{00000000-0005-0000-0000-000068490000}"/>
    <cellStyle name="20% - Accent6 5 2 4 3 2" xfId="10409" xr:uid="{00000000-0005-0000-0000-000069490000}"/>
    <cellStyle name="20% - Accent6 5 2 4 3 2 2" xfId="21710" xr:uid="{00000000-0005-0000-0000-00006A490000}"/>
    <cellStyle name="20% - Accent6 5 2 4 3 2 2 2" xfId="44312" xr:uid="{00000000-0005-0000-0000-00006B490000}"/>
    <cellStyle name="20% - Accent6 5 2 4 3 2 3" xfId="33011" xr:uid="{00000000-0005-0000-0000-00006C490000}"/>
    <cellStyle name="20% - Accent6 5 2 4 3 3" xfId="16060" xr:uid="{00000000-0005-0000-0000-00006D490000}"/>
    <cellStyle name="20% - Accent6 5 2 4 3 3 2" xfId="38662" xr:uid="{00000000-0005-0000-0000-00006E490000}"/>
    <cellStyle name="20% - Accent6 5 2 4 3 4" xfId="27361" xr:uid="{00000000-0005-0000-0000-00006F490000}"/>
    <cellStyle name="20% - Accent6 5 2 4 4" xfId="6946" xr:uid="{00000000-0005-0000-0000-000070490000}"/>
    <cellStyle name="20% - Accent6 5 2 4 4 2" xfId="18247" xr:uid="{00000000-0005-0000-0000-000071490000}"/>
    <cellStyle name="20% - Accent6 5 2 4 4 2 2" xfId="40849" xr:uid="{00000000-0005-0000-0000-000072490000}"/>
    <cellStyle name="20% - Accent6 5 2 4 4 3" xfId="29548" xr:uid="{00000000-0005-0000-0000-000073490000}"/>
    <cellStyle name="20% - Accent6 5 2 4 5" xfId="12597" xr:uid="{00000000-0005-0000-0000-000074490000}"/>
    <cellStyle name="20% - Accent6 5 2 4 5 2" xfId="35199" xr:uid="{00000000-0005-0000-0000-000075490000}"/>
    <cellStyle name="20% - Accent6 5 2 4 6" xfId="23898" xr:uid="{00000000-0005-0000-0000-000076490000}"/>
    <cellStyle name="20% - Accent6 5 2 5" xfId="1796" xr:uid="{00000000-0005-0000-0000-000077490000}"/>
    <cellStyle name="20% - Accent6 5 2 5 2" xfId="3697" xr:uid="{00000000-0005-0000-0000-000078490000}"/>
    <cellStyle name="20% - Accent6 5 2 5 2 2" xfId="9408" xr:uid="{00000000-0005-0000-0000-000079490000}"/>
    <cellStyle name="20% - Accent6 5 2 5 2 2 2" xfId="20709" xr:uid="{00000000-0005-0000-0000-00007A490000}"/>
    <cellStyle name="20% - Accent6 5 2 5 2 2 2 2" xfId="43311" xr:uid="{00000000-0005-0000-0000-00007B490000}"/>
    <cellStyle name="20% - Accent6 5 2 5 2 2 3" xfId="32010" xr:uid="{00000000-0005-0000-0000-00007C490000}"/>
    <cellStyle name="20% - Accent6 5 2 5 2 3" xfId="15059" xr:uid="{00000000-0005-0000-0000-00007D490000}"/>
    <cellStyle name="20% - Accent6 5 2 5 2 3 2" xfId="37661" xr:uid="{00000000-0005-0000-0000-00007E490000}"/>
    <cellStyle name="20% - Accent6 5 2 5 2 4" xfId="26360" xr:uid="{00000000-0005-0000-0000-00007F490000}"/>
    <cellStyle name="20% - Accent6 5 2 5 3" xfId="5369" xr:uid="{00000000-0005-0000-0000-000080490000}"/>
    <cellStyle name="20% - Accent6 5 2 5 3 2" xfId="11019" xr:uid="{00000000-0005-0000-0000-000081490000}"/>
    <cellStyle name="20% - Accent6 5 2 5 3 2 2" xfId="22320" xr:uid="{00000000-0005-0000-0000-000082490000}"/>
    <cellStyle name="20% - Accent6 5 2 5 3 2 2 2" xfId="44922" xr:uid="{00000000-0005-0000-0000-000083490000}"/>
    <cellStyle name="20% - Accent6 5 2 5 3 2 3" xfId="33621" xr:uid="{00000000-0005-0000-0000-000084490000}"/>
    <cellStyle name="20% - Accent6 5 2 5 3 3" xfId="16670" xr:uid="{00000000-0005-0000-0000-000085490000}"/>
    <cellStyle name="20% - Accent6 5 2 5 3 3 2" xfId="39272" xr:uid="{00000000-0005-0000-0000-000086490000}"/>
    <cellStyle name="20% - Accent6 5 2 5 3 4" xfId="27971" xr:uid="{00000000-0005-0000-0000-000087490000}"/>
    <cellStyle name="20% - Accent6 5 2 5 4" xfId="7652" xr:uid="{00000000-0005-0000-0000-000088490000}"/>
    <cellStyle name="20% - Accent6 5 2 5 4 2" xfId="18953" xr:uid="{00000000-0005-0000-0000-000089490000}"/>
    <cellStyle name="20% - Accent6 5 2 5 4 2 2" xfId="41555" xr:uid="{00000000-0005-0000-0000-00008A490000}"/>
    <cellStyle name="20% - Accent6 5 2 5 4 3" xfId="30254" xr:uid="{00000000-0005-0000-0000-00008B490000}"/>
    <cellStyle name="20% - Accent6 5 2 5 5" xfId="13303" xr:uid="{00000000-0005-0000-0000-00008C490000}"/>
    <cellStyle name="20% - Accent6 5 2 5 5 2" xfId="35905" xr:uid="{00000000-0005-0000-0000-00008D490000}"/>
    <cellStyle name="20% - Accent6 5 2 5 6" xfId="24604" xr:uid="{00000000-0005-0000-0000-00008E490000}"/>
    <cellStyle name="20% - Accent6 5 2 6" xfId="2348" xr:uid="{00000000-0005-0000-0000-00008F490000}"/>
    <cellStyle name="20% - Accent6 5 2 6 2" xfId="8184" xr:uid="{00000000-0005-0000-0000-000090490000}"/>
    <cellStyle name="20% - Accent6 5 2 6 2 2" xfId="19485" xr:uid="{00000000-0005-0000-0000-000091490000}"/>
    <cellStyle name="20% - Accent6 5 2 6 2 2 2" xfId="42087" xr:uid="{00000000-0005-0000-0000-000092490000}"/>
    <cellStyle name="20% - Accent6 5 2 6 2 3" xfId="30786" xr:uid="{00000000-0005-0000-0000-000093490000}"/>
    <cellStyle name="20% - Accent6 5 2 6 3" xfId="13835" xr:uid="{00000000-0005-0000-0000-000094490000}"/>
    <cellStyle name="20% - Accent6 5 2 6 3 2" xfId="36437" xr:uid="{00000000-0005-0000-0000-000095490000}"/>
    <cellStyle name="20% - Accent6 5 2 6 4" xfId="25136" xr:uid="{00000000-0005-0000-0000-000096490000}"/>
    <cellStyle name="20% - Accent6 5 2 7" xfId="4135" xr:uid="{00000000-0005-0000-0000-000097490000}"/>
    <cellStyle name="20% - Accent6 5 2 7 2" xfId="9785" xr:uid="{00000000-0005-0000-0000-000098490000}"/>
    <cellStyle name="20% - Accent6 5 2 7 2 2" xfId="21086" xr:uid="{00000000-0005-0000-0000-000099490000}"/>
    <cellStyle name="20% - Accent6 5 2 7 2 2 2" xfId="43688" xr:uid="{00000000-0005-0000-0000-00009A490000}"/>
    <cellStyle name="20% - Accent6 5 2 7 2 3" xfId="32387" xr:uid="{00000000-0005-0000-0000-00009B490000}"/>
    <cellStyle name="20% - Accent6 5 2 7 3" xfId="15436" xr:uid="{00000000-0005-0000-0000-00009C490000}"/>
    <cellStyle name="20% - Accent6 5 2 7 3 2" xfId="38038" xr:uid="{00000000-0005-0000-0000-00009D490000}"/>
    <cellStyle name="20% - Accent6 5 2 7 4" xfId="26737" xr:uid="{00000000-0005-0000-0000-00009E490000}"/>
    <cellStyle name="20% - Accent6 5 2 8" xfId="6586" xr:uid="{00000000-0005-0000-0000-00009F490000}"/>
    <cellStyle name="20% - Accent6 5 2 8 2" xfId="17887" xr:uid="{00000000-0005-0000-0000-0000A0490000}"/>
    <cellStyle name="20% - Accent6 5 2 8 2 2" xfId="40489" xr:uid="{00000000-0005-0000-0000-0000A1490000}"/>
    <cellStyle name="20% - Accent6 5 2 8 3" xfId="29188" xr:uid="{00000000-0005-0000-0000-0000A2490000}"/>
    <cellStyle name="20% - Accent6 5 2 9" xfId="12237" xr:uid="{00000000-0005-0000-0000-0000A3490000}"/>
    <cellStyle name="20% - Accent6 5 2 9 2" xfId="34839" xr:uid="{00000000-0005-0000-0000-0000A4490000}"/>
    <cellStyle name="20% - Accent6 5 3" xfId="592" xr:uid="{00000000-0005-0000-0000-0000A5490000}"/>
    <cellStyle name="20% - Accent6 5 3 2" xfId="1305" xr:uid="{00000000-0005-0000-0000-0000A6490000}"/>
    <cellStyle name="20% - Accent6 5 3 2 2" xfId="1801" xr:uid="{00000000-0005-0000-0000-0000A7490000}"/>
    <cellStyle name="20% - Accent6 5 3 2 2 2" xfId="3374" xr:uid="{00000000-0005-0000-0000-0000A8490000}"/>
    <cellStyle name="20% - Accent6 5 3 2 2 2 2" xfId="6346" xr:uid="{00000000-0005-0000-0000-0000A9490000}"/>
    <cellStyle name="20% - Accent6 5 3 2 2 2 2 2" xfId="11996" xr:uid="{00000000-0005-0000-0000-0000AA490000}"/>
    <cellStyle name="20% - Accent6 5 3 2 2 2 2 2 2" xfId="23297" xr:uid="{00000000-0005-0000-0000-0000AB490000}"/>
    <cellStyle name="20% - Accent6 5 3 2 2 2 2 2 2 2" xfId="45899" xr:uid="{00000000-0005-0000-0000-0000AC490000}"/>
    <cellStyle name="20% - Accent6 5 3 2 2 2 2 2 3" xfId="34598" xr:uid="{00000000-0005-0000-0000-0000AD490000}"/>
    <cellStyle name="20% - Accent6 5 3 2 2 2 2 3" xfId="17647" xr:uid="{00000000-0005-0000-0000-0000AE490000}"/>
    <cellStyle name="20% - Accent6 5 3 2 2 2 2 3 2" xfId="40249" xr:uid="{00000000-0005-0000-0000-0000AF490000}"/>
    <cellStyle name="20% - Accent6 5 3 2 2 2 2 4" xfId="28948" xr:uid="{00000000-0005-0000-0000-0000B0490000}"/>
    <cellStyle name="20% - Accent6 5 3 2 2 2 3" xfId="9164" xr:uid="{00000000-0005-0000-0000-0000B1490000}"/>
    <cellStyle name="20% - Accent6 5 3 2 2 2 3 2" xfId="20465" xr:uid="{00000000-0005-0000-0000-0000B2490000}"/>
    <cellStyle name="20% - Accent6 5 3 2 2 2 3 2 2" xfId="43067" xr:uid="{00000000-0005-0000-0000-0000B3490000}"/>
    <cellStyle name="20% - Accent6 5 3 2 2 2 3 3" xfId="31766" xr:uid="{00000000-0005-0000-0000-0000B4490000}"/>
    <cellStyle name="20% - Accent6 5 3 2 2 2 4" xfId="14815" xr:uid="{00000000-0005-0000-0000-0000B5490000}"/>
    <cellStyle name="20% - Accent6 5 3 2 2 2 4 2" xfId="37417" xr:uid="{00000000-0005-0000-0000-0000B6490000}"/>
    <cellStyle name="20% - Accent6 5 3 2 2 2 5" xfId="26116" xr:uid="{00000000-0005-0000-0000-0000B7490000}"/>
    <cellStyle name="20% - Accent6 5 3 2 2 3" xfId="5112" xr:uid="{00000000-0005-0000-0000-0000B8490000}"/>
    <cellStyle name="20% - Accent6 5 3 2 2 3 2" xfId="10762" xr:uid="{00000000-0005-0000-0000-0000B9490000}"/>
    <cellStyle name="20% - Accent6 5 3 2 2 3 2 2" xfId="22063" xr:uid="{00000000-0005-0000-0000-0000BA490000}"/>
    <cellStyle name="20% - Accent6 5 3 2 2 3 2 2 2" xfId="44665" xr:uid="{00000000-0005-0000-0000-0000BB490000}"/>
    <cellStyle name="20% - Accent6 5 3 2 2 3 2 3" xfId="33364" xr:uid="{00000000-0005-0000-0000-0000BC490000}"/>
    <cellStyle name="20% - Accent6 5 3 2 2 3 3" xfId="16413" xr:uid="{00000000-0005-0000-0000-0000BD490000}"/>
    <cellStyle name="20% - Accent6 5 3 2 2 3 3 2" xfId="39015" xr:uid="{00000000-0005-0000-0000-0000BE490000}"/>
    <cellStyle name="20% - Accent6 5 3 2 2 3 4" xfId="27714" xr:uid="{00000000-0005-0000-0000-0000BF490000}"/>
    <cellStyle name="20% - Accent6 5 3 2 2 4" xfId="7657" xr:uid="{00000000-0005-0000-0000-0000C0490000}"/>
    <cellStyle name="20% - Accent6 5 3 2 2 4 2" xfId="18958" xr:uid="{00000000-0005-0000-0000-0000C1490000}"/>
    <cellStyle name="20% - Accent6 5 3 2 2 4 2 2" xfId="41560" xr:uid="{00000000-0005-0000-0000-0000C2490000}"/>
    <cellStyle name="20% - Accent6 5 3 2 2 4 3" xfId="30259" xr:uid="{00000000-0005-0000-0000-0000C3490000}"/>
    <cellStyle name="20% - Accent6 5 3 2 2 5" xfId="13308" xr:uid="{00000000-0005-0000-0000-0000C4490000}"/>
    <cellStyle name="20% - Accent6 5 3 2 2 5 2" xfId="35910" xr:uid="{00000000-0005-0000-0000-0000C5490000}"/>
    <cellStyle name="20% - Accent6 5 3 2 2 6" xfId="24609" xr:uid="{00000000-0005-0000-0000-0000C6490000}"/>
    <cellStyle name="20% - Accent6 5 3 2 3" xfId="2703" xr:uid="{00000000-0005-0000-0000-0000C7490000}"/>
    <cellStyle name="20% - Accent6 5 3 2 3 2" xfId="5722" xr:uid="{00000000-0005-0000-0000-0000C8490000}"/>
    <cellStyle name="20% - Accent6 5 3 2 3 2 2" xfId="11372" xr:uid="{00000000-0005-0000-0000-0000C9490000}"/>
    <cellStyle name="20% - Accent6 5 3 2 3 2 2 2" xfId="22673" xr:uid="{00000000-0005-0000-0000-0000CA490000}"/>
    <cellStyle name="20% - Accent6 5 3 2 3 2 2 2 2" xfId="45275" xr:uid="{00000000-0005-0000-0000-0000CB490000}"/>
    <cellStyle name="20% - Accent6 5 3 2 3 2 2 3" xfId="33974" xr:uid="{00000000-0005-0000-0000-0000CC490000}"/>
    <cellStyle name="20% - Accent6 5 3 2 3 2 3" xfId="17023" xr:uid="{00000000-0005-0000-0000-0000CD490000}"/>
    <cellStyle name="20% - Accent6 5 3 2 3 2 3 2" xfId="39625" xr:uid="{00000000-0005-0000-0000-0000CE490000}"/>
    <cellStyle name="20% - Accent6 5 3 2 3 2 4" xfId="28324" xr:uid="{00000000-0005-0000-0000-0000CF490000}"/>
    <cellStyle name="20% - Accent6 5 3 2 3 3" xfId="8539" xr:uid="{00000000-0005-0000-0000-0000D0490000}"/>
    <cellStyle name="20% - Accent6 5 3 2 3 3 2" xfId="19840" xr:uid="{00000000-0005-0000-0000-0000D1490000}"/>
    <cellStyle name="20% - Accent6 5 3 2 3 3 2 2" xfId="42442" xr:uid="{00000000-0005-0000-0000-0000D2490000}"/>
    <cellStyle name="20% - Accent6 5 3 2 3 3 3" xfId="31141" xr:uid="{00000000-0005-0000-0000-0000D3490000}"/>
    <cellStyle name="20% - Accent6 5 3 2 3 4" xfId="14190" xr:uid="{00000000-0005-0000-0000-0000D4490000}"/>
    <cellStyle name="20% - Accent6 5 3 2 3 4 2" xfId="36792" xr:uid="{00000000-0005-0000-0000-0000D5490000}"/>
    <cellStyle name="20% - Accent6 5 3 2 3 5" xfId="25491" xr:uid="{00000000-0005-0000-0000-0000D6490000}"/>
    <cellStyle name="20% - Accent6 5 3 2 4" xfId="4488" xr:uid="{00000000-0005-0000-0000-0000D7490000}"/>
    <cellStyle name="20% - Accent6 5 3 2 4 2" xfId="10138" xr:uid="{00000000-0005-0000-0000-0000D8490000}"/>
    <cellStyle name="20% - Accent6 5 3 2 4 2 2" xfId="21439" xr:uid="{00000000-0005-0000-0000-0000D9490000}"/>
    <cellStyle name="20% - Accent6 5 3 2 4 2 2 2" xfId="44041" xr:uid="{00000000-0005-0000-0000-0000DA490000}"/>
    <cellStyle name="20% - Accent6 5 3 2 4 2 3" xfId="32740" xr:uid="{00000000-0005-0000-0000-0000DB490000}"/>
    <cellStyle name="20% - Accent6 5 3 2 4 3" xfId="15789" xr:uid="{00000000-0005-0000-0000-0000DC490000}"/>
    <cellStyle name="20% - Accent6 5 3 2 4 3 2" xfId="38391" xr:uid="{00000000-0005-0000-0000-0000DD490000}"/>
    <cellStyle name="20% - Accent6 5 3 2 4 4" xfId="27090" xr:uid="{00000000-0005-0000-0000-0000DE490000}"/>
    <cellStyle name="20% - Accent6 5 3 2 5" xfId="7284" xr:uid="{00000000-0005-0000-0000-0000DF490000}"/>
    <cellStyle name="20% - Accent6 5 3 2 5 2" xfId="18585" xr:uid="{00000000-0005-0000-0000-0000E0490000}"/>
    <cellStyle name="20% - Accent6 5 3 2 5 2 2" xfId="41187" xr:uid="{00000000-0005-0000-0000-0000E1490000}"/>
    <cellStyle name="20% - Accent6 5 3 2 5 3" xfId="29886" xr:uid="{00000000-0005-0000-0000-0000E2490000}"/>
    <cellStyle name="20% - Accent6 5 3 2 6" xfId="12935" xr:uid="{00000000-0005-0000-0000-0000E3490000}"/>
    <cellStyle name="20% - Accent6 5 3 2 6 2" xfId="35537" xr:uid="{00000000-0005-0000-0000-0000E4490000}"/>
    <cellStyle name="20% - Accent6 5 3 2 7" xfId="24236" xr:uid="{00000000-0005-0000-0000-0000E5490000}"/>
    <cellStyle name="20% - Accent6 5 3 3" xfId="1003" xr:uid="{00000000-0005-0000-0000-0000E6490000}"/>
    <cellStyle name="20% - Accent6 5 3 3 2" xfId="3066" xr:uid="{00000000-0005-0000-0000-0000E7490000}"/>
    <cellStyle name="20% - Accent6 5 3 3 2 2" xfId="6038" xr:uid="{00000000-0005-0000-0000-0000E8490000}"/>
    <cellStyle name="20% - Accent6 5 3 3 2 2 2" xfId="11688" xr:uid="{00000000-0005-0000-0000-0000E9490000}"/>
    <cellStyle name="20% - Accent6 5 3 3 2 2 2 2" xfId="22989" xr:uid="{00000000-0005-0000-0000-0000EA490000}"/>
    <cellStyle name="20% - Accent6 5 3 3 2 2 2 2 2" xfId="45591" xr:uid="{00000000-0005-0000-0000-0000EB490000}"/>
    <cellStyle name="20% - Accent6 5 3 3 2 2 2 3" xfId="34290" xr:uid="{00000000-0005-0000-0000-0000EC490000}"/>
    <cellStyle name="20% - Accent6 5 3 3 2 2 3" xfId="17339" xr:uid="{00000000-0005-0000-0000-0000ED490000}"/>
    <cellStyle name="20% - Accent6 5 3 3 2 2 3 2" xfId="39941" xr:uid="{00000000-0005-0000-0000-0000EE490000}"/>
    <cellStyle name="20% - Accent6 5 3 3 2 2 4" xfId="28640" xr:uid="{00000000-0005-0000-0000-0000EF490000}"/>
    <cellStyle name="20% - Accent6 5 3 3 2 3" xfId="8856" xr:uid="{00000000-0005-0000-0000-0000F0490000}"/>
    <cellStyle name="20% - Accent6 5 3 3 2 3 2" xfId="20157" xr:uid="{00000000-0005-0000-0000-0000F1490000}"/>
    <cellStyle name="20% - Accent6 5 3 3 2 3 2 2" xfId="42759" xr:uid="{00000000-0005-0000-0000-0000F2490000}"/>
    <cellStyle name="20% - Accent6 5 3 3 2 3 3" xfId="31458" xr:uid="{00000000-0005-0000-0000-0000F3490000}"/>
    <cellStyle name="20% - Accent6 5 3 3 2 4" xfId="14507" xr:uid="{00000000-0005-0000-0000-0000F4490000}"/>
    <cellStyle name="20% - Accent6 5 3 3 2 4 2" xfId="37109" xr:uid="{00000000-0005-0000-0000-0000F5490000}"/>
    <cellStyle name="20% - Accent6 5 3 3 2 5" xfId="25808" xr:uid="{00000000-0005-0000-0000-0000F6490000}"/>
    <cellStyle name="20% - Accent6 5 3 3 3" xfId="4804" xr:uid="{00000000-0005-0000-0000-0000F7490000}"/>
    <cellStyle name="20% - Accent6 5 3 3 3 2" xfId="10454" xr:uid="{00000000-0005-0000-0000-0000F8490000}"/>
    <cellStyle name="20% - Accent6 5 3 3 3 2 2" xfId="21755" xr:uid="{00000000-0005-0000-0000-0000F9490000}"/>
    <cellStyle name="20% - Accent6 5 3 3 3 2 2 2" xfId="44357" xr:uid="{00000000-0005-0000-0000-0000FA490000}"/>
    <cellStyle name="20% - Accent6 5 3 3 3 2 3" xfId="33056" xr:uid="{00000000-0005-0000-0000-0000FB490000}"/>
    <cellStyle name="20% - Accent6 5 3 3 3 3" xfId="16105" xr:uid="{00000000-0005-0000-0000-0000FC490000}"/>
    <cellStyle name="20% - Accent6 5 3 3 3 3 2" xfId="38707" xr:uid="{00000000-0005-0000-0000-0000FD490000}"/>
    <cellStyle name="20% - Accent6 5 3 3 3 4" xfId="27406" xr:uid="{00000000-0005-0000-0000-0000FE490000}"/>
    <cellStyle name="20% - Accent6 5 3 3 4" xfId="6991" xr:uid="{00000000-0005-0000-0000-0000FF490000}"/>
    <cellStyle name="20% - Accent6 5 3 3 4 2" xfId="18292" xr:uid="{00000000-0005-0000-0000-0000004A0000}"/>
    <cellStyle name="20% - Accent6 5 3 3 4 2 2" xfId="40894" xr:uid="{00000000-0005-0000-0000-0000014A0000}"/>
    <cellStyle name="20% - Accent6 5 3 3 4 3" xfId="29593" xr:uid="{00000000-0005-0000-0000-0000024A0000}"/>
    <cellStyle name="20% - Accent6 5 3 3 5" xfId="12642" xr:uid="{00000000-0005-0000-0000-0000034A0000}"/>
    <cellStyle name="20% - Accent6 5 3 3 5 2" xfId="35244" xr:uid="{00000000-0005-0000-0000-0000044A0000}"/>
    <cellStyle name="20% - Accent6 5 3 3 6" xfId="23943" xr:uid="{00000000-0005-0000-0000-0000054A0000}"/>
    <cellStyle name="20% - Accent6 5 3 4" xfId="1800" xr:uid="{00000000-0005-0000-0000-0000064A0000}"/>
    <cellStyle name="20% - Accent6 5 3 4 2" xfId="3699" xr:uid="{00000000-0005-0000-0000-0000074A0000}"/>
    <cellStyle name="20% - Accent6 5 3 4 2 2" xfId="9410" xr:uid="{00000000-0005-0000-0000-0000084A0000}"/>
    <cellStyle name="20% - Accent6 5 3 4 2 2 2" xfId="20711" xr:uid="{00000000-0005-0000-0000-0000094A0000}"/>
    <cellStyle name="20% - Accent6 5 3 4 2 2 2 2" xfId="43313" xr:uid="{00000000-0005-0000-0000-00000A4A0000}"/>
    <cellStyle name="20% - Accent6 5 3 4 2 2 3" xfId="32012" xr:uid="{00000000-0005-0000-0000-00000B4A0000}"/>
    <cellStyle name="20% - Accent6 5 3 4 2 3" xfId="15061" xr:uid="{00000000-0005-0000-0000-00000C4A0000}"/>
    <cellStyle name="20% - Accent6 5 3 4 2 3 2" xfId="37663" xr:uid="{00000000-0005-0000-0000-00000D4A0000}"/>
    <cellStyle name="20% - Accent6 5 3 4 2 4" xfId="26362" xr:uid="{00000000-0005-0000-0000-00000E4A0000}"/>
    <cellStyle name="20% - Accent6 5 3 4 3" xfId="5414" xr:uid="{00000000-0005-0000-0000-00000F4A0000}"/>
    <cellStyle name="20% - Accent6 5 3 4 3 2" xfId="11064" xr:uid="{00000000-0005-0000-0000-0000104A0000}"/>
    <cellStyle name="20% - Accent6 5 3 4 3 2 2" xfId="22365" xr:uid="{00000000-0005-0000-0000-0000114A0000}"/>
    <cellStyle name="20% - Accent6 5 3 4 3 2 2 2" xfId="44967" xr:uid="{00000000-0005-0000-0000-0000124A0000}"/>
    <cellStyle name="20% - Accent6 5 3 4 3 2 3" xfId="33666" xr:uid="{00000000-0005-0000-0000-0000134A0000}"/>
    <cellStyle name="20% - Accent6 5 3 4 3 3" xfId="16715" xr:uid="{00000000-0005-0000-0000-0000144A0000}"/>
    <cellStyle name="20% - Accent6 5 3 4 3 3 2" xfId="39317" xr:uid="{00000000-0005-0000-0000-0000154A0000}"/>
    <cellStyle name="20% - Accent6 5 3 4 3 4" xfId="28016" xr:uid="{00000000-0005-0000-0000-0000164A0000}"/>
    <cellStyle name="20% - Accent6 5 3 4 4" xfId="7656" xr:uid="{00000000-0005-0000-0000-0000174A0000}"/>
    <cellStyle name="20% - Accent6 5 3 4 4 2" xfId="18957" xr:uid="{00000000-0005-0000-0000-0000184A0000}"/>
    <cellStyle name="20% - Accent6 5 3 4 4 2 2" xfId="41559" xr:uid="{00000000-0005-0000-0000-0000194A0000}"/>
    <cellStyle name="20% - Accent6 5 3 4 4 3" xfId="30258" xr:uid="{00000000-0005-0000-0000-00001A4A0000}"/>
    <cellStyle name="20% - Accent6 5 3 4 5" xfId="13307" xr:uid="{00000000-0005-0000-0000-00001B4A0000}"/>
    <cellStyle name="20% - Accent6 5 3 4 5 2" xfId="35909" xr:uid="{00000000-0005-0000-0000-00001C4A0000}"/>
    <cellStyle name="20% - Accent6 5 3 4 6" xfId="24608" xr:uid="{00000000-0005-0000-0000-00001D4A0000}"/>
    <cellStyle name="20% - Accent6 5 3 5" xfId="2395" xr:uid="{00000000-0005-0000-0000-00001E4A0000}"/>
    <cellStyle name="20% - Accent6 5 3 5 2" xfId="8231" xr:uid="{00000000-0005-0000-0000-00001F4A0000}"/>
    <cellStyle name="20% - Accent6 5 3 5 2 2" xfId="19532" xr:uid="{00000000-0005-0000-0000-0000204A0000}"/>
    <cellStyle name="20% - Accent6 5 3 5 2 2 2" xfId="42134" xr:uid="{00000000-0005-0000-0000-0000214A0000}"/>
    <cellStyle name="20% - Accent6 5 3 5 2 3" xfId="30833" xr:uid="{00000000-0005-0000-0000-0000224A0000}"/>
    <cellStyle name="20% - Accent6 5 3 5 3" xfId="13882" xr:uid="{00000000-0005-0000-0000-0000234A0000}"/>
    <cellStyle name="20% - Accent6 5 3 5 3 2" xfId="36484" xr:uid="{00000000-0005-0000-0000-0000244A0000}"/>
    <cellStyle name="20% - Accent6 5 3 5 4" xfId="25183" xr:uid="{00000000-0005-0000-0000-0000254A0000}"/>
    <cellStyle name="20% - Accent6 5 3 6" xfId="4180" xr:uid="{00000000-0005-0000-0000-0000264A0000}"/>
    <cellStyle name="20% - Accent6 5 3 6 2" xfId="9830" xr:uid="{00000000-0005-0000-0000-0000274A0000}"/>
    <cellStyle name="20% - Accent6 5 3 6 2 2" xfId="21131" xr:uid="{00000000-0005-0000-0000-0000284A0000}"/>
    <cellStyle name="20% - Accent6 5 3 6 2 2 2" xfId="43733" xr:uid="{00000000-0005-0000-0000-0000294A0000}"/>
    <cellStyle name="20% - Accent6 5 3 6 2 3" xfId="32432" xr:uid="{00000000-0005-0000-0000-00002A4A0000}"/>
    <cellStyle name="20% - Accent6 5 3 6 3" xfId="15481" xr:uid="{00000000-0005-0000-0000-00002B4A0000}"/>
    <cellStyle name="20% - Accent6 5 3 6 3 2" xfId="38083" xr:uid="{00000000-0005-0000-0000-00002C4A0000}"/>
    <cellStyle name="20% - Accent6 5 3 6 4" xfId="26782" xr:uid="{00000000-0005-0000-0000-00002D4A0000}"/>
    <cellStyle name="20% - Accent6 5 3 7" xfId="6658" xr:uid="{00000000-0005-0000-0000-00002E4A0000}"/>
    <cellStyle name="20% - Accent6 5 3 7 2" xfId="17959" xr:uid="{00000000-0005-0000-0000-00002F4A0000}"/>
    <cellStyle name="20% - Accent6 5 3 7 2 2" xfId="40561" xr:uid="{00000000-0005-0000-0000-0000304A0000}"/>
    <cellStyle name="20% - Accent6 5 3 7 3" xfId="29260" xr:uid="{00000000-0005-0000-0000-0000314A0000}"/>
    <cellStyle name="20% - Accent6 5 3 8" xfId="12309" xr:uid="{00000000-0005-0000-0000-0000324A0000}"/>
    <cellStyle name="20% - Accent6 5 3 8 2" xfId="34911" xr:uid="{00000000-0005-0000-0000-0000334A0000}"/>
    <cellStyle name="20% - Accent6 5 3 9" xfId="23610" xr:uid="{00000000-0005-0000-0000-0000344A0000}"/>
    <cellStyle name="20% - Accent6 5 4" xfId="1165" xr:uid="{00000000-0005-0000-0000-0000354A0000}"/>
    <cellStyle name="20% - Accent6 5 4 2" xfId="1802" xr:uid="{00000000-0005-0000-0000-0000364A0000}"/>
    <cellStyle name="20% - Accent6 5 4 2 2" xfId="3233" xr:uid="{00000000-0005-0000-0000-0000374A0000}"/>
    <cellStyle name="20% - Accent6 5 4 2 2 2" xfId="6205" xr:uid="{00000000-0005-0000-0000-0000384A0000}"/>
    <cellStyle name="20% - Accent6 5 4 2 2 2 2" xfId="11855" xr:uid="{00000000-0005-0000-0000-0000394A0000}"/>
    <cellStyle name="20% - Accent6 5 4 2 2 2 2 2" xfId="23156" xr:uid="{00000000-0005-0000-0000-00003A4A0000}"/>
    <cellStyle name="20% - Accent6 5 4 2 2 2 2 2 2" xfId="45758" xr:uid="{00000000-0005-0000-0000-00003B4A0000}"/>
    <cellStyle name="20% - Accent6 5 4 2 2 2 2 3" xfId="34457" xr:uid="{00000000-0005-0000-0000-00003C4A0000}"/>
    <cellStyle name="20% - Accent6 5 4 2 2 2 3" xfId="17506" xr:uid="{00000000-0005-0000-0000-00003D4A0000}"/>
    <cellStyle name="20% - Accent6 5 4 2 2 2 3 2" xfId="40108" xr:uid="{00000000-0005-0000-0000-00003E4A0000}"/>
    <cellStyle name="20% - Accent6 5 4 2 2 2 4" xfId="28807" xr:uid="{00000000-0005-0000-0000-00003F4A0000}"/>
    <cellStyle name="20% - Accent6 5 4 2 2 3" xfId="9023" xr:uid="{00000000-0005-0000-0000-0000404A0000}"/>
    <cellStyle name="20% - Accent6 5 4 2 2 3 2" xfId="20324" xr:uid="{00000000-0005-0000-0000-0000414A0000}"/>
    <cellStyle name="20% - Accent6 5 4 2 2 3 2 2" xfId="42926" xr:uid="{00000000-0005-0000-0000-0000424A0000}"/>
    <cellStyle name="20% - Accent6 5 4 2 2 3 3" xfId="31625" xr:uid="{00000000-0005-0000-0000-0000434A0000}"/>
    <cellStyle name="20% - Accent6 5 4 2 2 4" xfId="14674" xr:uid="{00000000-0005-0000-0000-0000444A0000}"/>
    <cellStyle name="20% - Accent6 5 4 2 2 4 2" xfId="37276" xr:uid="{00000000-0005-0000-0000-0000454A0000}"/>
    <cellStyle name="20% - Accent6 5 4 2 2 5" xfId="25975" xr:uid="{00000000-0005-0000-0000-0000464A0000}"/>
    <cellStyle name="20% - Accent6 5 4 2 3" xfId="4971" xr:uid="{00000000-0005-0000-0000-0000474A0000}"/>
    <cellStyle name="20% - Accent6 5 4 2 3 2" xfId="10621" xr:uid="{00000000-0005-0000-0000-0000484A0000}"/>
    <cellStyle name="20% - Accent6 5 4 2 3 2 2" xfId="21922" xr:uid="{00000000-0005-0000-0000-0000494A0000}"/>
    <cellStyle name="20% - Accent6 5 4 2 3 2 2 2" xfId="44524" xr:uid="{00000000-0005-0000-0000-00004A4A0000}"/>
    <cellStyle name="20% - Accent6 5 4 2 3 2 3" xfId="33223" xr:uid="{00000000-0005-0000-0000-00004B4A0000}"/>
    <cellStyle name="20% - Accent6 5 4 2 3 3" xfId="16272" xr:uid="{00000000-0005-0000-0000-00004C4A0000}"/>
    <cellStyle name="20% - Accent6 5 4 2 3 3 2" xfId="38874" xr:uid="{00000000-0005-0000-0000-00004D4A0000}"/>
    <cellStyle name="20% - Accent6 5 4 2 3 4" xfId="27573" xr:uid="{00000000-0005-0000-0000-00004E4A0000}"/>
    <cellStyle name="20% - Accent6 5 4 2 4" xfId="7658" xr:uid="{00000000-0005-0000-0000-00004F4A0000}"/>
    <cellStyle name="20% - Accent6 5 4 2 4 2" xfId="18959" xr:uid="{00000000-0005-0000-0000-0000504A0000}"/>
    <cellStyle name="20% - Accent6 5 4 2 4 2 2" xfId="41561" xr:uid="{00000000-0005-0000-0000-0000514A0000}"/>
    <cellStyle name="20% - Accent6 5 4 2 4 3" xfId="30260" xr:uid="{00000000-0005-0000-0000-0000524A0000}"/>
    <cellStyle name="20% - Accent6 5 4 2 5" xfId="13309" xr:uid="{00000000-0005-0000-0000-0000534A0000}"/>
    <cellStyle name="20% - Accent6 5 4 2 5 2" xfId="35911" xr:uid="{00000000-0005-0000-0000-0000544A0000}"/>
    <cellStyle name="20% - Accent6 5 4 2 6" xfId="24610" xr:uid="{00000000-0005-0000-0000-0000554A0000}"/>
    <cellStyle name="20% - Accent6 5 4 3" xfId="2562" xr:uid="{00000000-0005-0000-0000-0000564A0000}"/>
    <cellStyle name="20% - Accent6 5 4 3 2" xfId="5581" xr:uid="{00000000-0005-0000-0000-0000574A0000}"/>
    <cellStyle name="20% - Accent6 5 4 3 2 2" xfId="11231" xr:uid="{00000000-0005-0000-0000-0000584A0000}"/>
    <cellStyle name="20% - Accent6 5 4 3 2 2 2" xfId="22532" xr:uid="{00000000-0005-0000-0000-0000594A0000}"/>
    <cellStyle name="20% - Accent6 5 4 3 2 2 2 2" xfId="45134" xr:uid="{00000000-0005-0000-0000-00005A4A0000}"/>
    <cellStyle name="20% - Accent6 5 4 3 2 2 3" xfId="33833" xr:uid="{00000000-0005-0000-0000-00005B4A0000}"/>
    <cellStyle name="20% - Accent6 5 4 3 2 3" xfId="16882" xr:uid="{00000000-0005-0000-0000-00005C4A0000}"/>
    <cellStyle name="20% - Accent6 5 4 3 2 3 2" xfId="39484" xr:uid="{00000000-0005-0000-0000-00005D4A0000}"/>
    <cellStyle name="20% - Accent6 5 4 3 2 4" xfId="28183" xr:uid="{00000000-0005-0000-0000-00005E4A0000}"/>
    <cellStyle name="20% - Accent6 5 4 3 3" xfId="8398" xr:uid="{00000000-0005-0000-0000-00005F4A0000}"/>
    <cellStyle name="20% - Accent6 5 4 3 3 2" xfId="19699" xr:uid="{00000000-0005-0000-0000-0000604A0000}"/>
    <cellStyle name="20% - Accent6 5 4 3 3 2 2" xfId="42301" xr:uid="{00000000-0005-0000-0000-0000614A0000}"/>
    <cellStyle name="20% - Accent6 5 4 3 3 3" xfId="31000" xr:uid="{00000000-0005-0000-0000-0000624A0000}"/>
    <cellStyle name="20% - Accent6 5 4 3 4" xfId="14049" xr:uid="{00000000-0005-0000-0000-0000634A0000}"/>
    <cellStyle name="20% - Accent6 5 4 3 4 2" xfId="36651" xr:uid="{00000000-0005-0000-0000-0000644A0000}"/>
    <cellStyle name="20% - Accent6 5 4 3 5" xfId="25350" xr:uid="{00000000-0005-0000-0000-0000654A0000}"/>
    <cellStyle name="20% - Accent6 5 4 4" xfId="4347" xr:uid="{00000000-0005-0000-0000-0000664A0000}"/>
    <cellStyle name="20% - Accent6 5 4 4 2" xfId="9997" xr:uid="{00000000-0005-0000-0000-0000674A0000}"/>
    <cellStyle name="20% - Accent6 5 4 4 2 2" xfId="21298" xr:uid="{00000000-0005-0000-0000-0000684A0000}"/>
    <cellStyle name="20% - Accent6 5 4 4 2 2 2" xfId="43900" xr:uid="{00000000-0005-0000-0000-0000694A0000}"/>
    <cellStyle name="20% - Accent6 5 4 4 2 3" xfId="32599" xr:uid="{00000000-0005-0000-0000-00006A4A0000}"/>
    <cellStyle name="20% - Accent6 5 4 4 3" xfId="15648" xr:uid="{00000000-0005-0000-0000-00006B4A0000}"/>
    <cellStyle name="20% - Accent6 5 4 4 3 2" xfId="38250" xr:uid="{00000000-0005-0000-0000-00006C4A0000}"/>
    <cellStyle name="20% - Accent6 5 4 4 4" xfId="26949" xr:uid="{00000000-0005-0000-0000-00006D4A0000}"/>
    <cellStyle name="20% - Accent6 5 4 5" xfId="7144" xr:uid="{00000000-0005-0000-0000-00006E4A0000}"/>
    <cellStyle name="20% - Accent6 5 4 5 2" xfId="18445" xr:uid="{00000000-0005-0000-0000-00006F4A0000}"/>
    <cellStyle name="20% - Accent6 5 4 5 2 2" xfId="41047" xr:uid="{00000000-0005-0000-0000-0000704A0000}"/>
    <cellStyle name="20% - Accent6 5 4 5 3" xfId="29746" xr:uid="{00000000-0005-0000-0000-0000714A0000}"/>
    <cellStyle name="20% - Accent6 5 4 6" xfId="12795" xr:uid="{00000000-0005-0000-0000-0000724A0000}"/>
    <cellStyle name="20% - Accent6 5 4 6 2" xfId="35397" xr:uid="{00000000-0005-0000-0000-0000734A0000}"/>
    <cellStyle name="20% - Accent6 5 4 7" xfId="24096" xr:uid="{00000000-0005-0000-0000-0000744A0000}"/>
    <cellStyle name="20% - Accent6 5 5" xfId="845" xr:uid="{00000000-0005-0000-0000-0000754A0000}"/>
    <cellStyle name="20% - Accent6 5 5 2" xfId="2926" xr:uid="{00000000-0005-0000-0000-0000764A0000}"/>
    <cellStyle name="20% - Accent6 5 5 2 2" xfId="5898" xr:uid="{00000000-0005-0000-0000-0000774A0000}"/>
    <cellStyle name="20% - Accent6 5 5 2 2 2" xfId="11548" xr:uid="{00000000-0005-0000-0000-0000784A0000}"/>
    <cellStyle name="20% - Accent6 5 5 2 2 2 2" xfId="22849" xr:uid="{00000000-0005-0000-0000-0000794A0000}"/>
    <cellStyle name="20% - Accent6 5 5 2 2 2 2 2" xfId="45451" xr:uid="{00000000-0005-0000-0000-00007A4A0000}"/>
    <cellStyle name="20% - Accent6 5 5 2 2 2 3" xfId="34150" xr:uid="{00000000-0005-0000-0000-00007B4A0000}"/>
    <cellStyle name="20% - Accent6 5 5 2 2 3" xfId="17199" xr:uid="{00000000-0005-0000-0000-00007C4A0000}"/>
    <cellStyle name="20% - Accent6 5 5 2 2 3 2" xfId="39801" xr:uid="{00000000-0005-0000-0000-00007D4A0000}"/>
    <cellStyle name="20% - Accent6 5 5 2 2 4" xfId="28500" xr:uid="{00000000-0005-0000-0000-00007E4A0000}"/>
    <cellStyle name="20% - Accent6 5 5 2 3" xfId="8716" xr:uid="{00000000-0005-0000-0000-00007F4A0000}"/>
    <cellStyle name="20% - Accent6 5 5 2 3 2" xfId="20017" xr:uid="{00000000-0005-0000-0000-0000804A0000}"/>
    <cellStyle name="20% - Accent6 5 5 2 3 2 2" xfId="42619" xr:uid="{00000000-0005-0000-0000-0000814A0000}"/>
    <cellStyle name="20% - Accent6 5 5 2 3 3" xfId="31318" xr:uid="{00000000-0005-0000-0000-0000824A0000}"/>
    <cellStyle name="20% - Accent6 5 5 2 4" xfId="14367" xr:uid="{00000000-0005-0000-0000-0000834A0000}"/>
    <cellStyle name="20% - Accent6 5 5 2 4 2" xfId="36969" xr:uid="{00000000-0005-0000-0000-0000844A0000}"/>
    <cellStyle name="20% - Accent6 5 5 2 5" xfId="25668" xr:uid="{00000000-0005-0000-0000-0000854A0000}"/>
    <cellStyle name="20% - Accent6 5 5 3" xfId="4664" xr:uid="{00000000-0005-0000-0000-0000864A0000}"/>
    <cellStyle name="20% - Accent6 5 5 3 2" xfId="10314" xr:uid="{00000000-0005-0000-0000-0000874A0000}"/>
    <cellStyle name="20% - Accent6 5 5 3 2 2" xfId="21615" xr:uid="{00000000-0005-0000-0000-0000884A0000}"/>
    <cellStyle name="20% - Accent6 5 5 3 2 2 2" xfId="44217" xr:uid="{00000000-0005-0000-0000-0000894A0000}"/>
    <cellStyle name="20% - Accent6 5 5 3 2 3" xfId="32916" xr:uid="{00000000-0005-0000-0000-00008A4A0000}"/>
    <cellStyle name="20% - Accent6 5 5 3 3" xfId="15965" xr:uid="{00000000-0005-0000-0000-00008B4A0000}"/>
    <cellStyle name="20% - Accent6 5 5 3 3 2" xfId="38567" xr:uid="{00000000-0005-0000-0000-00008C4A0000}"/>
    <cellStyle name="20% - Accent6 5 5 3 4" xfId="27266" xr:uid="{00000000-0005-0000-0000-00008D4A0000}"/>
    <cellStyle name="20% - Accent6 5 5 4" xfId="6850" xr:uid="{00000000-0005-0000-0000-00008E4A0000}"/>
    <cellStyle name="20% - Accent6 5 5 4 2" xfId="18151" xr:uid="{00000000-0005-0000-0000-00008F4A0000}"/>
    <cellStyle name="20% - Accent6 5 5 4 2 2" xfId="40753" xr:uid="{00000000-0005-0000-0000-0000904A0000}"/>
    <cellStyle name="20% - Accent6 5 5 4 3" xfId="29452" xr:uid="{00000000-0005-0000-0000-0000914A0000}"/>
    <cellStyle name="20% - Accent6 5 5 5" xfId="12501" xr:uid="{00000000-0005-0000-0000-0000924A0000}"/>
    <cellStyle name="20% - Accent6 5 5 5 2" xfId="35103" xr:uid="{00000000-0005-0000-0000-0000934A0000}"/>
    <cellStyle name="20% - Accent6 5 5 6" xfId="23802" xr:uid="{00000000-0005-0000-0000-0000944A0000}"/>
    <cellStyle name="20% - Accent6 5 6" xfId="1795" xr:uid="{00000000-0005-0000-0000-0000954A0000}"/>
    <cellStyle name="20% - Accent6 5 6 2" xfId="3696" xr:uid="{00000000-0005-0000-0000-0000964A0000}"/>
    <cellStyle name="20% - Accent6 5 6 2 2" xfId="9407" xr:uid="{00000000-0005-0000-0000-0000974A0000}"/>
    <cellStyle name="20% - Accent6 5 6 2 2 2" xfId="20708" xr:uid="{00000000-0005-0000-0000-0000984A0000}"/>
    <cellStyle name="20% - Accent6 5 6 2 2 2 2" xfId="43310" xr:uid="{00000000-0005-0000-0000-0000994A0000}"/>
    <cellStyle name="20% - Accent6 5 6 2 2 3" xfId="32009" xr:uid="{00000000-0005-0000-0000-00009A4A0000}"/>
    <cellStyle name="20% - Accent6 5 6 2 3" xfId="15058" xr:uid="{00000000-0005-0000-0000-00009B4A0000}"/>
    <cellStyle name="20% - Accent6 5 6 2 3 2" xfId="37660" xr:uid="{00000000-0005-0000-0000-00009C4A0000}"/>
    <cellStyle name="20% - Accent6 5 6 2 4" xfId="26359" xr:uid="{00000000-0005-0000-0000-00009D4A0000}"/>
    <cellStyle name="20% - Accent6 5 6 3" xfId="5274" xr:uid="{00000000-0005-0000-0000-00009E4A0000}"/>
    <cellStyle name="20% - Accent6 5 6 3 2" xfId="10924" xr:uid="{00000000-0005-0000-0000-00009F4A0000}"/>
    <cellStyle name="20% - Accent6 5 6 3 2 2" xfId="22225" xr:uid="{00000000-0005-0000-0000-0000A04A0000}"/>
    <cellStyle name="20% - Accent6 5 6 3 2 2 2" xfId="44827" xr:uid="{00000000-0005-0000-0000-0000A14A0000}"/>
    <cellStyle name="20% - Accent6 5 6 3 2 3" xfId="33526" xr:uid="{00000000-0005-0000-0000-0000A24A0000}"/>
    <cellStyle name="20% - Accent6 5 6 3 3" xfId="16575" xr:uid="{00000000-0005-0000-0000-0000A34A0000}"/>
    <cellStyle name="20% - Accent6 5 6 3 3 2" xfId="39177" xr:uid="{00000000-0005-0000-0000-0000A44A0000}"/>
    <cellStyle name="20% - Accent6 5 6 3 4" xfId="27876" xr:uid="{00000000-0005-0000-0000-0000A54A0000}"/>
    <cellStyle name="20% - Accent6 5 6 4" xfId="7651" xr:uid="{00000000-0005-0000-0000-0000A64A0000}"/>
    <cellStyle name="20% - Accent6 5 6 4 2" xfId="18952" xr:uid="{00000000-0005-0000-0000-0000A74A0000}"/>
    <cellStyle name="20% - Accent6 5 6 4 2 2" xfId="41554" xr:uid="{00000000-0005-0000-0000-0000A84A0000}"/>
    <cellStyle name="20% - Accent6 5 6 4 3" xfId="30253" xr:uid="{00000000-0005-0000-0000-0000A94A0000}"/>
    <cellStyle name="20% - Accent6 5 6 5" xfId="13302" xr:uid="{00000000-0005-0000-0000-0000AA4A0000}"/>
    <cellStyle name="20% - Accent6 5 6 5 2" xfId="35904" xr:uid="{00000000-0005-0000-0000-0000AB4A0000}"/>
    <cellStyle name="20% - Accent6 5 6 6" xfId="24603" xr:uid="{00000000-0005-0000-0000-0000AC4A0000}"/>
    <cellStyle name="20% - Accent6 5 7" xfId="2247" xr:uid="{00000000-0005-0000-0000-0000AD4A0000}"/>
    <cellStyle name="20% - Accent6 5 7 2" xfId="8088" xr:uid="{00000000-0005-0000-0000-0000AE4A0000}"/>
    <cellStyle name="20% - Accent6 5 7 2 2" xfId="19389" xr:uid="{00000000-0005-0000-0000-0000AF4A0000}"/>
    <cellStyle name="20% - Accent6 5 7 2 2 2" xfId="41991" xr:uid="{00000000-0005-0000-0000-0000B04A0000}"/>
    <cellStyle name="20% - Accent6 5 7 2 3" xfId="30690" xr:uid="{00000000-0005-0000-0000-0000B14A0000}"/>
    <cellStyle name="20% - Accent6 5 7 3" xfId="13739" xr:uid="{00000000-0005-0000-0000-0000B24A0000}"/>
    <cellStyle name="20% - Accent6 5 7 3 2" xfId="36341" xr:uid="{00000000-0005-0000-0000-0000B34A0000}"/>
    <cellStyle name="20% - Accent6 5 7 4" xfId="25040" xr:uid="{00000000-0005-0000-0000-0000B44A0000}"/>
    <cellStyle name="20% - Accent6 5 8" xfId="4040" xr:uid="{00000000-0005-0000-0000-0000B54A0000}"/>
    <cellStyle name="20% - Accent6 5 8 2" xfId="9690" xr:uid="{00000000-0005-0000-0000-0000B64A0000}"/>
    <cellStyle name="20% - Accent6 5 8 2 2" xfId="20991" xr:uid="{00000000-0005-0000-0000-0000B74A0000}"/>
    <cellStyle name="20% - Accent6 5 8 2 2 2" xfId="43593" xr:uid="{00000000-0005-0000-0000-0000B84A0000}"/>
    <cellStyle name="20% - Accent6 5 8 2 3" xfId="32292" xr:uid="{00000000-0005-0000-0000-0000B94A0000}"/>
    <cellStyle name="20% - Accent6 5 8 3" xfId="15341" xr:uid="{00000000-0005-0000-0000-0000BA4A0000}"/>
    <cellStyle name="20% - Accent6 5 8 3 2" xfId="37943" xr:uid="{00000000-0005-0000-0000-0000BB4A0000}"/>
    <cellStyle name="20% - Accent6 5 8 4" xfId="26642" xr:uid="{00000000-0005-0000-0000-0000BC4A0000}"/>
    <cellStyle name="20% - Accent6 5 9" xfId="6491" xr:uid="{00000000-0005-0000-0000-0000BD4A0000}"/>
    <cellStyle name="20% - Accent6 5 9 2" xfId="17792" xr:uid="{00000000-0005-0000-0000-0000BE4A0000}"/>
    <cellStyle name="20% - Accent6 5 9 2 2" xfId="40394" xr:uid="{00000000-0005-0000-0000-0000BF4A0000}"/>
    <cellStyle name="20% - Accent6 5 9 3" xfId="29093" xr:uid="{00000000-0005-0000-0000-0000C04A0000}"/>
    <cellStyle name="20% - Accent6 6" xfId="293" xr:uid="{00000000-0005-0000-0000-0000C14A0000}"/>
    <cellStyle name="20% - Accent6 7" xfId="401" xr:uid="{00000000-0005-0000-0000-0000C24A0000}"/>
    <cellStyle name="20% - Accent6 7 10" xfId="23496" xr:uid="{00000000-0005-0000-0000-0000C34A0000}"/>
    <cellStyle name="20% - Accent6 7 2" xfId="646" xr:uid="{00000000-0005-0000-0000-0000C44A0000}"/>
    <cellStyle name="20% - Accent6 7 2 2" xfId="1356" xr:uid="{00000000-0005-0000-0000-0000C54A0000}"/>
    <cellStyle name="20% - Accent6 7 2 2 2" xfId="1805" xr:uid="{00000000-0005-0000-0000-0000C64A0000}"/>
    <cellStyle name="20% - Accent6 7 2 2 2 2" xfId="3425" xr:uid="{00000000-0005-0000-0000-0000C74A0000}"/>
    <cellStyle name="20% - Accent6 7 2 2 2 2 2" xfId="6397" xr:uid="{00000000-0005-0000-0000-0000C84A0000}"/>
    <cellStyle name="20% - Accent6 7 2 2 2 2 2 2" xfId="12047" xr:uid="{00000000-0005-0000-0000-0000C94A0000}"/>
    <cellStyle name="20% - Accent6 7 2 2 2 2 2 2 2" xfId="23348" xr:uid="{00000000-0005-0000-0000-0000CA4A0000}"/>
    <cellStyle name="20% - Accent6 7 2 2 2 2 2 2 2 2" xfId="45950" xr:uid="{00000000-0005-0000-0000-0000CB4A0000}"/>
    <cellStyle name="20% - Accent6 7 2 2 2 2 2 2 3" xfId="34649" xr:uid="{00000000-0005-0000-0000-0000CC4A0000}"/>
    <cellStyle name="20% - Accent6 7 2 2 2 2 2 3" xfId="17698" xr:uid="{00000000-0005-0000-0000-0000CD4A0000}"/>
    <cellStyle name="20% - Accent6 7 2 2 2 2 2 3 2" xfId="40300" xr:uid="{00000000-0005-0000-0000-0000CE4A0000}"/>
    <cellStyle name="20% - Accent6 7 2 2 2 2 2 4" xfId="28999" xr:uid="{00000000-0005-0000-0000-0000CF4A0000}"/>
    <cellStyle name="20% - Accent6 7 2 2 2 2 3" xfId="9215" xr:uid="{00000000-0005-0000-0000-0000D04A0000}"/>
    <cellStyle name="20% - Accent6 7 2 2 2 2 3 2" xfId="20516" xr:uid="{00000000-0005-0000-0000-0000D14A0000}"/>
    <cellStyle name="20% - Accent6 7 2 2 2 2 3 2 2" xfId="43118" xr:uid="{00000000-0005-0000-0000-0000D24A0000}"/>
    <cellStyle name="20% - Accent6 7 2 2 2 2 3 3" xfId="31817" xr:uid="{00000000-0005-0000-0000-0000D34A0000}"/>
    <cellStyle name="20% - Accent6 7 2 2 2 2 4" xfId="14866" xr:uid="{00000000-0005-0000-0000-0000D44A0000}"/>
    <cellStyle name="20% - Accent6 7 2 2 2 2 4 2" xfId="37468" xr:uid="{00000000-0005-0000-0000-0000D54A0000}"/>
    <cellStyle name="20% - Accent6 7 2 2 2 2 5" xfId="26167" xr:uid="{00000000-0005-0000-0000-0000D64A0000}"/>
    <cellStyle name="20% - Accent6 7 2 2 2 3" xfId="5163" xr:uid="{00000000-0005-0000-0000-0000D74A0000}"/>
    <cellStyle name="20% - Accent6 7 2 2 2 3 2" xfId="10813" xr:uid="{00000000-0005-0000-0000-0000D84A0000}"/>
    <cellStyle name="20% - Accent6 7 2 2 2 3 2 2" xfId="22114" xr:uid="{00000000-0005-0000-0000-0000D94A0000}"/>
    <cellStyle name="20% - Accent6 7 2 2 2 3 2 2 2" xfId="44716" xr:uid="{00000000-0005-0000-0000-0000DA4A0000}"/>
    <cellStyle name="20% - Accent6 7 2 2 2 3 2 3" xfId="33415" xr:uid="{00000000-0005-0000-0000-0000DB4A0000}"/>
    <cellStyle name="20% - Accent6 7 2 2 2 3 3" xfId="16464" xr:uid="{00000000-0005-0000-0000-0000DC4A0000}"/>
    <cellStyle name="20% - Accent6 7 2 2 2 3 3 2" xfId="39066" xr:uid="{00000000-0005-0000-0000-0000DD4A0000}"/>
    <cellStyle name="20% - Accent6 7 2 2 2 3 4" xfId="27765" xr:uid="{00000000-0005-0000-0000-0000DE4A0000}"/>
    <cellStyle name="20% - Accent6 7 2 2 2 4" xfId="7661" xr:uid="{00000000-0005-0000-0000-0000DF4A0000}"/>
    <cellStyle name="20% - Accent6 7 2 2 2 4 2" xfId="18962" xr:uid="{00000000-0005-0000-0000-0000E04A0000}"/>
    <cellStyle name="20% - Accent6 7 2 2 2 4 2 2" xfId="41564" xr:uid="{00000000-0005-0000-0000-0000E14A0000}"/>
    <cellStyle name="20% - Accent6 7 2 2 2 4 3" xfId="30263" xr:uid="{00000000-0005-0000-0000-0000E24A0000}"/>
    <cellStyle name="20% - Accent6 7 2 2 2 5" xfId="13312" xr:uid="{00000000-0005-0000-0000-0000E34A0000}"/>
    <cellStyle name="20% - Accent6 7 2 2 2 5 2" xfId="35914" xr:uid="{00000000-0005-0000-0000-0000E44A0000}"/>
    <cellStyle name="20% - Accent6 7 2 2 2 6" xfId="24613" xr:uid="{00000000-0005-0000-0000-0000E54A0000}"/>
    <cellStyle name="20% - Accent6 7 2 2 3" xfId="2754" xr:uid="{00000000-0005-0000-0000-0000E64A0000}"/>
    <cellStyle name="20% - Accent6 7 2 2 3 2" xfId="5773" xr:uid="{00000000-0005-0000-0000-0000E74A0000}"/>
    <cellStyle name="20% - Accent6 7 2 2 3 2 2" xfId="11423" xr:uid="{00000000-0005-0000-0000-0000E84A0000}"/>
    <cellStyle name="20% - Accent6 7 2 2 3 2 2 2" xfId="22724" xr:uid="{00000000-0005-0000-0000-0000E94A0000}"/>
    <cellStyle name="20% - Accent6 7 2 2 3 2 2 2 2" xfId="45326" xr:uid="{00000000-0005-0000-0000-0000EA4A0000}"/>
    <cellStyle name="20% - Accent6 7 2 2 3 2 2 3" xfId="34025" xr:uid="{00000000-0005-0000-0000-0000EB4A0000}"/>
    <cellStyle name="20% - Accent6 7 2 2 3 2 3" xfId="17074" xr:uid="{00000000-0005-0000-0000-0000EC4A0000}"/>
    <cellStyle name="20% - Accent6 7 2 2 3 2 3 2" xfId="39676" xr:uid="{00000000-0005-0000-0000-0000ED4A0000}"/>
    <cellStyle name="20% - Accent6 7 2 2 3 2 4" xfId="28375" xr:uid="{00000000-0005-0000-0000-0000EE4A0000}"/>
    <cellStyle name="20% - Accent6 7 2 2 3 3" xfId="8590" xr:uid="{00000000-0005-0000-0000-0000EF4A0000}"/>
    <cellStyle name="20% - Accent6 7 2 2 3 3 2" xfId="19891" xr:uid="{00000000-0005-0000-0000-0000F04A0000}"/>
    <cellStyle name="20% - Accent6 7 2 2 3 3 2 2" xfId="42493" xr:uid="{00000000-0005-0000-0000-0000F14A0000}"/>
    <cellStyle name="20% - Accent6 7 2 2 3 3 3" xfId="31192" xr:uid="{00000000-0005-0000-0000-0000F24A0000}"/>
    <cellStyle name="20% - Accent6 7 2 2 3 4" xfId="14241" xr:uid="{00000000-0005-0000-0000-0000F34A0000}"/>
    <cellStyle name="20% - Accent6 7 2 2 3 4 2" xfId="36843" xr:uid="{00000000-0005-0000-0000-0000F44A0000}"/>
    <cellStyle name="20% - Accent6 7 2 2 3 5" xfId="25542" xr:uid="{00000000-0005-0000-0000-0000F54A0000}"/>
    <cellStyle name="20% - Accent6 7 2 2 4" xfId="4539" xr:uid="{00000000-0005-0000-0000-0000F64A0000}"/>
    <cellStyle name="20% - Accent6 7 2 2 4 2" xfId="10189" xr:uid="{00000000-0005-0000-0000-0000F74A0000}"/>
    <cellStyle name="20% - Accent6 7 2 2 4 2 2" xfId="21490" xr:uid="{00000000-0005-0000-0000-0000F84A0000}"/>
    <cellStyle name="20% - Accent6 7 2 2 4 2 2 2" xfId="44092" xr:uid="{00000000-0005-0000-0000-0000F94A0000}"/>
    <cellStyle name="20% - Accent6 7 2 2 4 2 3" xfId="32791" xr:uid="{00000000-0005-0000-0000-0000FA4A0000}"/>
    <cellStyle name="20% - Accent6 7 2 2 4 3" xfId="15840" xr:uid="{00000000-0005-0000-0000-0000FB4A0000}"/>
    <cellStyle name="20% - Accent6 7 2 2 4 3 2" xfId="38442" xr:uid="{00000000-0005-0000-0000-0000FC4A0000}"/>
    <cellStyle name="20% - Accent6 7 2 2 4 4" xfId="27141" xr:uid="{00000000-0005-0000-0000-0000FD4A0000}"/>
    <cellStyle name="20% - Accent6 7 2 2 5" xfId="7335" xr:uid="{00000000-0005-0000-0000-0000FE4A0000}"/>
    <cellStyle name="20% - Accent6 7 2 2 5 2" xfId="18636" xr:uid="{00000000-0005-0000-0000-0000FF4A0000}"/>
    <cellStyle name="20% - Accent6 7 2 2 5 2 2" xfId="41238" xr:uid="{00000000-0005-0000-0000-0000004B0000}"/>
    <cellStyle name="20% - Accent6 7 2 2 5 3" xfId="29937" xr:uid="{00000000-0005-0000-0000-0000014B0000}"/>
    <cellStyle name="20% - Accent6 7 2 2 6" xfId="12986" xr:uid="{00000000-0005-0000-0000-0000024B0000}"/>
    <cellStyle name="20% - Accent6 7 2 2 6 2" xfId="35588" xr:uid="{00000000-0005-0000-0000-0000034B0000}"/>
    <cellStyle name="20% - Accent6 7 2 2 7" xfId="24287" xr:uid="{00000000-0005-0000-0000-0000044B0000}"/>
    <cellStyle name="20% - Accent6 7 2 3" xfId="1054" xr:uid="{00000000-0005-0000-0000-0000054B0000}"/>
    <cellStyle name="20% - Accent6 7 2 3 2" xfId="3117" xr:uid="{00000000-0005-0000-0000-0000064B0000}"/>
    <cellStyle name="20% - Accent6 7 2 3 2 2" xfId="6089" xr:uid="{00000000-0005-0000-0000-0000074B0000}"/>
    <cellStyle name="20% - Accent6 7 2 3 2 2 2" xfId="11739" xr:uid="{00000000-0005-0000-0000-0000084B0000}"/>
    <cellStyle name="20% - Accent6 7 2 3 2 2 2 2" xfId="23040" xr:uid="{00000000-0005-0000-0000-0000094B0000}"/>
    <cellStyle name="20% - Accent6 7 2 3 2 2 2 2 2" xfId="45642" xr:uid="{00000000-0005-0000-0000-00000A4B0000}"/>
    <cellStyle name="20% - Accent6 7 2 3 2 2 2 3" xfId="34341" xr:uid="{00000000-0005-0000-0000-00000B4B0000}"/>
    <cellStyle name="20% - Accent6 7 2 3 2 2 3" xfId="17390" xr:uid="{00000000-0005-0000-0000-00000C4B0000}"/>
    <cellStyle name="20% - Accent6 7 2 3 2 2 3 2" xfId="39992" xr:uid="{00000000-0005-0000-0000-00000D4B0000}"/>
    <cellStyle name="20% - Accent6 7 2 3 2 2 4" xfId="28691" xr:uid="{00000000-0005-0000-0000-00000E4B0000}"/>
    <cellStyle name="20% - Accent6 7 2 3 2 3" xfId="8907" xr:uid="{00000000-0005-0000-0000-00000F4B0000}"/>
    <cellStyle name="20% - Accent6 7 2 3 2 3 2" xfId="20208" xr:uid="{00000000-0005-0000-0000-0000104B0000}"/>
    <cellStyle name="20% - Accent6 7 2 3 2 3 2 2" xfId="42810" xr:uid="{00000000-0005-0000-0000-0000114B0000}"/>
    <cellStyle name="20% - Accent6 7 2 3 2 3 3" xfId="31509" xr:uid="{00000000-0005-0000-0000-0000124B0000}"/>
    <cellStyle name="20% - Accent6 7 2 3 2 4" xfId="14558" xr:uid="{00000000-0005-0000-0000-0000134B0000}"/>
    <cellStyle name="20% - Accent6 7 2 3 2 4 2" xfId="37160" xr:uid="{00000000-0005-0000-0000-0000144B0000}"/>
    <cellStyle name="20% - Accent6 7 2 3 2 5" xfId="25859" xr:uid="{00000000-0005-0000-0000-0000154B0000}"/>
    <cellStyle name="20% - Accent6 7 2 3 3" xfId="4855" xr:uid="{00000000-0005-0000-0000-0000164B0000}"/>
    <cellStyle name="20% - Accent6 7 2 3 3 2" xfId="10505" xr:uid="{00000000-0005-0000-0000-0000174B0000}"/>
    <cellStyle name="20% - Accent6 7 2 3 3 2 2" xfId="21806" xr:uid="{00000000-0005-0000-0000-0000184B0000}"/>
    <cellStyle name="20% - Accent6 7 2 3 3 2 2 2" xfId="44408" xr:uid="{00000000-0005-0000-0000-0000194B0000}"/>
    <cellStyle name="20% - Accent6 7 2 3 3 2 3" xfId="33107" xr:uid="{00000000-0005-0000-0000-00001A4B0000}"/>
    <cellStyle name="20% - Accent6 7 2 3 3 3" xfId="16156" xr:uid="{00000000-0005-0000-0000-00001B4B0000}"/>
    <cellStyle name="20% - Accent6 7 2 3 3 3 2" xfId="38758" xr:uid="{00000000-0005-0000-0000-00001C4B0000}"/>
    <cellStyle name="20% - Accent6 7 2 3 3 4" xfId="27457" xr:uid="{00000000-0005-0000-0000-00001D4B0000}"/>
    <cellStyle name="20% - Accent6 7 2 3 4" xfId="7042" xr:uid="{00000000-0005-0000-0000-00001E4B0000}"/>
    <cellStyle name="20% - Accent6 7 2 3 4 2" xfId="18343" xr:uid="{00000000-0005-0000-0000-00001F4B0000}"/>
    <cellStyle name="20% - Accent6 7 2 3 4 2 2" xfId="40945" xr:uid="{00000000-0005-0000-0000-0000204B0000}"/>
    <cellStyle name="20% - Accent6 7 2 3 4 3" xfId="29644" xr:uid="{00000000-0005-0000-0000-0000214B0000}"/>
    <cellStyle name="20% - Accent6 7 2 3 5" xfId="12693" xr:uid="{00000000-0005-0000-0000-0000224B0000}"/>
    <cellStyle name="20% - Accent6 7 2 3 5 2" xfId="35295" xr:uid="{00000000-0005-0000-0000-0000234B0000}"/>
    <cellStyle name="20% - Accent6 7 2 3 6" xfId="23994" xr:uid="{00000000-0005-0000-0000-0000244B0000}"/>
    <cellStyle name="20% - Accent6 7 2 4" xfId="1804" xr:uid="{00000000-0005-0000-0000-0000254B0000}"/>
    <cellStyle name="20% - Accent6 7 2 4 2" xfId="3701" xr:uid="{00000000-0005-0000-0000-0000264B0000}"/>
    <cellStyle name="20% - Accent6 7 2 4 2 2" xfId="9412" xr:uid="{00000000-0005-0000-0000-0000274B0000}"/>
    <cellStyle name="20% - Accent6 7 2 4 2 2 2" xfId="20713" xr:uid="{00000000-0005-0000-0000-0000284B0000}"/>
    <cellStyle name="20% - Accent6 7 2 4 2 2 2 2" xfId="43315" xr:uid="{00000000-0005-0000-0000-0000294B0000}"/>
    <cellStyle name="20% - Accent6 7 2 4 2 2 3" xfId="32014" xr:uid="{00000000-0005-0000-0000-00002A4B0000}"/>
    <cellStyle name="20% - Accent6 7 2 4 2 3" xfId="15063" xr:uid="{00000000-0005-0000-0000-00002B4B0000}"/>
    <cellStyle name="20% - Accent6 7 2 4 2 3 2" xfId="37665" xr:uid="{00000000-0005-0000-0000-00002C4B0000}"/>
    <cellStyle name="20% - Accent6 7 2 4 2 4" xfId="26364" xr:uid="{00000000-0005-0000-0000-00002D4B0000}"/>
    <cellStyle name="20% - Accent6 7 2 4 3" xfId="5465" xr:uid="{00000000-0005-0000-0000-00002E4B0000}"/>
    <cellStyle name="20% - Accent6 7 2 4 3 2" xfId="11115" xr:uid="{00000000-0005-0000-0000-00002F4B0000}"/>
    <cellStyle name="20% - Accent6 7 2 4 3 2 2" xfId="22416" xr:uid="{00000000-0005-0000-0000-0000304B0000}"/>
    <cellStyle name="20% - Accent6 7 2 4 3 2 2 2" xfId="45018" xr:uid="{00000000-0005-0000-0000-0000314B0000}"/>
    <cellStyle name="20% - Accent6 7 2 4 3 2 3" xfId="33717" xr:uid="{00000000-0005-0000-0000-0000324B0000}"/>
    <cellStyle name="20% - Accent6 7 2 4 3 3" xfId="16766" xr:uid="{00000000-0005-0000-0000-0000334B0000}"/>
    <cellStyle name="20% - Accent6 7 2 4 3 3 2" xfId="39368" xr:uid="{00000000-0005-0000-0000-0000344B0000}"/>
    <cellStyle name="20% - Accent6 7 2 4 3 4" xfId="28067" xr:uid="{00000000-0005-0000-0000-0000354B0000}"/>
    <cellStyle name="20% - Accent6 7 2 4 4" xfId="7660" xr:uid="{00000000-0005-0000-0000-0000364B0000}"/>
    <cellStyle name="20% - Accent6 7 2 4 4 2" xfId="18961" xr:uid="{00000000-0005-0000-0000-0000374B0000}"/>
    <cellStyle name="20% - Accent6 7 2 4 4 2 2" xfId="41563" xr:uid="{00000000-0005-0000-0000-0000384B0000}"/>
    <cellStyle name="20% - Accent6 7 2 4 4 3" xfId="30262" xr:uid="{00000000-0005-0000-0000-0000394B0000}"/>
    <cellStyle name="20% - Accent6 7 2 4 5" xfId="13311" xr:uid="{00000000-0005-0000-0000-00003A4B0000}"/>
    <cellStyle name="20% - Accent6 7 2 4 5 2" xfId="35913" xr:uid="{00000000-0005-0000-0000-00003B4B0000}"/>
    <cellStyle name="20% - Accent6 7 2 4 6" xfId="24612" xr:uid="{00000000-0005-0000-0000-00003C4B0000}"/>
    <cellStyle name="20% - Accent6 7 2 5" xfId="2446" xr:uid="{00000000-0005-0000-0000-00003D4B0000}"/>
    <cellStyle name="20% - Accent6 7 2 5 2" xfId="8282" xr:uid="{00000000-0005-0000-0000-00003E4B0000}"/>
    <cellStyle name="20% - Accent6 7 2 5 2 2" xfId="19583" xr:uid="{00000000-0005-0000-0000-00003F4B0000}"/>
    <cellStyle name="20% - Accent6 7 2 5 2 2 2" xfId="42185" xr:uid="{00000000-0005-0000-0000-0000404B0000}"/>
    <cellStyle name="20% - Accent6 7 2 5 2 3" xfId="30884" xr:uid="{00000000-0005-0000-0000-0000414B0000}"/>
    <cellStyle name="20% - Accent6 7 2 5 3" xfId="13933" xr:uid="{00000000-0005-0000-0000-0000424B0000}"/>
    <cellStyle name="20% - Accent6 7 2 5 3 2" xfId="36535" xr:uid="{00000000-0005-0000-0000-0000434B0000}"/>
    <cellStyle name="20% - Accent6 7 2 5 4" xfId="25234" xr:uid="{00000000-0005-0000-0000-0000444B0000}"/>
    <cellStyle name="20% - Accent6 7 2 6" xfId="4231" xr:uid="{00000000-0005-0000-0000-0000454B0000}"/>
    <cellStyle name="20% - Accent6 7 2 6 2" xfId="9881" xr:uid="{00000000-0005-0000-0000-0000464B0000}"/>
    <cellStyle name="20% - Accent6 7 2 6 2 2" xfId="21182" xr:uid="{00000000-0005-0000-0000-0000474B0000}"/>
    <cellStyle name="20% - Accent6 7 2 6 2 2 2" xfId="43784" xr:uid="{00000000-0005-0000-0000-0000484B0000}"/>
    <cellStyle name="20% - Accent6 7 2 6 2 3" xfId="32483" xr:uid="{00000000-0005-0000-0000-0000494B0000}"/>
    <cellStyle name="20% - Accent6 7 2 6 3" xfId="15532" xr:uid="{00000000-0005-0000-0000-00004A4B0000}"/>
    <cellStyle name="20% - Accent6 7 2 6 3 2" xfId="38134" xr:uid="{00000000-0005-0000-0000-00004B4B0000}"/>
    <cellStyle name="20% - Accent6 7 2 6 4" xfId="26833" xr:uid="{00000000-0005-0000-0000-00004C4B0000}"/>
    <cellStyle name="20% - Accent6 7 2 7" xfId="6711" xr:uid="{00000000-0005-0000-0000-00004D4B0000}"/>
    <cellStyle name="20% - Accent6 7 2 7 2" xfId="18012" xr:uid="{00000000-0005-0000-0000-00004E4B0000}"/>
    <cellStyle name="20% - Accent6 7 2 7 2 2" xfId="40614" xr:uid="{00000000-0005-0000-0000-00004F4B0000}"/>
    <cellStyle name="20% - Accent6 7 2 7 3" xfId="29313" xr:uid="{00000000-0005-0000-0000-0000504B0000}"/>
    <cellStyle name="20% - Accent6 7 2 8" xfId="12362" xr:uid="{00000000-0005-0000-0000-0000514B0000}"/>
    <cellStyle name="20% - Accent6 7 2 8 2" xfId="34964" xr:uid="{00000000-0005-0000-0000-0000524B0000}"/>
    <cellStyle name="20% - Accent6 7 2 9" xfId="23663" xr:uid="{00000000-0005-0000-0000-0000534B0000}"/>
    <cellStyle name="20% - Accent6 7 3" xfId="1218" xr:uid="{00000000-0005-0000-0000-0000544B0000}"/>
    <cellStyle name="20% - Accent6 7 3 2" xfId="1806" xr:uid="{00000000-0005-0000-0000-0000554B0000}"/>
    <cellStyle name="20% - Accent6 7 3 2 2" xfId="3286" xr:uid="{00000000-0005-0000-0000-0000564B0000}"/>
    <cellStyle name="20% - Accent6 7 3 2 2 2" xfId="6258" xr:uid="{00000000-0005-0000-0000-0000574B0000}"/>
    <cellStyle name="20% - Accent6 7 3 2 2 2 2" xfId="11908" xr:uid="{00000000-0005-0000-0000-0000584B0000}"/>
    <cellStyle name="20% - Accent6 7 3 2 2 2 2 2" xfId="23209" xr:uid="{00000000-0005-0000-0000-0000594B0000}"/>
    <cellStyle name="20% - Accent6 7 3 2 2 2 2 2 2" xfId="45811" xr:uid="{00000000-0005-0000-0000-00005A4B0000}"/>
    <cellStyle name="20% - Accent6 7 3 2 2 2 2 3" xfId="34510" xr:uid="{00000000-0005-0000-0000-00005B4B0000}"/>
    <cellStyle name="20% - Accent6 7 3 2 2 2 3" xfId="17559" xr:uid="{00000000-0005-0000-0000-00005C4B0000}"/>
    <cellStyle name="20% - Accent6 7 3 2 2 2 3 2" xfId="40161" xr:uid="{00000000-0005-0000-0000-00005D4B0000}"/>
    <cellStyle name="20% - Accent6 7 3 2 2 2 4" xfId="28860" xr:uid="{00000000-0005-0000-0000-00005E4B0000}"/>
    <cellStyle name="20% - Accent6 7 3 2 2 3" xfId="9076" xr:uid="{00000000-0005-0000-0000-00005F4B0000}"/>
    <cellStyle name="20% - Accent6 7 3 2 2 3 2" xfId="20377" xr:uid="{00000000-0005-0000-0000-0000604B0000}"/>
    <cellStyle name="20% - Accent6 7 3 2 2 3 2 2" xfId="42979" xr:uid="{00000000-0005-0000-0000-0000614B0000}"/>
    <cellStyle name="20% - Accent6 7 3 2 2 3 3" xfId="31678" xr:uid="{00000000-0005-0000-0000-0000624B0000}"/>
    <cellStyle name="20% - Accent6 7 3 2 2 4" xfId="14727" xr:uid="{00000000-0005-0000-0000-0000634B0000}"/>
    <cellStyle name="20% - Accent6 7 3 2 2 4 2" xfId="37329" xr:uid="{00000000-0005-0000-0000-0000644B0000}"/>
    <cellStyle name="20% - Accent6 7 3 2 2 5" xfId="26028" xr:uid="{00000000-0005-0000-0000-0000654B0000}"/>
    <cellStyle name="20% - Accent6 7 3 2 3" xfId="5024" xr:uid="{00000000-0005-0000-0000-0000664B0000}"/>
    <cellStyle name="20% - Accent6 7 3 2 3 2" xfId="10674" xr:uid="{00000000-0005-0000-0000-0000674B0000}"/>
    <cellStyle name="20% - Accent6 7 3 2 3 2 2" xfId="21975" xr:uid="{00000000-0005-0000-0000-0000684B0000}"/>
    <cellStyle name="20% - Accent6 7 3 2 3 2 2 2" xfId="44577" xr:uid="{00000000-0005-0000-0000-0000694B0000}"/>
    <cellStyle name="20% - Accent6 7 3 2 3 2 3" xfId="33276" xr:uid="{00000000-0005-0000-0000-00006A4B0000}"/>
    <cellStyle name="20% - Accent6 7 3 2 3 3" xfId="16325" xr:uid="{00000000-0005-0000-0000-00006B4B0000}"/>
    <cellStyle name="20% - Accent6 7 3 2 3 3 2" xfId="38927" xr:uid="{00000000-0005-0000-0000-00006C4B0000}"/>
    <cellStyle name="20% - Accent6 7 3 2 3 4" xfId="27626" xr:uid="{00000000-0005-0000-0000-00006D4B0000}"/>
    <cellStyle name="20% - Accent6 7 3 2 4" xfId="7662" xr:uid="{00000000-0005-0000-0000-00006E4B0000}"/>
    <cellStyle name="20% - Accent6 7 3 2 4 2" xfId="18963" xr:uid="{00000000-0005-0000-0000-00006F4B0000}"/>
    <cellStyle name="20% - Accent6 7 3 2 4 2 2" xfId="41565" xr:uid="{00000000-0005-0000-0000-0000704B0000}"/>
    <cellStyle name="20% - Accent6 7 3 2 4 3" xfId="30264" xr:uid="{00000000-0005-0000-0000-0000714B0000}"/>
    <cellStyle name="20% - Accent6 7 3 2 5" xfId="13313" xr:uid="{00000000-0005-0000-0000-0000724B0000}"/>
    <cellStyle name="20% - Accent6 7 3 2 5 2" xfId="35915" xr:uid="{00000000-0005-0000-0000-0000734B0000}"/>
    <cellStyle name="20% - Accent6 7 3 2 6" xfId="24614" xr:uid="{00000000-0005-0000-0000-0000744B0000}"/>
    <cellStyle name="20% - Accent6 7 3 3" xfId="2615" xr:uid="{00000000-0005-0000-0000-0000754B0000}"/>
    <cellStyle name="20% - Accent6 7 3 3 2" xfId="5634" xr:uid="{00000000-0005-0000-0000-0000764B0000}"/>
    <cellStyle name="20% - Accent6 7 3 3 2 2" xfId="11284" xr:uid="{00000000-0005-0000-0000-0000774B0000}"/>
    <cellStyle name="20% - Accent6 7 3 3 2 2 2" xfId="22585" xr:uid="{00000000-0005-0000-0000-0000784B0000}"/>
    <cellStyle name="20% - Accent6 7 3 3 2 2 2 2" xfId="45187" xr:uid="{00000000-0005-0000-0000-0000794B0000}"/>
    <cellStyle name="20% - Accent6 7 3 3 2 2 3" xfId="33886" xr:uid="{00000000-0005-0000-0000-00007A4B0000}"/>
    <cellStyle name="20% - Accent6 7 3 3 2 3" xfId="16935" xr:uid="{00000000-0005-0000-0000-00007B4B0000}"/>
    <cellStyle name="20% - Accent6 7 3 3 2 3 2" xfId="39537" xr:uid="{00000000-0005-0000-0000-00007C4B0000}"/>
    <cellStyle name="20% - Accent6 7 3 3 2 4" xfId="28236" xr:uid="{00000000-0005-0000-0000-00007D4B0000}"/>
    <cellStyle name="20% - Accent6 7 3 3 3" xfId="8451" xr:uid="{00000000-0005-0000-0000-00007E4B0000}"/>
    <cellStyle name="20% - Accent6 7 3 3 3 2" xfId="19752" xr:uid="{00000000-0005-0000-0000-00007F4B0000}"/>
    <cellStyle name="20% - Accent6 7 3 3 3 2 2" xfId="42354" xr:uid="{00000000-0005-0000-0000-0000804B0000}"/>
    <cellStyle name="20% - Accent6 7 3 3 3 3" xfId="31053" xr:uid="{00000000-0005-0000-0000-0000814B0000}"/>
    <cellStyle name="20% - Accent6 7 3 3 4" xfId="14102" xr:uid="{00000000-0005-0000-0000-0000824B0000}"/>
    <cellStyle name="20% - Accent6 7 3 3 4 2" xfId="36704" xr:uid="{00000000-0005-0000-0000-0000834B0000}"/>
    <cellStyle name="20% - Accent6 7 3 3 5" xfId="25403" xr:uid="{00000000-0005-0000-0000-0000844B0000}"/>
    <cellStyle name="20% - Accent6 7 3 4" xfId="4400" xr:uid="{00000000-0005-0000-0000-0000854B0000}"/>
    <cellStyle name="20% - Accent6 7 3 4 2" xfId="10050" xr:uid="{00000000-0005-0000-0000-0000864B0000}"/>
    <cellStyle name="20% - Accent6 7 3 4 2 2" xfId="21351" xr:uid="{00000000-0005-0000-0000-0000874B0000}"/>
    <cellStyle name="20% - Accent6 7 3 4 2 2 2" xfId="43953" xr:uid="{00000000-0005-0000-0000-0000884B0000}"/>
    <cellStyle name="20% - Accent6 7 3 4 2 3" xfId="32652" xr:uid="{00000000-0005-0000-0000-0000894B0000}"/>
    <cellStyle name="20% - Accent6 7 3 4 3" xfId="15701" xr:uid="{00000000-0005-0000-0000-00008A4B0000}"/>
    <cellStyle name="20% - Accent6 7 3 4 3 2" xfId="38303" xr:uid="{00000000-0005-0000-0000-00008B4B0000}"/>
    <cellStyle name="20% - Accent6 7 3 4 4" xfId="27002" xr:uid="{00000000-0005-0000-0000-00008C4B0000}"/>
    <cellStyle name="20% - Accent6 7 3 5" xfId="7197" xr:uid="{00000000-0005-0000-0000-00008D4B0000}"/>
    <cellStyle name="20% - Accent6 7 3 5 2" xfId="18498" xr:uid="{00000000-0005-0000-0000-00008E4B0000}"/>
    <cellStyle name="20% - Accent6 7 3 5 2 2" xfId="41100" xr:uid="{00000000-0005-0000-0000-00008F4B0000}"/>
    <cellStyle name="20% - Accent6 7 3 5 3" xfId="29799" xr:uid="{00000000-0005-0000-0000-0000904B0000}"/>
    <cellStyle name="20% - Accent6 7 3 6" xfId="12848" xr:uid="{00000000-0005-0000-0000-0000914B0000}"/>
    <cellStyle name="20% - Accent6 7 3 6 2" xfId="35450" xr:uid="{00000000-0005-0000-0000-0000924B0000}"/>
    <cellStyle name="20% - Accent6 7 3 7" xfId="24149" xr:uid="{00000000-0005-0000-0000-0000934B0000}"/>
    <cellStyle name="20% - Accent6 7 4" xfId="909" xr:uid="{00000000-0005-0000-0000-0000944B0000}"/>
    <cellStyle name="20% - Accent6 7 4 2" xfId="2979" xr:uid="{00000000-0005-0000-0000-0000954B0000}"/>
    <cellStyle name="20% - Accent6 7 4 2 2" xfId="5951" xr:uid="{00000000-0005-0000-0000-0000964B0000}"/>
    <cellStyle name="20% - Accent6 7 4 2 2 2" xfId="11601" xr:uid="{00000000-0005-0000-0000-0000974B0000}"/>
    <cellStyle name="20% - Accent6 7 4 2 2 2 2" xfId="22902" xr:uid="{00000000-0005-0000-0000-0000984B0000}"/>
    <cellStyle name="20% - Accent6 7 4 2 2 2 2 2" xfId="45504" xr:uid="{00000000-0005-0000-0000-0000994B0000}"/>
    <cellStyle name="20% - Accent6 7 4 2 2 2 3" xfId="34203" xr:uid="{00000000-0005-0000-0000-00009A4B0000}"/>
    <cellStyle name="20% - Accent6 7 4 2 2 3" xfId="17252" xr:uid="{00000000-0005-0000-0000-00009B4B0000}"/>
    <cellStyle name="20% - Accent6 7 4 2 2 3 2" xfId="39854" xr:uid="{00000000-0005-0000-0000-00009C4B0000}"/>
    <cellStyle name="20% - Accent6 7 4 2 2 4" xfId="28553" xr:uid="{00000000-0005-0000-0000-00009D4B0000}"/>
    <cellStyle name="20% - Accent6 7 4 2 3" xfId="8769" xr:uid="{00000000-0005-0000-0000-00009E4B0000}"/>
    <cellStyle name="20% - Accent6 7 4 2 3 2" xfId="20070" xr:uid="{00000000-0005-0000-0000-00009F4B0000}"/>
    <cellStyle name="20% - Accent6 7 4 2 3 2 2" xfId="42672" xr:uid="{00000000-0005-0000-0000-0000A04B0000}"/>
    <cellStyle name="20% - Accent6 7 4 2 3 3" xfId="31371" xr:uid="{00000000-0005-0000-0000-0000A14B0000}"/>
    <cellStyle name="20% - Accent6 7 4 2 4" xfId="14420" xr:uid="{00000000-0005-0000-0000-0000A24B0000}"/>
    <cellStyle name="20% - Accent6 7 4 2 4 2" xfId="37022" xr:uid="{00000000-0005-0000-0000-0000A34B0000}"/>
    <cellStyle name="20% - Accent6 7 4 2 5" xfId="25721" xr:uid="{00000000-0005-0000-0000-0000A44B0000}"/>
    <cellStyle name="20% - Accent6 7 4 3" xfId="4717" xr:uid="{00000000-0005-0000-0000-0000A54B0000}"/>
    <cellStyle name="20% - Accent6 7 4 3 2" xfId="10367" xr:uid="{00000000-0005-0000-0000-0000A64B0000}"/>
    <cellStyle name="20% - Accent6 7 4 3 2 2" xfId="21668" xr:uid="{00000000-0005-0000-0000-0000A74B0000}"/>
    <cellStyle name="20% - Accent6 7 4 3 2 2 2" xfId="44270" xr:uid="{00000000-0005-0000-0000-0000A84B0000}"/>
    <cellStyle name="20% - Accent6 7 4 3 2 3" xfId="32969" xr:uid="{00000000-0005-0000-0000-0000A94B0000}"/>
    <cellStyle name="20% - Accent6 7 4 3 3" xfId="16018" xr:uid="{00000000-0005-0000-0000-0000AA4B0000}"/>
    <cellStyle name="20% - Accent6 7 4 3 3 2" xfId="38620" xr:uid="{00000000-0005-0000-0000-0000AB4B0000}"/>
    <cellStyle name="20% - Accent6 7 4 3 4" xfId="27319" xr:uid="{00000000-0005-0000-0000-0000AC4B0000}"/>
    <cellStyle name="20% - Accent6 7 4 4" xfId="6904" xr:uid="{00000000-0005-0000-0000-0000AD4B0000}"/>
    <cellStyle name="20% - Accent6 7 4 4 2" xfId="18205" xr:uid="{00000000-0005-0000-0000-0000AE4B0000}"/>
    <cellStyle name="20% - Accent6 7 4 4 2 2" xfId="40807" xr:uid="{00000000-0005-0000-0000-0000AF4B0000}"/>
    <cellStyle name="20% - Accent6 7 4 4 3" xfId="29506" xr:uid="{00000000-0005-0000-0000-0000B04B0000}"/>
    <cellStyle name="20% - Accent6 7 4 5" xfId="12555" xr:uid="{00000000-0005-0000-0000-0000B14B0000}"/>
    <cellStyle name="20% - Accent6 7 4 5 2" xfId="35157" xr:uid="{00000000-0005-0000-0000-0000B24B0000}"/>
    <cellStyle name="20% - Accent6 7 4 6" xfId="23856" xr:uid="{00000000-0005-0000-0000-0000B34B0000}"/>
    <cellStyle name="20% - Accent6 7 5" xfId="1803" xr:uid="{00000000-0005-0000-0000-0000B44B0000}"/>
    <cellStyle name="20% - Accent6 7 5 2" xfId="3700" xr:uid="{00000000-0005-0000-0000-0000B54B0000}"/>
    <cellStyle name="20% - Accent6 7 5 2 2" xfId="9411" xr:uid="{00000000-0005-0000-0000-0000B64B0000}"/>
    <cellStyle name="20% - Accent6 7 5 2 2 2" xfId="20712" xr:uid="{00000000-0005-0000-0000-0000B74B0000}"/>
    <cellStyle name="20% - Accent6 7 5 2 2 2 2" xfId="43314" xr:uid="{00000000-0005-0000-0000-0000B84B0000}"/>
    <cellStyle name="20% - Accent6 7 5 2 2 3" xfId="32013" xr:uid="{00000000-0005-0000-0000-0000B94B0000}"/>
    <cellStyle name="20% - Accent6 7 5 2 3" xfId="15062" xr:uid="{00000000-0005-0000-0000-0000BA4B0000}"/>
    <cellStyle name="20% - Accent6 7 5 2 3 2" xfId="37664" xr:uid="{00000000-0005-0000-0000-0000BB4B0000}"/>
    <cellStyle name="20% - Accent6 7 5 2 4" xfId="26363" xr:uid="{00000000-0005-0000-0000-0000BC4B0000}"/>
    <cellStyle name="20% - Accent6 7 5 3" xfId="5327" xr:uid="{00000000-0005-0000-0000-0000BD4B0000}"/>
    <cellStyle name="20% - Accent6 7 5 3 2" xfId="10977" xr:uid="{00000000-0005-0000-0000-0000BE4B0000}"/>
    <cellStyle name="20% - Accent6 7 5 3 2 2" xfId="22278" xr:uid="{00000000-0005-0000-0000-0000BF4B0000}"/>
    <cellStyle name="20% - Accent6 7 5 3 2 2 2" xfId="44880" xr:uid="{00000000-0005-0000-0000-0000C04B0000}"/>
    <cellStyle name="20% - Accent6 7 5 3 2 3" xfId="33579" xr:uid="{00000000-0005-0000-0000-0000C14B0000}"/>
    <cellStyle name="20% - Accent6 7 5 3 3" xfId="16628" xr:uid="{00000000-0005-0000-0000-0000C24B0000}"/>
    <cellStyle name="20% - Accent6 7 5 3 3 2" xfId="39230" xr:uid="{00000000-0005-0000-0000-0000C34B0000}"/>
    <cellStyle name="20% - Accent6 7 5 3 4" xfId="27929" xr:uid="{00000000-0005-0000-0000-0000C44B0000}"/>
    <cellStyle name="20% - Accent6 7 5 4" xfId="7659" xr:uid="{00000000-0005-0000-0000-0000C54B0000}"/>
    <cellStyle name="20% - Accent6 7 5 4 2" xfId="18960" xr:uid="{00000000-0005-0000-0000-0000C64B0000}"/>
    <cellStyle name="20% - Accent6 7 5 4 2 2" xfId="41562" xr:uid="{00000000-0005-0000-0000-0000C74B0000}"/>
    <cellStyle name="20% - Accent6 7 5 4 3" xfId="30261" xr:uid="{00000000-0005-0000-0000-0000C84B0000}"/>
    <cellStyle name="20% - Accent6 7 5 5" xfId="13310" xr:uid="{00000000-0005-0000-0000-0000C94B0000}"/>
    <cellStyle name="20% - Accent6 7 5 5 2" xfId="35912" xr:uid="{00000000-0005-0000-0000-0000CA4B0000}"/>
    <cellStyle name="20% - Accent6 7 5 6" xfId="24611" xr:uid="{00000000-0005-0000-0000-0000CB4B0000}"/>
    <cellStyle name="20% - Accent6 7 6" xfId="2306" xr:uid="{00000000-0005-0000-0000-0000CC4B0000}"/>
    <cellStyle name="20% - Accent6 7 6 2" xfId="8142" xr:uid="{00000000-0005-0000-0000-0000CD4B0000}"/>
    <cellStyle name="20% - Accent6 7 6 2 2" xfId="19443" xr:uid="{00000000-0005-0000-0000-0000CE4B0000}"/>
    <cellStyle name="20% - Accent6 7 6 2 2 2" xfId="42045" xr:uid="{00000000-0005-0000-0000-0000CF4B0000}"/>
    <cellStyle name="20% - Accent6 7 6 2 3" xfId="30744" xr:uid="{00000000-0005-0000-0000-0000D04B0000}"/>
    <cellStyle name="20% - Accent6 7 6 3" xfId="13793" xr:uid="{00000000-0005-0000-0000-0000D14B0000}"/>
    <cellStyle name="20% - Accent6 7 6 3 2" xfId="36395" xr:uid="{00000000-0005-0000-0000-0000D24B0000}"/>
    <cellStyle name="20% - Accent6 7 6 4" xfId="25094" xr:uid="{00000000-0005-0000-0000-0000D34B0000}"/>
    <cellStyle name="20% - Accent6 7 7" xfId="4093" xr:uid="{00000000-0005-0000-0000-0000D44B0000}"/>
    <cellStyle name="20% - Accent6 7 7 2" xfId="9743" xr:uid="{00000000-0005-0000-0000-0000D54B0000}"/>
    <cellStyle name="20% - Accent6 7 7 2 2" xfId="21044" xr:uid="{00000000-0005-0000-0000-0000D64B0000}"/>
    <cellStyle name="20% - Accent6 7 7 2 2 2" xfId="43646" xr:uid="{00000000-0005-0000-0000-0000D74B0000}"/>
    <cellStyle name="20% - Accent6 7 7 2 3" xfId="32345" xr:uid="{00000000-0005-0000-0000-0000D84B0000}"/>
    <cellStyle name="20% - Accent6 7 7 3" xfId="15394" xr:uid="{00000000-0005-0000-0000-0000D94B0000}"/>
    <cellStyle name="20% - Accent6 7 7 3 2" xfId="37996" xr:uid="{00000000-0005-0000-0000-0000DA4B0000}"/>
    <cellStyle name="20% - Accent6 7 7 4" xfId="26695" xr:uid="{00000000-0005-0000-0000-0000DB4B0000}"/>
    <cellStyle name="20% - Accent6 7 8" xfId="6544" xr:uid="{00000000-0005-0000-0000-0000DC4B0000}"/>
    <cellStyle name="20% - Accent6 7 8 2" xfId="17845" xr:uid="{00000000-0005-0000-0000-0000DD4B0000}"/>
    <cellStyle name="20% - Accent6 7 8 2 2" xfId="40447" xr:uid="{00000000-0005-0000-0000-0000DE4B0000}"/>
    <cellStyle name="20% - Accent6 7 8 3" xfId="29146" xr:uid="{00000000-0005-0000-0000-0000DF4B0000}"/>
    <cellStyle name="20% - Accent6 7 9" xfId="12195" xr:uid="{00000000-0005-0000-0000-0000E04B0000}"/>
    <cellStyle name="20% - Accent6 7 9 2" xfId="34797" xr:uid="{00000000-0005-0000-0000-0000E14B0000}"/>
    <cellStyle name="20% - Accent6 8" xfId="504" xr:uid="{00000000-0005-0000-0000-0000E24B0000}"/>
    <cellStyle name="20% - Accent6 8 2" xfId="1275" xr:uid="{00000000-0005-0000-0000-0000E34B0000}"/>
    <cellStyle name="20% - Accent6 8 2 2" xfId="1808" xr:uid="{00000000-0005-0000-0000-0000E44B0000}"/>
    <cellStyle name="20% - Accent6 8 2 2 2" xfId="3344" xr:uid="{00000000-0005-0000-0000-0000E54B0000}"/>
    <cellStyle name="20% - Accent6 8 2 2 2 2" xfId="6316" xr:uid="{00000000-0005-0000-0000-0000E64B0000}"/>
    <cellStyle name="20% - Accent6 8 2 2 2 2 2" xfId="11966" xr:uid="{00000000-0005-0000-0000-0000E74B0000}"/>
    <cellStyle name="20% - Accent6 8 2 2 2 2 2 2" xfId="23267" xr:uid="{00000000-0005-0000-0000-0000E84B0000}"/>
    <cellStyle name="20% - Accent6 8 2 2 2 2 2 2 2" xfId="45869" xr:uid="{00000000-0005-0000-0000-0000E94B0000}"/>
    <cellStyle name="20% - Accent6 8 2 2 2 2 2 3" xfId="34568" xr:uid="{00000000-0005-0000-0000-0000EA4B0000}"/>
    <cellStyle name="20% - Accent6 8 2 2 2 2 3" xfId="17617" xr:uid="{00000000-0005-0000-0000-0000EB4B0000}"/>
    <cellStyle name="20% - Accent6 8 2 2 2 2 3 2" xfId="40219" xr:uid="{00000000-0005-0000-0000-0000EC4B0000}"/>
    <cellStyle name="20% - Accent6 8 2 2 2 2 4" xfId="28918" xr:uid="{00000000-0005-0000-0000-0000ED4B0000}"/>
    <cellStyle name="20% - Accent6 8 2 2 2 3" xfId="9134" xr:uid="{00000000-0005-0000-0000-0000EE4B0000}"/>
    <cellStyle name="20% - Accent6 8 2 2 2 3 2" xfId="20435" xr:uid="{00000000-0005-0000-0000-0000EF4B0000}"/>
    <cellStyle name="20% - Accent6 8 2 2 2 3 2 2" xfId="43037" xr:uid="{00000000-0005-0000-0000-0000F04B0000}"/>
    <cellStyle name="20% - Accent6 8 2 2 2 3 3" xfId="31736" xr:uid="{00000000-0005-0000-0000-0000F14B0000}"/>
    <cellStyle name="20% - Accent6 8 2 2 2 4" xfId="14785" xr:uid="{00000000-0005-0000-0000-0000F24B0000}"/>
    <cellStyle name="20% - Accent6 8 2 2 2 4 2" xfId="37387" xr:uid="{00000000-0005-0000-0000-0000F34B0000}"/>
    <cellStyle name="20% - Accent6 8 2 2 2 5" xfId="26086" xr:uid="{00000000-0005-0000-0000-0000F44B0000}"/>
    <cellStyle name="20% - Accent6 8 2 2 3" xfId="5082" xr:uid="{00000000-0005-0000-0000-0000F54B0000}"/>
    <cellStyle name="20% - Accent6 8 2 2 3 2" xfId="10732" xr:uid="{00000000-0005-0000-0000-0000F64B0000}"/>
    <cellStyle name="20% - Accent6 8 2 2 3 2 2" xfId="22033" xr:uid="{00000000-0005-0000-0000-0000F74B0000}"/>
    <cellStyle name="20% - Accent6 8 2 2 3 2 2 2" xfId="44635" xr:uid="{00000000-0005-0000-0000-0000F84B0000}"/>
    <cellStyle name="20% - Accent6 8 2 2 3 2 3" xfId="33334" xr:uid="{00000000-0005-0000-0000-0000F94B0000}"/>
    <cellStyle name="20% - Accent6 8 2 2 3 3" xfId="16383" xr:uid="{00000000-0005-0000-0000-0000FA4B0000}"/>
    <cellStyle name="20% - Accent6 8 2 2 3 3 2" xfId="38985" xr:uid="{00000000-0005-0000-0000-0000FB4B0000}"/>
    <cellStyle name="20% - Accent6 8 2 2 3 4" xfId="27684" xr:uid="{00000000-0005-0000-0000-0000FC4B0000}"/>
    <cellStyle name="20% - Accent6 8 2 2 4" xfId="7664" xr:uid="{00000000-0005-0000-0000-0000FD4B0000}"/>
    <cellStyle name="20% - Accent6 8 2 2 4 2" xfId="18965" xr:uid="{00000000-0005-0000-0000-0000FE4B0000}"/>
    <cellStyle name="20% - Accent6 8 2 2 4 2 2" xfId="41567" xr:uid="{00000000-0005-0000-0000-0000FF4B0000}"/>
    <cellStyle name="20% - Accent6 8 2 2 4 3" xfId="30266" xr:uid="{00000000-0005-0000-0000-0000004C0000}"/>
    <cellStyle name="20% - Accent6 8 2 2 5" xfId="13315" xr:uid="{00000000-0005-0000-0000-0000014C0000}"/>
    <cellStyle name="20% - Accent6 8 2 2 5 2" xfId="35917" xr:uid="{00000000-0005-0000-0000-0000024C0000}"/>
    <cellStyle name="20% - Accent6 8 2 2 6" xfId="24616" xr:uid="{00000000-0005-0000-0000-0000034C0000}"/>
    <cellStyle name="20% - Accent6 8 2 3" xfId="2673" xr:uid="{00000000-0005-0000-0000-0000044C0000}"/>
    <cellStyle name="20% - Accent6 8 2 3 2" xfId="5692" xr:uid="{00000000-0005-0000-0000-0000054C0000}"/>
    <cellStyle name="20% - Accent6 8 2 3 2 2" xfId="11342" xr:uid="{00000000-0005-0000-0000-0000064C0000}"/>
    <cellStyle name="20% - Accent6 8 2 3 2 2 2" xfId="22643" xr:uid="{00000000-0005-0000-0000-0000074C0000}"/>
    <cellStyle name="20% - Accent6 8 2 3 2 2 2 2" xfId="45245" xr:uid="{00000000-0005-0000-0000-0000084C0000}"/>
    <cellStyle name="20% - Accent6 8 2 3 2 2 3" xfId="33944" xr:uid="{00000000-0005-0000-0000-0000094C0000}"/>
    <cellStyle name="20% - Accent6 8 2 3 2 3" xfId="16993" xr:uid="{00000000-0005-0000-0000-00000A4C0000}"/>
    <cellStyle name="20% - Accent6 8 2 3 2 3 2" xfId="39595" xr:uid="{00000000-0005-0000-0000-00000B4C0000}"/>
    <cellStyle name="20% - Accent6 8 2 3 2 4" xfId="28294" xr:uid="{00000000-0005-0000-0000-00000C4C0000}"/>
    <cellStyle name="20% - Accent6 8 2 3 3" xfId="8509" xr:uid="{00000000-0005-0000-0000-00000D4C0000}"/>
    <cellStyle name="20% - Accent6 8 2 3 3 2" xfId="19810" xr:uid="{00000000-0005-0000-0000-00000E4C0000}"/>
    <cellStyle name="20% - Accent6 8 2 3 3 2 2" xfId="42412" xr:uid="{00000000-0005-0000-0000-00000F4C0000}"/>
    <cellStyle name="20% - Accent6 8 2 3 3 3" xfId="31111" xr:uid="{00000000-0005-0000-0000-0000104C0000}"/>
    <cellStyle name="20% - Accent6 8 2 3 4" xfId="14160" xr:uid="{00000000-0005-0000-0000-0000114C0000}"/>
    <cellStyle name="20% - Accent6 8 2 3 4 2" xfId="36762" xr:uid="{00000000-0005-0000-0000-0000124C0000}"/>
    <cellStyle name="20% - Accent6 8 2 3 5" xfId="25461" xr:uid="{00000000-0005-0000-0000-0000134C0000}"/>
    <cellStyle name="20% - Accent6 8 2 4" xfId="4458" xr:uid="{00000000-0005-0000-0000-0000144C0000}"/>
    <cellStyle name="20% - Accent6 8 2 4 2" xfId="10108" xr:uid="{00000000-0005-0000-0000-0000154C0000}"/>
    <cellStyle name="20% - Accent6 8 2 4 2 2" xfId="21409" xr:uid="{00000000-0005-0000-0000-0000164C0000}"/>
    <cellStyle name="20% - Accent6 8 2 4 2 2 2" xfId="44011" xr:uid="{00000000-0005-0000-0000-0000174C0000}"/>
    <cellStyle name="20% - Accent6 8 2 4 2 3" xfId="32710" xr:uid="{00000000-0005-0000-0000-0000184C0000}"/>
    <cellStyle name="20% - Accent6 8 2 4 3" xfId="15759" xr:uid="{00000000-0005-0000-0000-0000194C0000}"/>
    <cellStyle name="20% - Accent6 8 2 4 3 2" xfId="38361" xr:uid="{00000000-0005-0000-0000-00001A4C0000}"/>
    <cellStyle name="20% - Accent6 8 2 4 4" xfId="27060" xr:uid="{00000000-0005-0000-0000-00001B4C0000}"/>
    <cellStyle name="20% - Accent6 8 2 5" xfId="7254" xr:uid="{00000000-0005-0000-0000-00001C4C0000}"/>
    <cellStyle name="20% - Accent6 8 2 5 2" xfId="18555" xr:uid="{00000000-0005-0000-0000-00001D4C0000}"/>
    <cellStyle name="20% - Accent6 8 2 5 2 2" xfId="41157" xr:uid="{00000000-0005-0000-0000-00001E4C0000}"/>
    <cellStyle name="20% - Accent6 8 2 5 3" xfId="29856" xr:uid="{00000000-0005-0000-0000-00001F4C0000}"/>
    <cellStyle name="20% - Accent6 8 2 6" xfId="12905" xr:uid="{00000000-0005-0000-0000-0000204C0000}"/>
    <cellStyle name="20% - Accent6 8 2 6 2" xfId="35507" xr:uid="{00000000-0005-0000-0000-0000214C0000}"/>
    <cellStyle name="20% - Accent6 8 2 7" xfId="24206" xr:uid="{00000000-0005-0000-0000-0000224C0000}"/>
    <cellStyle name="20% - Accent6 8 3" xfId="972" xr:uid="{00000000-0005-0000-0000-0000234C0000}"/>
    <cellStyle name="20% - Accent6 8 3 2" xfId="3036" xr:uid="{00000000-0005-0000-0000-0000244C0000}"/>
    <cellStyle name="20% - Accent6 8 3 2 2" xfId="6008" xr:uid="{00000000-0005-0000-0000-0000254C0000}"/>
    <cellStyle name="20% - Accent6 8 3 2 2 2" xfId="11658" xr:uid="{00000000-0005-0000-0000-0000264C0000}"/>
    <cellStyle name="20% - Accent6 8 3 2 2 2 2" xfId="22959" xr:uid="{00000000-0005-0000-0000-0000274C0000}"/>
    <cellStyle name="20% - Accent6 8 3 2 2 2 2 2" xfId="45561" xr:uid="{00000000-0005-0000-0000-0000284C0000}"/>
    <cellStyle name="20% - Accent6 8 3 2 2 2 3" xfId="34260" xr:uid="{00000000-0005-0000-0000-0000294C0000}"/>
    <cellStyle name="20% - Accent6 8 3 2 2 3" xfId="17309" xr:uid="{00000000-0005-0000-0000-00002A4C0000}"/>
    <cellStyle name="20% - Accent6 8 3 2 2 3 2" xfId="39911" xr:uid="{00000000-0005-0000-0000-00002B4C0000}"/>
    <cellStyle name="20% - Accent6 8 3 2 2 4" xfId="28610" xr:uid="{00000000-0005-0000-0000-00002C4C0000}"/>
    <cellStyle name="20% - Accent6 8 3 2 3" xfId="8826" xr:uid="{00000000-0005-0000-0000-00002D4C0000}"/>
    <cellStyle name="20% - Accent6 8 3 2 3 2" xfId="20127" xr:uid="{00000000-0005-0000-0000-00002E4C0000}"/>
    <cellStyle name="20% - Accent6 8 3 2 3 2 2" xfId="42729" xr:uid="{00000000-0005-0000-0000-00002F4C0000}"/>
    <cellStyle name="20% - Accent6 8 3 2 3 3" xfId="31428" xr:uid="{00000000-0005-0000-0000-0000304C0000}"/>
    <cellStyle name="20% - Accent6 8 3 2 4" xfId="14477" xr:uid="{00000000-0005-0000-0000-0000314C0000}"/>
    <cellStyle name="20% - Accent6 8 3 2 4 2" xfId="37079" xr:uid="{00000000-0005-0000-0000-0000324C0000}"/>
    <cellStyle name="20% - Accent6 8 3 2 5" xfId="25778" xr:uid="{00000000-0005-0000-0000-0000334C0000}"/>
    <cellStyle name="20% - Accent6 8 3 3" xfId="4774" xr:uid="{00000000-0005-0000-0000-0000344C0000}"/>
    <cellStyle name="20% - Accent6 8 3 3 2" xfId="10424" xr:uid="{00000000-0005-0000-0000-0000354C0000}"/>
    <cellStyle name="20% - Accent6 8 3 3 2 2" xfId="21725" xr:uid="{00000000-0005-0000-0000-0000364C0000}"/>
    <cellStyle name="20% - Accent6 8 3 3 2 2 2" xfId="44327" xr:uid="{00000000-0005-0000-0000-0000374C0000}"/>
    <cellStyle name="20% - Accent6 8 3 3 2 3" xfId="33026" xr:uid="{00000000-0005-0000-0000-0000384C0000}"/>
    <cellStyle name="20% - Accent6 8 3 3 3" xfId="16075" xr:uid="{00000000-0005-0000-0000-0000394C0000}"/>
    <cellStyle name="20% - Accent6 8 3 3 3 2" xfId="38677" xr:uid="{00000000-0005-0000-0000-00003A4C0000}"/>
    <cellStyle name="20% - Accent6 8 3 3 4" xfId="27376" xr:uid="{00000000-0005-0000-0000-00003B4C0000}"/>
    <cellStyle name="20% - Accent6 8 3 4" xfId="6961" xr:uid="{00000000-0005-0000-0000-00003C4C0000}"/>
    <cellStyle name="20% - Accent6 8 3 4 2" xfId="18262" xr:uid="{00000000-0005-0000-0000-00003D4C0000}"/>
    <cellStyle name="20% - Accent6 8 3 4 2 2" xfId="40864" xr:uid="{00000000-0005-0000-0000-00003E4C0000}"/>
    <cellStyle name="20% - Accent6 8 3 4 3" xfId="29563" xr:uid="{00000000-0005-0000-0000-00003F4C0000}"/>
    <cellStyle name="20% - Accent6 8 3 5" xfId="12612" xr:uid="{00000000-0005-0000-0000-0000404C0000}"/>
    <cellStyle name="20% - Accent6 8 3 5 2" xfId="35214" xr:uid="{00000000-0005-0000-0000-0000414C0000}"/>
    <cellStyle name="20% - Accent6 8 3 6" xfId="23913" xr:uid="{00000000-0005-0000-0000-0000424C0000}"/>
    <cellStyle name="20% - Accent6 8 4" xfId="1807" xr:uid="{00000000-0005-0000-0000-0000434C0000}"/>
    <cellStyle name="20% - Accent6 8 4 2" xfId="3702" xr:uid="{00000000-0005-0000-0000-0000444C0000}"/>
    <cellStyle name="20% - Accent6 8 4 2 2" xfId="9413" xr:uid="{00000000-0005-0000-0000-0000454C0000}"/>
    <cellStyle name="20% - Accent6 8 4 2 2 2" xfId="20714" xr:uid="{00000000-0005-0000-0000-0000464C0000}"/>
    <cellStyle name="20% - Accent6 8 4 2 2 2 2" xfId="43316" xr:uid="{00000000-0005-0000-0000-0000474C0000}"/>
    <cellStyle name="20% - Accent6 8 4 2 2 3" xfId="32015" xr:uid="{00000000-0005-0000-0000-0000484C0000}"/>
    <cellStyle name="20% - Accent6 8 4 2 3" xfId="15064" xr:uid="{00000000-0005-0000-0000-0000494C0000}"/>
    <cellStyle name="20% - Accent6 8 4 2 3 2" xfId="37666" xr:uid="{00000000-0005-0000-0000-00004A4C0000}"/>
    <cellStyle name="20% - Accent6 8 4 2 4" xfId="26365" xr:uid="{00000000-0005-0000-0000-00004B4C0000}"/>
    <cellStyle name="20% - Accent6 8 4 3" xfId="5384" xr:uid="{00000000-0005-0000-0000-00004C4C0000}"/>
    <cellStyle name="20% - Accent6 8 4 3 2" xfId="11034" xr:uid="{00000000-0005-0000-0000-00004D4C0000}"/>
    <cellStyle name="20% - Accent6 8 4 3 2 2" xfId="22335" xr:uid="{00000000-0005-0000-0000-00004E4C0000}"/>
    <cellStyle name="20% - Accent6 8 4 3 2 2 2" xfId="44937" xr:uid="{00000000-0005-0000-0000-00004F4C0000}"/>
    <cellStyle name="20% - Accent6 8 4 3 2 3" xfId="33636" xr:uid="{00000000-0005-0000-0000-0000504C0000}"/>
    <cellStyle name="20% - Accent6 8 4 3 3" xfId="16685" xr:uid="{00000000-0005-0000-0000-0000514C0000}"/>
    <cellStyle name="20% - Accent6 8 4 3 3 2" xfId="39287" xr:uid="{00000000-0005-0000-0000-0000524C0000}"/>
    <cellStyle name="20% - Accent6 8 4 3 4" xfId="27986" xr:uid="{00000000-0005-0000-0000-0000534C0000}"/>
    <cellStyle name="20% - Accent6 8 4 4" xfId="7663" xr:uid="{00000000-0005-0000-0000-0000544C0000}"/>
    <cellStyle name="20% - Accent6 8 4 4 2" xfId="18964" xr:uid="{00000000-0005-0000-0000-0000554C0000}"/>
    <cellStyle name="20% - Accent6 8 4 4 2 2" xfId="41566" xr:uid="{00000000-0005-0000-0000-0000564C0000}"/>
    <cellStyle name="20% - Accent6 8 4 4 3" xfId="30265" xr:uid="{00000000-0005-0000-0000-0000574C0000}"/>
    <cellStyle name="20% - Accent6 8 4 5" xfId="13314" xr:uid="{00000000-0005-0000-0000-0000584C0000}"/>
    <cellStyle name="20% - Accent6 8 4 5 2" xfId="35916" xr:uid="{00000000-0005-0000-0000-0000594C0000}"/>
    <cellStyle name="20% - Accent6 8 4 6" xfId="24615" xr:uid="{00000000-0005-0000-0000-00005A4C0000}"/>
    <cellStyle name="20% - Accent6 8 5" xfId="2365" xr:uid="{00000000-0005-0000-0000-00005B4C0000}"/>
    <cellStyle name="20% - Accent6 8 5 2" xfId="8201" xr:uid="{00000000-0005-0000-0000-00005C4C0000}"/>
    <cellStyle name="20% - Accent6 8 5 2 2" xfId="19502" xr:uid="{00000000-0005-0000-0000-00005D4C0000}"/>
    <cellStyle name="20% - Accent6 8 5 2 2 2" xfId="42104" xr:uid="{00000000-0005-0000-0000-00005E4C0000}"/>
    <cellStyle name="20% - Accent6 8 5 2 3" xfId="30803" xr:uid="{00000000-0005-0000-0000-00005F4C0000}"/>
    <cellStyle name="20% - Accent6 8 5 3" xfId="13852" xr:uid="{00000000-0005-0000-0000-0000604C0000}"/>
    <cellStyle name="20% - Accent6 8 5 3 2" xfId="36454" xr:uid="{00000000-0005-0000-0000-0000614C0000}"/>
    <cellStyle name="20% - Accent6 8 5 4" xfId="25153" xr:uid="{00000000-0005-0000-0000-0000624C0000}"/>
    <cellStyle name="20% - Accent6 8 6" xfId="4150" xr:uid="{00000000-0005-0000-0000-0000634C0000}"/>
    <cellStyle name="20% - Accent6 8 6 2" xfId="9800" xr:uid="{00000000-0005-0000-0000-0000644C0000}"/>
    <cellStyle name="20% - Accent6 8 6 2 2" xfId="21101" xr:uid="{00000000-0005-0000-0000-0000654C0000}"/>
    <cellStyle name="20% - Accent6 8 6 2 2 2" xfId="43703" xr:uid="{00000000-0005-0000-0000-0000664C0000}"/>
    <cellStyle name="20% - Accent6 8 6 2 3" xfId="32402" xr:uid="{00000000-0005-0000-0000-0000674C0000}"/>
    <cellStyle name="20% - Accent6 8 6 3" xfId="15451" xr:uid="{00000000-0005-0000-0000-0000684C0000}"/>
    <cellStyle name="20% - Accent6 8 6 3 2" xfId="38053" xr:uid="{00000000-0005-0000-0000-0000694C0000}"/>
    <cellStyle name="20% - Accent6 8 6 4" xfId="26752" xr:uid="{00000000-0005-0000-0000-00006A4C0000}"/>
    <cellStyle name="20% - Accent6 8 7" xfId="6601" xr:uid="{00000000-0005-0000-0000-00006B4C0000}"/>
    <cellStyle name="20% - Accent6 8 7 2" xfId="17902" xr:uid="{00000000-0005-0000-0000-00006C4C0000}"/>
    <cellStyle name="20% - Accent6 8 7 2 2" xfId="40504" xr:uid="{00000000-0005-0000-0000-00006D4C0000}"/>
    <cellStyle name="20% - Accent6 8 7 3" xfId="29203" xr:uid="{00000000-0005-0000-0000-00006E4C0000}"/>
    <cellStyle name="20% - Accent6 8 8" xfId="12252" xr:uid="{00000000-0005-0000-0000-00006F4C0000}"/>
    <cellStyle name="20% - Accent6 8 8 2" xfId="34854" xr:uid="{00000000-0005-0000-0000-0000704C0000}"/>
    <cellStyle name="20% - Accent6 8 9" xfId="23553" xr:uid="{00000000-0005-0000-0000-0000714C0000}"/>
    <cellStyle name="20% - Accent6 9" xfId="706" xr:uid="{00000000-0005-0000-0000-0000724C0000}"/>
    <cellStyle name="20% - Accent6 9 2" xfId="771" xr:uid="{00000000-0005-0000-0000-0000734C0000}"/>
    <cellStyle name="20% - Accent6 9 2 2" xfId="3176" xr:uid="{00000000-0005-0000-0000-0000744C0000}"/>
    <cellStyle name="20% - Accent6 9 2 2 2" xfId="6148" xr:uid="{00000000-0005-0000-0000-0000754C0000}"/>
    <cellStyle name="20% - Accent6 9 2 2 2 2" xfId="11798" xr:uid="{00000000-0005-0000-0000-0000764C0000}"/>
    <cellStyle name="20% - Accent6 9 2 2 2 2 2" xfId="23099" xr:uid="{00000000-0005-0000-0000-0000774C0000}"/>
    <cellStyle name="20% - Accent6 9 2 2 2 2 2 2" xfId="45701" xr:uid="{00000000-0005-0000-0000-0000784C0000}"/>
    <cellStyle name="20% - Accent6 9 2 2 2 2 3" xfId="34400" xr:uid="{00000000-0005-0000-0000-0000794C0000}"/>
    <cellStyle name="20% - Accent6 9 2 2 2 3" xfId="17449" xr:uid="{00000000-0005-0000-0000-00007A4C0000}"/>
    <cellStyle name="20% - Accent6 9 2 2 2 3 2" xfId="40051" xr:uid="{00000000-0005-0000-0000-00007B4C0000}"/>
    <cellStyle name="20% - Accent6 9 2 2 2 4" xfId="28750" xr:uid="{00000000-0005-0000-0000-00007C4C0000}"/>
    <cellStyle name="20% - Accent6 9 2 2 3" xfId="8966" xr:uid="{00000000-0005-0000-0000-00007D4C0000}"/>
    <cellStyle name="20% - Accent6 9 2 2 3 2" xfId="20267" xr:uid="{00000000-0005-0000-0000-00007E4C0000}"/>
    <cellStyle name="20% - Accent6 9 2 2 3 2 2" xfId="42869" xr:uid="{00000000-0005-0000-0000-00007F4C0000}"/>
    <cellStyle name="20% - Accent6 9 2 2 3 3" xfId="31568" xr:uid="{00000000-0005-0000-0000-0000804C0000}"/>
    <cellStyle name="20% - Accent6 9 2 2 4" xfId="14617" xr:uid="{00000000-0005-0000-0000-0000814C0000}"/>
    <cellStyle name="20% - Accent6 9 2 2 4 2" xfId="37219" xr:uid="{00000000-0005-0000-0000-0000824C0000}"/>
    <cellStyle name="20% - Accent6 9 2 2 5" xfId="25918" xr:uid="{00000000-0005-0000-0000-0000834C0000}"/>
    <cellStyle name="20% - Accent6 9 2 3" xfId="4914" xr:uid="{00000000-0005-0000-0000-0000844C0000}"/>
    <cellStyle name="20% - Accent6 9 2 3 2" xfId="10564" xr:uid="{00000000-0005-0000-0000-0000854C0000}"/>
    <cellStyle name="20% - Accent6 9 2 3 2 2" xfId="21865" xr:uid="{00000000-0005-0000-0000-0000864C0000}"/>
    <cellStyle name="20% - Accent6 9 2 3 2 2 2" xfId="44467" xr:uid="{00000000-0005-0000-0000-0000874C0000}"/>
    <cellStyle name="20% - Accent6 9 2 3 2 3" xfId="33166" xr:uid="{00000000-0005-0000-0000-0000884C0000}"/>
    <cellStyle name="20% - Accent6 9 2 3 3" xfId="16215" xr:uid="{00000000-0005-0000-0000-0000894C0000}"/>
    <cellStyle name="20% - Accent6 9 2 3 3 2" xfId="38817" xr:uid="{00000000-0005-0000-0000-00008A4C0000}"/>
    <cellStyle name="20% - Accent6 9 2 3 4" xfId="27516" xr:uid="{00000000-0005-0000-0000-00008B4C0000}"/>
    <cellStyle name="20% - Accent6 9 2 4" xfId="6790" xr:uid="{00000000-0005-0000-0000-00008C4C0000}"/>
    <cellStyle name="20% - Accent6 9 2 4 2" xfId="18091" xr:uid="{00000000-0005-0000-0000-00008D4C0000}"/>
    <cellStyle name="20% - Accent6 9 2 4 2 2" xfId="40693" xr:uid="{00000000-0005-0000-0000-00008E4C0000}"/>
    <cellStyle name="20% - Accent6 9 2 4 3" xfId="29392" xr:uid="{00000000-0005-0000-0000-00008F4C0000}"/>
    <cellStyle name="20% - Accent6 9 2 5" xfId="12441" xr:uid="{00000000-0005-0000-0000-0000904C0000}"/>
    <cellStyle name="20% - Accent6 9 2 5 2" xfId="35043" xr:uid="{00000000-0005-0000-0000-0000914C0000}"/>
    <cellStyle name="20% - Accent6 9 2 6" xfId="23742" xr:uid="{00000000-0005-0000-0000-0000924C0000}"/>
    <cellStyle name="20% - Accent6 9 3" xfId="1809" xr:uid="{00000000-0005-0000-0000-0000934C0000}"/>
    <cellStyle name="20% - Accent6 9 3 2" xfId="3703" xr:uid="{00000000-0005-0000-0000-0000944C0000}"/>
    <cellStyle name="20% - Accent6 9 3 2 2" xfId="9414" xr:uid="{00000000-0005-0000-0000-0000954C0000}"/>
    <cellStyle name="20% - Accent6 9 3 2 2 2" xfId="20715" xr:uid="{00000000-0005-0000-0000-0000964C0000}"/>
    <cellStyle name="20% - Accent6 9 3 2 2 2 2" xfId="43317" xr:uid="{00000000-0005-0000-0000-0000974C0000}"/>
    <cellStyle name="20% - Accent6 9 3 2 2 3" xfId="32016" xr:uid="{00000000-0005-0000-0000-0000984C0000}"/>
    <cellStyle name="20% - Accent6 9 3 2 3" xfId="15065" xr:uid="{00000000-0005-0000-0000-0000994C0000}"/>
    <cellStyle name="20% - Accent6 9 3 2 3 2" xfId="37667" xr:uid="{00000000-0005-0000-0000-00009A4C0000}"/>
    <cellStyle name="20% - Accent6 9 3 2 4" xfId="26366" xr:uid="{00000000-0005-0000-0000-00009B4C0000}"/>
    <cellStyle name="20% - Accent6 9 3 3" xfId="5524" xr:uid="{00000000-0005-0000-0000-00009C4C0000}"/>
    <cellStyle name="20% - Accent6 9 3 3 2" xfId="11174" xr:uid="{00000000-0005-0000-0000-00009D4C0000}"/>
    <cellStyle name="20% - Accent6 9 3 3 2 2" xfId="22475" xr:uid="{00000000-0005-0000-0000-00009E4C0000}"/>
    <cellStyle name="20% - Accent6 9 3 3 2 2 2" xfId="45077" xr:uid="{00000000-0005-0000-0000-00009F4C0000}"/>
    <cellStyle name="20% - Accent6 9 3 3 2 3" xfId="33776" xr:uid="{00000000-0005-0000-0000-0000A04C0000}"/>
    <cellStyle name="20% - Accent6 9 3 3 3" xfId="16825" xr:uid="{00000000-0005-0000-0000-0000A14C0000}"/>
    <cellStyle name="20% - Accent6 9 3 3 3 2" xfId="39427" xr:uid="{00000000-0005-0000-0000-0000A24C0000}"/>
    <cellStyle name="20% - Accent6 9 3 3 4" xfId="28126" xr:uid="{00000000-0005-0000-0000-0000A34C0000}"/>
    <cellStyle name="20% - Accent6 9 3 4" xfId="7665" xr:uid="{00000000-0005-0000-0000-0000A44C0000}"/>
    <cellStyle name="20% - Accent6 9 3 4 2" xfId="18966" xr:uid="{00000000-0005-0000-0000-0000A54C0000}"/>
    <cellStyle name="20% - Accent6 9 3 4 2 2" xfId="41568" xr:uid="{00000000-0005-0000-0000-0000A64C0000}"/>
    <cellStyle name="20% - Accent6 9 3 4 3" xfId="30267" xr:uid="{00000000-0005-0000-0000-0000A74C0000}"/>
    <cellStyle name="20% - Accent6 9 3 5" xfId="13316" xr:uid="{00000000-0005-0000-0000-0000A84C0000}"/>
    <cellStyle name="20% - Accent6 9 3 5 2" xfId="35918" xr:uid="{00000000-0005-0000-0000-0000A94C0000}"/>
    <cellStyle name="20% - Accent6 9 3 6" xfId="24617" xr:uid="{00000000-0005-0000-0000-0000AA4C0000}"/>
    <cellStyle name="20% - Accent6 9 4" xfId="2505" xr:uid="{00000000-0005-0000-0000-0000AB4C0000}"/>
    <cellStyle name="20% - Accent6 9 4 2" xfId="8341" xr:uid="{00000000-0005-0000-0000-0000AC4C0000}"/>
    <cellStyle name="20% - Accent6 9 4 2 2" xfId="19642" xr:uid="{00000000-0005-0000-0000-0000AD4C0000}"/>
    <cellStyle name="20% - Accent6 9 4 2 2 2" xfId="42244" xr:uid="{00000000-0005-0000-0000-0000AE4C0000}"/>
    <cellStyle name="20% - Accent6 9 4 2 3" xfId="30943" xr:uid="{00000000-0005-0000-0000-0000AF4C0000}"/>
    <cellStyle name="20% - Accent6 9 4 3" xfId="13992" xr:uid="{00000000-0005-0000-0000-0000B04C0000}"/>
    <cellStyle name="20% - Accent6 9 4 3 2" xfId="36594" xr:uid="{00000000-0005-0000-0000-0000B14C0000}"/>
    <cellStyle name="20% - Accent6 9 4 4" xfId="25293" xr:uid="{00000000-0005-0000-0000-0000B24C0000}"/>
    <cellStyle name="20% - Accent6 9 5" xfId="4290" xr:uid="{00000000-0005-0000-0000-0000B34C0000}"/>
    <cellStyle name="20% - Accent6 9 5 2" xfId="9940" xr:uid="{00000000-0005-0000-0000-0000B44C0000}"/>
    <cellStyle name="20% - Accent6 9 5 2 2" xfId="21241" xr:uid="{00000000-0005-0000-0000-0000B54C0000}"/>
    <cellStyle name="20% - Accent6 9 5 2 2 2" xfId="43843" xr:uid="{00000000-0005-0000-0000-0000B64C0000}"/>
    <cellStyle name="20% - Accent6 9 5 2 3" xfId="32542" xr:uid="{00000000-0005-0000-0000-0000B74C0000}"/>
    <cellStyle name="20% - Accent6 9 5 3" xfId="15591" xr:uid="{00000000-0005-0000-0000-0000B84C0000}"/>
    <cellStyle name="20% - Accent6 9 5 3 2" xfId="38193" xr:uid="{00000000-0005-0000-0000-0000B94C0000}"/>
    <cellStyle name="20% - Accent6 9 5 4" xfId="26892" xr:uid="{00000000-0005-0000-0000-0000BA4C0000}"/>
    <cellStyle name="20% - Accent6 9 6" xfId="6769" xr:uid="{00000000-0005-0000-0000-0000BB4C0000}"/>
    <cellStyle name="20% - Accent6 9 6 2" xfId="18070" xr:uid="{00000000-0005-0000-0000-0000BC4C0000}"/>
    <cellStyle name="20% - Accent6 9 6 2 2" xfId="40672" xr:uid="{00000000-0005-0000-0000-0000BD4C0000}"/>
    <cellStyle name="20% - Accent6 9 6 3" xfId="29371" xr:uid="{00000000-0005-0000-0000-0000BE4C0000}"/>
    <cellStyle name="20% - Accent6 9 7" xfId="12420" xr:uid="{00000000-0005-0000-0000-0000BF4C0000}"/>
    <cellStyle name="20% - Accent6 9 7 2" xfId="35022" xr:uid="{00000000-0005-0000-0000-0000C04C0000}"/>
    <cellStyle name="20% - Accent6 9 8" xfId="23721" xr:uid="{00000000-0005-0000-0000-0000C14C0000}"/>
    <cellStyle name="40% - Accent1" xfId="20" builtinId="31" customBuiltin="1"/>
    <cellStyle name="40% - Accent1 10" xfId="1411" xr:uid="{00000000-0005-0000-0000-0000C34C0000}"/>
    <cellStyle name="40% - Accent1 10 2" xfId="1810" xr:uid="{00000000-0005-0000-0000-0000C44C0000}"/>
    <cellStyle name="40% - Accent1 10 2 2" xfId="3473" xr:uid="{00000000-0005-0000-0000-0000C54C0000}"/>
    <cellStyle name="40% - Accent1 10 2 2 2" xfId="6445" xr:uid="{00000000-0005-0000-0000-0000C64C0000}"/>
    <cellStyle name="40% - Accent1 10 2 2 2 2" xfId="12095" xr:uid="{00000000-0005-0000-0000-0000C74C0000}"/>
    <cellStyle name="40% - Accent1 10 2 2 2 2 2" xfId="23396" xr:uid="{00000000-0005-0000-0000-0000C84C0000}"/>
    <cellStyle name="40% - Accent1 10 2 2 2 2 2 2" xfId="45998" xr:uid="{00000000-0005-0000-0000-0000C94C0000}"/>
    <cellStyle name="40% - Accent1 10 2 2 2 2 3" xfId="34697" xr:uid="{00000000-0005-0000-0000-0000CA4C0000}"/>
    <cellStyle name="40% - Accent1 10 2 2 2 3" xfId="17746" xr:uid="{00000000-0005-0000-0000-0000CB4C0000}"/>
    <cellStyle name="40% - Accent1 10 2 2 2 3 2" xfId="40348" xr:uid="{00000000-0005-0000-0000-0000CC4C0000}"/>
    <cellStyle name="40% - Accent1 10 2 2 2 4" xfId="29047" xr:uid="{00000000-0005-0000-0000-0000CD4C0000}"/>
    <cellStyle name="40% - Accent1 10 2 2 3" xfId="9263" xr:uid="{00000000-0005-0000-0000-0000CE4C0000}"/>
    <cellStyle name="40% - Accent1 10 2 2 3 2" xfId="20564" xr:uid="{00000000-0005-0000-0000-0000CF4C0000}"/>
    <cellStyle name="40% - Accent1 10 2 2 3 2 2" xfId="43166" xr:uid="{00000000-0005-0000-0000-0000D04C0000}"/>
    <cellStyle name="40% - Accent1 10 2 2 3 3" xfId="31865" xr:uid="{00000000-0005-0000-0000-0000D14C0000}"/>
    <cellStyle name="40% - Accent1 10 2 2 4" xfId="14914" xr:uid="{00000000-0005-0000-0000-0000D24C0000}"/>
    <cellStyle name="40% - Accent1 10 2 2 4 2" xfId="37516" xr:uid="{00000000-0005-0000-0000-0000D34C0000}"/>
    <cellStyle name="40% - Accent1 10 2 2 5" xfId="26215" xr:uid="{00000000-0005-0000-0000-0000D44C0000}"/>
    <cellStyle name="40% - Accent1 10 2 3" xfId="5211" xr:uid="{00000000-0005-0000-0000-0000D54C0000}"/>
    <cellStyle name="40% - Accent1 10 2 3 2" xfId="10861" xr:uid="{00000000-0005-0000-0000-0000D64C0000}"/>
    <cellStyle name="40% - Accent1 10 2 3 2 2" xfId="22162" xr:uid="{00000000-0005-0000-0000-0000D74C0000}"/>
    <cellStyle name="40% - Accent1 10 2 3 2 2 2" xfId="44764" xr:uid="{00000000-0005-0000-0000-0000D84C0000}"/>
    <cellStyle name="40% - Accent1 10 2 3 2 3" xfId="33463" xr:uid="{00000000-0005-0000-0000-0000D94C0000}"/>
    <cellStyle name="40% - Accent1 10 2 3 3" xfId="16512" xr:uid="{00000000-0005-0000-0000-0000DA4C0000}"/>
    <cellStyle name="40% - Accent1 10 2 3 3 2" xfId="39114" xr:uid="{00000000-0005-0000-0000-0000DB4C0000}"/>
    <cellStyle name="40% - Accent1 10 2 3 4" xfId="27813" xr:uid="{00000000-0005-0000-0000-0000DC4C0000}"/>
    <cellStyle name="40% - Accent1 10 2 4" xfId="7666" xr:uid="{00000000-0005-0000-0000-0000DD4C0000}"/>
    <cellStyle name="40% - Accent1 10 2 4 2" xfId="18967" xr:uid="{00000000-0005-0000-0000-0000DE4C0000}"/>
    <cellStyle name="40% - Accent1 10 2 4 2 2" xfId="41569" xr:uid="{00000000-0005-0000-0000-0000DF4C0000}"/>
    <cellStyle name="40% - Accent1 10 2 4 3" xfId="30268" xr:uid="{00000000-0005-0000-0000-0000E04C0000}"/>
    <cellStyle name="40% - Accent1 10 2 5" xfId="13317" xr:uid="{00000000-0005-0000-0000-0000E14C0000}"/>
    <cellStyle name="40% - Accent1 10 2 5 2" xfId="35919" xr:uid="{00000000-0005-0000-0000-0000E24C0000}"/>
    <cellStyle name="40% - Accent1 10 2 6" xfId="24618" xr:uid="{00000000-0005-0000-0000-0000E34C0000}"/>
    <cellStyle name="40% - Accent1 10 3" xfId="2804" xr:uid="{00000000-0005-0000-0000-0000E44C0000}"/>
    <cellStyle name="40% - Accent1 10 3 2" xfId="5821" xr:uid="{00000000-0005-0000-0000-0000E54C0000}"/>
    <cellStyle name="40% - Accent1 10 3 2 2" xfId="11471" xr:uid="{00000000-0005-0000-0000-0000E64C0000}"/>
    <cellStyle name="40% - Accent1 10 3 2 2 2" xfId="22772" xr:uid="{00000000-0005-0000-0000-0000E74C0000}"/>
    <cellStyle name="40% - Accent1 10 3 2 2 2 2" xfId="45374" xr:uid="{00000000-0005-0000-0000-0000E84C0000}"/>
    <cellStyle name="40% - Accent1 10 3 2 2 3" xfId="34073" xr:uid="{00000000-0005-0000-0000-0000E94C0000}"/>
    <cellStyle name="40% - Accent1 10 3 2 3" xfId="17122" xr:uid="{00000000-0005-0000-0000-0000EA4C0000}"/>
    <cellStyle name="40% - Accent1 10 3 2 3 2" xfId="39724" xr:uid="{00000000-0005-0000-0000-0000EB4C0000}"/>
    <cellStyle name="40% - Accent1 10 3 2 4" xfId="28423" xr:uid="{00000000-0005-0000-0000-0000EC4C0000}"/>
    <cellStyle name="40% - Accent1 10 3 3" xfId="8638" xr:uid="{00000000-0005-0000-0000-0000ED4C0000}"/>
    <cellStyle name="40% - Accent1 10 3 3 2" xfId="19939" xr:uid="{00000000-0005-0000-0000-0000EE4C0000}"/>
    <cellStyle name="40% - Accent1 10 3 3 2 2" xfId="42541" xr:uid="{00000000-0005-0000-0000-0000EF4C0000}"/>
    <cellStyle name="40% - Accent1 10 3 3 3" xfId="31240" xr:uid="{00000000-0005-0000-0000-0000F04C0000}"/>
    <cellStyle name="40% - Accent1 10 3 4" xfId="14289" xr:uid="{00000000-0005-0000-0000-0000F14C0000}"/>
    <cellStyle name="40% - Accent1 10 3 4 2" xfId="36891" xr:uid="{00000000-0005-0000-0000-0000F24C0000}"/>
    <cellStyle name="40% - Accent1 10 3 5" xfId="25590" xr:uid="{00000000-0005-0000-0000-0000F34C0000}"/>
    <cellStyle name="40% - Accent1 10 4" xfId="4587" xr:uid="{00000000-0005-0000-0000-0000F44C0000}"/>
    <cellStyle name="40% - Accent1 10 4 2" xfId="10237" xr:uid="{00000000-0005-0000-0000-0000F54C0000}"/>
    <cellStyle name="40% - Accent1 10 4 2 2" xfId="21538" xr:uid="{00000000-0005-0000-0000-0000F64C0000}"/>
    <cellStyle name="40% - Accent1 10 4 2 2 2" xfId="44140" xr:uid="{00000000-0005-0000-0000-0000F74C0000}"/>
    <cellStyle name="40% - Accent1 10 4 2 3" xfId="32839" xr:uid="{00000000-0005-0000-0000-0000F84C0000}"/>
    <cellStyle name="40% - Accent1 10 4 3" xfId="15888" xr:uid="{00000000-0005-0000-0000-0000F94C0000}"/>
    <cellStyle name="40% - Accent1 10 4 3 2" xfId="38490" xr:uid="{00000000-0005-0000-0000-0000FA4C0000}"/>
    <cellStyle name="40% - Accent1 10 4 4" xfId="27189" xr:uid="{00000000-0005-0000-0000-0000FB4C0000}"/>
    <cellStyle name="40% - Accent1 10 5" xfId="7381" xr:uid="{00000000-0005-0000-0000-0000FC4C0000}"/>
    <cellStyle name="40% - Accent1 10 5 2" xfId="18682" xr:uid="{00000000-0005-0000-0000-0000FD4C0000}"/>
    <cellStyle name="40% - Accent1 10 5 2 2" xfId="41284" xr:uid="{00000000-0005-0000-0000-0000FE4C0000}"/>
    <cellStyle name="40% - Accent1 10 5 3" xfId="29983" xr:uid="{00000000-0005-0000-0000-0000FF4C0000}"/>
    <cellStyle name="40% - Accent1 10 6" xfId="13032" xr:uid="{00000000-0005-0000-0000-0000004D0000}"/>
    <cellStyle name="40% - Accent1 10 6 2" xfId="35634" xr:uid="{00000000-0005-0000-0000-0000014D0000}"/>
    <cellStyle name="40% - Accent1 10 7" xfId="24333" xr:uid="{00000000-0005-0000-0000-0000024D0000}"/>
    <cellStyle name="40% - Accent1 11" xfId="729" xr:uid="{00000000-0005-0000-0000-0000034D0000}"/>
    <cellStyle name="40% - Accent1 11 2" xfId="1811" xr:uid="{00000000-0005-0000-0000-0000044D0000}"/>
    <cellStyle name="40% - Accent1 11 2 2" xfId="3704" xr:uid="{00000000-0005-0000-0000-0000054D0000}"/>
    <cellStyle name="40% - Accent1 11 2 2 2" xfId="9415" xr:uid="{00000000-0005-0000-0000-0000064D0000}"/>
    <cellStyle name="40% - Accent1 11 2 2 2 2" xfId="20716" xr:uid="{00000000-0005-0000-0000-0000074D0000}"/>
    <cellStyle name="40% - Accent1 11 2 2 2 2 2" xfId="43318" xr:uid="{00000000-0005-0000-0000-0000084D0000}"/>
    <cellStyle name="40% - Accent1 11 2 2 2 3" xfId="32017" xr:uid="{00000000-0005-0000-0000-0000094D0000}"/>
    <cellStyle name="40% - Accent1 11 2 2 3" xfId="15066" xr:uid="{00000000-0005-0000-0000-00000A4D0000}"/>
    <cellStyle name="40% - Accent1 11 2 2 3 2" xfId="37668" xr:uid="{00000000-0005-0000-0000-00000B4D0000}"/>
    <cellStyle name="40% - Accent1 11 2 2 4" xfId="26367" xr:uid="{00000000-0005-0000-0000-00000C4D0000}"/>
    <cellStyle name="40% - Accent1 11 2 3" xfId="7667" xr:uid="{00000000-0005-0000-0000-00000D4D0000}"/>
    <cellStyle name="40% - Accent1 11 2 3 2" xfId="18968" xr:uid="{00000000-0005-0000-0000-00000E4D0000}"/>
    <cellStyle name="40% - Accent1 11 2 3 2 2" xfId="41570" xr:uid="{00000000-0005-0000-0000-00000F4D0000}"/>
    <cellStyle name="40% - Accent1 11 2 3 3" xfId="30269" xr:uid="{00000000-0005-0000-0000-0000104D0000}"/>
    <cellStyle name="40% - Accent1 11 2 4" xfId="13318" xr:uid="{00000000-0005-0000-0000-0000114D0000}"/>
    <cellStyle name="40% - Accent1 11 2 4 2" xfId="35920" xr:uid="{00000000-0005-0000-0000-0000124D0000}"/>
    <cellStyle name="40% - Accent1 11 2 5" xfId="24619" xr:uid="{00000000-0005-0000-0000-0000134D0000}"/>
    <cellStyle name="40% - Accent1 11 3" xfId="2176" xr:uid="{00000000-0005-0000-0000-0000144D0000}"/>
    <cellStyle name="40% - Accent1 11 3 2" xfId="8021" xr:uid="{00000000-0005-0000-0000-0000154D0000}"/>
    <cellStyle name="40% - Accent1 11 3 2 2" xfId="19322" xr:uid="{00000000-0005-0000-0000-0000164D0000}"/>
    <cellStyle name="40% - Accent1 11 3 2 2 2" xfId="41924" xr:uid="{00000000-0005-0000-0000-0000174D0000}"/>
    <cellStyle name="40% - Accent1 11 3 2 3" xfId="30623" xr:uid="{00000000-0005-0000-0000-0000184D0000}"/>
    <cellStyle name="40% - Accent1 11 3 3" xfId="13672" xr:uid="{00000000-0005-0000-0000-0000194D0000}"/>
    <cellStyle name="40% - Accent1 11 3 3 2" xfId="36274" xr:uid="{00000000-0005-0000-0000-00001A4D0000}"/>
    <cellStyle name="40% - Accent1 11 3 4" xfId="24973" xr:uid="{00000000-0005-0000-0000-00001B4D0000}"/>
    <cellStyle name="40% - Accent1 11 4" xfId="3974" xr:uid="{00000000-0005-0000-0000-00001C4D0000}"/>
    <cellStyle name="40% - Accent1 11 4 2" xfId="9624" xr:uid="{00000000-0005-0000-0000-00001D4D0000}"/>
    <cellStyle name="40% - Accent1 11 4 2 2" xfId="20925" xr:uid="{00000000-0005-0000-0000-00001E4D0000}"/>
    <cellStyle name="40% - Accent1 11 4 2 2 2" xfId="43527" xr:uid="{00000000-0005-0000-0000-00001F4D0000}"/>
    <cellStyle name="40% - Accent1 11 4 2 3" xfId="32226" xr:uid="{00000000-0005-0000-0000-0000204D0000}"/>
    <cellStyle name="40% - Accent1 11 4 3" xfId="15275" xr:uid="{00000000-0005-0000-0000-0000214D0000}"/>
    <cellStyle name="40% - Accent1 11 4 3 2" xfId="37877" xr:uid="{00000000-0005-0000-0000-0000224D0000}"/>
    <cellStyle name="40% - Accent1 11 4 4" xfId="26576" xr:uid="{00000000-0005-0000-0000-0000234D0000}"/>
    <cellStyle name="40% - Accent1 11 5" xfId="6777" xr:uid="{00000000-0005-0000-0000-0000244D0000}"/>
    <cellStyle name="40% - Accent1 11 5 2" xfId="18078" xr:uid="{00000000-0005-0000-0000-0000254D0000}"/>
    <cellStyle name="40% - Accent1 11 5 2 2" xfId="40680" xr:uid="{00000000-0005-0000-0000-0000264D0000}"/>
    <cellStyle name="40% - Accent1 11 5 3" xfId="29379" xr:uid="{00000000-0005-0000-0000-0000274D0000}"/>
    <cellStyle name="40% - Accent1 11 6" xfId="12428" xr:uid="{00000000-0005-0000-0000-0000284D0000}"/>
    <cellStyle name="40% - Accent1 11 6 2" xfId="35030" xr:uid="{00000000-0005-0000-0000-0000294D0000}"/>
    <cellStyle name="40% - Accent1 11 7" xfId="23729" xr:uid="{00000000-0005-0000-0000-00002A4D0000}"/>
    <cellStyle name="40% - Accent1 12" xfId="1536" xr:uid="{00000000-0005-0000-0000-00002B4D0000}"/>
    <cellStyle name="40% - Accent1 12 2" xfId="3554" xr:uid="{00000000-0005-0000-0000-00002C4D0000}"/>
    <cellStyle name="40% - Accent1 12 2 2" xfId="9296" xr:uid="{00000000-0005-0000-0000-00002D4D0000}"/>
    <cellStyle name="40% - Accent1 12 2 2 2" xfId="20597" xr:uid="{00000000-0005-0000-0000-00002E4D0000}"/>
    <cellStyle name="40% - Accent1 12 2 2 2 2" xfId="43199" xr:uid="{00000000-0005-0000-0000-00002F4D0000}"/>
    <cellStyle name="40% - Accent1 12 2 2 3" xfId="31898" xr:uid="{00000000-0005-0000-0000-0000304D0000}"/>
    <cellStyle name="40% - Accent1 12 2 3" xfId="14947" xr:uid="{00000000-0005-0000-0000-0000314D0000}"/>
    <cellStyle name="40% - Accent1 12 2 3 2" xfId="37549" xr:uid="{00000000-0005-0000-0000-0000324D0000}"/>
    <cellStyle name="40% - Accent1 12 2 4" xfId="26248" xr:uid="{00000000-0005-0000-0000-0000334D0000}"/>
    <cellStyle name="40% - Accent1 13" xfId="3590" xr:uid="{00000000-0005-0000-0000-0000344D0000}"/>
    <cellStyle name="40% - Accent1 14" xfId="112" xr:uid="{00000000-0005-0000-0000-0000354D0000}"/>
    <cellStyle name="40% - Accent1 2" xfId="49" xr:uid="{00000000-0005-0000-0000-0000364D0000}"/>
    <cellStyle name="40% - Accent1 2 2" xfId="375" xr:uid="{00000000-0005-0000-0000-0000374D0000}"/>
    <cellStyle name="40% - Accent1 2 2 10" xfId="23481" xr:uid="{00000000-0005-0000-0000-0000384D0000}"/>
    <cellStyle name="40% - Accent1 2 2 2" xfId="631" xr:uid="{00000000-0005-0000-0000-0000394D0000}"/>
    <cellStyle name="40% - Accent1 2 2 2 2" xfId="1341" xr:uid="{00000000-0005-0000-0000-00003A4D0000}"/>
    <cellStyle name="40% - Accent1 2 2 2 2 2" xfId="1814" xr:uid="{00000000-0005-0000-0000-00003B4D0000}"/>
    <cellStyle name="40% - Accent1 2 2 2 2 2 2" xfId="3410" xr:uid="{00000000-0005-0000-0000-00003C4D0000}"/>
    <cellStyle name="40% - Accent1 2 2 2 2 2 2 2" xfId="6382" xr:uid="{00000000-0005-0000-0000-00003D4D0000}"/>
    <cellStyle name="40% - Accent1 2 2 2 2 2 2 2 2" xfId="12032" xr:uid="{00000000-0005-0000-0000-00003E4D0000}"/>
    <cellStyle name="40% - Accent1 2 2 2 2 2 2 2 2 2" xfId="23333" xr:uid="{00000000-0005-0000-0000-00003F4D0000}"/>
    <cellStyle name="40% - Accent1 2 2 2 2 2 2 2 2 2 2" xfId="45935" xr:uid="{00000000-0005-0000-0000-0000404D0000}"/>
    <cellStyle name="40% - Accent1 2 2 2 2 2 2 2 2 3" xfId="34634" xr:uid="{00000000-0005-0000-0000-0000414D0000}"/>
    <cellStyle name="40% - Accent1 2 2 2 2 2 2 2 3" xfId="17683" xr:uid="{00000000-0005-0000-0000-0000424D0000}"/>
    <cellStyle name="40% - Accent1 2 2 2 2 2 2 2 3 2" xfId="40285" xr:uid="{00000000-0005-0000-0000-0000434D0000}"/>
    <cellStyle name="40% - Accent1 2 2 2 2 2 2 2 4" xfId="28984" xr:uid="{00000000-0005-0000-0000-0000444D0000}"/>
    <cellStyle name="40% - Accent1 2 2 2 2 2 2 3" xfId="9200" xr:uid="{00000000-0005-0000-0000-0000454D0000}"/>
    <cellStyle name="40% - Accent1 2 2 2 2 2 2 3 2" xfId="20501" xr:uid="{00000000-0005-0000-0000-0000464D0000}"/>
    <cellStyle name="40% - Accent1 2 2 2 2 2 2 3 2 2" xfId="43103" xr:uid="{00000000-0005-0000-0000-0000474D0000}"/>
    <cellStyle name="40% - Accent1 2 2 2 2 2 2 3 3" xfId="31802" xr:uid="{00000000-0005-0000-0000-0000484D0000}"/>
    <cellStyle name="40% - Accent1 2 2 2 2 2 2 4" xfId="14851" xr:uid="{00000000-0005-0000-0000-0000494D0000}"/>
    <cellStyle name="40% - Accent1 2 2 2 2 2 2 4 2" xfId="37453" xr:uid="{00000000-0005-0000-0000-00004A4D0000}"/>
    <cellStyle name="40% - Accent1 2 2 2 2 2 2 5" xfId="26152" xr:uid="{00000000-0005-0000-0000-00004B4D0000}"/>
    <cellStyle name="40% - Accent1 2 2 2 2 2 3" xfId="5148" xr:uid="{00000000-0005-0000-0000-00004C4D0000}"/>
    <cellStyle name="40% - Accent1 2 2 2 2 2 3 2" xfId="10798" xr:uid="{00000000-0005-0000-0000-00004D4D0000}"/>
    <cellStyle name="40% - Accent1 2 2 2 2 2 3 2 2" xfId="22099" xr:uid="{00000000-0005-0000-0000-00004E4D0000}"/>
    <cellStyle name="40% - Accent1 2 2 2 2 2 3 2 2 2" xfId="44701" xr:uid="{00000000-0005-0000-0000-00004F4D0000}"/>
    <cellStyle name="40% - Accent1 2 2 2 2 2 3 2 3" xfId="33400" xr:uid="{00000000-0005-0000-0000-0000504D0000}"/>
    <cellStyle name="40% - Accent1 2 2 2 2 2 3 3" xfId="16449" xr:uid="{00000000-0005-0000-0000-0000514D0000}"/>
    <cellStyle name="40% - Accent1 2 2 2 2 2 3 3 2" xfId="39051" xr:uid="{00000000-0005-0000-0000-0000524D0000}"/>
    <cellStyle name="40% - Accent1 2 2 2 2 2 3 4" xfId="27750" xr:uid="{00000000-0005-0000-0000-0000534D0000}"/>
    <cellStyle name="40% - Accent1 2 2 2 2 2 4" xfId="7670" xr:uid="{00000000-0005-0000-0000-0000544D0000}"/>
    <cellStyle name="40% - Accent1 2 2 2 2 2 4 2" xfId="18971" xr:uid="{00000000-0005-0000-0000-0000554D0000}"/>
    <cellStyle name="40% - Accent1 2 2 2 2 2 4 2 2" xfId="41573" xr:uid="{00000000-0005-0000-0000-0000564D0000}"/>
    <cellStyle name="40% - Accent1 2 2 2 2 2 4 3" xfId="30272" xr:uid="{00000000-0005-0000-0000-0000574D0000}"/>
    <cellStyle name="40% - Accent1 2 2 2 2 2 5" xfId="13321" xr:uid="{00000000-0005-0000-0000-0000584D0000}"/>
    <cellStyle name="40% - Accent1 2 2 2 2 2 5 2" xfId="35923" xr:uid="{00000000-0005-0000-0000-0000594D0000}"/>
    <cellStyle name="40% - Accent1 2 2 2 2 2 6" xfId="24622" xr:uid="{00000000-0005-0000-0000-00005A4D0000}"/>
    <cellStyle name="40% - Accent1 2 2 2 2 3" xfId="2739" xr:uid="{00000000-0005-0000-0000-00005B4D0000}"/>
    <cellStyle name="40% - Accent1 2 2 2 2 3 2" xfId="5758" xr:uid="{00000000-0005-0000-0000-00005C4D0000}"/>
    <cellStyle name="40% - Accent1 2 2 2 2 3 2 2" xfId="11408" xr:uid="{00000000-0005-0000-0000-00005D4D0000}"/>
    <cellStyle name="40% - Accent1 2 2 2 2 3 2 2 2" xfId="22709" xr:uid="{00000000-0005-0000-0000-00005E4D0000}"/>
    <cellStyle name="40% - Accent1 2 2 2 2 3 2 2 2 2" xfId="45311" xr:uid="{00000000-0005-0000-0000-00005F4D0000}"/>
    <cellStyle name="40% - Accent1 2 2 2 2 3 2 2 3" xfId="34010" xr:uid="{00000000-0005-0000-0000-0000604D0000}"/>
    <cellStyle name="40% - Accent1 2 2 2 2 3 2 3" xfId="17059" xr:uid="{00000000-0005-0000-0000-0000614D0000}"/>
    <cellStyle name="40% - Accent1 2 2 2 2 3 2 3 2" xfId="39661" xr:uid="{00000000-0005-0000-0000-0000624D0000}"/>
    <cellStyle name="40% - Accent1 2 2 2 2 3 2 4" xfId="28360" xr:uid="{00000000-0005-0000-0000-0000634D0000}"/>
    <cellStyle name="40% - Accent1 2 2 2 2 3 3" xfId="8575" xr:uid="{00000000-0005-0000-0000-0000644D0000}"/>
    <cellStyle name="40% - Accent1 2 2 2 2 3 3 2" xfId="19876" xr:uid="{00000000-0005-0000-0000-0000654D0000}"/>
    <cellStyle name="40% - Accent1 2 2 2 2 3 3 2 2" xfId="42478" xr:uid="{00000000-0005-0000-0000-0000664D0000}"/>
    <cellStyle name="40% - Accent1 2 2 2 2 3 3 3" xfId="31177" xr:uid="{00000000-0005-0000-0000-0000674D0000}"/>
    <cellStyle name="40% - Accent1 2 2 2 2 3 4" xfId="14226" xr:uid="{00000000-0005-0000-0000-0000684D0000}"/>
    <cellStyle name="40% - Accent1 2 2 2 2 3 4 2" xfId="36828" xr:uid="{00000000-0005-0000-0000-0000694D0000}"/>
    <cellStyle name="40% - Accent1 2 2 2 2 3 5" xfId="25527" xr:uid="{00000000-0005-0000-0000-00006A4D0000}"/>
    <cellStyle name="40% - Accent1 2 2 2 2 4" xfId="4524" xr:uid="{00000000-0005-0000-0000-00006B4D0000}"/>
    <cellStyle name="40% - Accent1 2 2 2 2 4 2" xfId="10174" xr:uid="{00000000-0005-0000-0000-00006C4D0000}"/>
    <cellStyle name="40% - Accent1 2 2 2 2 4 2 2" xfId="21475" xr:uid="{00000000-0005-0000-0000-00006D4D0000}"/>
    <cellStyle name="40% - Accent1 2 2 2 2 4 2 2 2" xfId="44077" xr:uid="{00000000-0005-0000-0000-00006E4D0000}"/>
    <cellStyle name="40% - Accent1 2 2 2 2 4 2 3" xfId="32776" xr:uid="{00000000-0005-0000-0000-00006F4D0000}"/>
    <cellStyle name="40% - Accent1 2 2 2 2 4 3" xfId="15825" xr:uid="{00000000-0005-0000-0000-0000704D0000}"/>
    <cellStyle name="40% - Accent1 2 2 2 2 4 3 2" xfId="38427" xr:uid="{00000000-0005-0000-0000-0000714D0000}"/>
    <cellStyle name="40% - Accent1 2 2 2 2 4 4" xfId="27126" xr:uid="{00000000-0005-0000-0000-0000724D0000}"/>
    <cellStyle name="40% - Accent1 2 2 2 2 5" xfId="7320" xr:uid="{00000000-0005-0000-0000-0000734D0000}"/>
    <cellStyle name="40% - Accent1 2 2 2 2 5 2" xfId="18621" xr:uid="{00000000-0005-0000-0000-0000744D0000}"/>
    <cellStyle name="40% - Accent1 2 2 2 2 5 2 2" xfId="41223" xr:uid="{00000000-0005-0000-0000-0000754D0000}"/>
    <cellStyle name="40% - Accent1 2 2 2 2 5 3" xfId="29922" xr:uid="{00000000-0005-0000-0000-0000764D0000}"/>
    <cellStyle name="40% - Accent1 2 2 2 2 6" xfId="12971" xr:uid="{00000000-0005-0000-0000-0000774D0000}"/>
    <cellStyle name="40% - Accent1 2 2 2 2 6 2" xfId="35573" xr:uid="{00000000-0005-0000-0000-0000784D0000}"/>
    <cellStyle name="40% - Accent1 2 2 2 2 7" xfId="24272" xr:uid="{00000000-0005-0000-0000-0000794D0000}"/>
    <cellStyle name="40% - Accent1 2 2 2 3" xfId="1039" xr:uid="{00000000-0005-0000-0000-00007A4D0000}"/>
    <cellStyle name="40% - Accent1 2 2 2 3 2" xfId="3102" xr:uid="{00000000-0005-0000-0000-00007B4D0000}"/>
    <cellStyle name="40% - Accent1 2 2 2 3 2 2" xfId="6074" xr:uid="{00000000-0005-0000-0000-00007C4D0000}"/>
    <cellStyle name="40% - Accent1 2 2 2 3 2 2 2" xfId="11724" xr:uid="{00000000-0005-0000-0000-00007D4D0000}"/>
    <cellStyle name="40% - Accent1 2 2 2 3 2 2 2 2" xfId="23025" xr:uid="{00000000-0005-0000-0000-00007E4D0000}"/>
    <cellStyle name="40% - Accent1 2 2 2 3 2 2 2 2 2" xfId="45627" xr:uid="{00000000-0005-0000-0000-00007F4D0000}"/>
    <cellStyle name="40% - Accent1 2 2 2 3 2 2 2 3" xfId="34326" xr:uid="{00000000-0005-0000-0000-0000804D0000}"/>
    <cellStyle name="40% - Accent1 2 2 2 3 2 2 3" xfId="17375" xr:uid="{00000000-0005-0000-0000-0000814D0000}"/>
    <cellStyle name="40% - Accent1 2 2 2 3 2 2 3 2" xfId="39977" xr:uid="{00000000-0005-0000-0000-0000824D0000}"/>
    <cellStyle name="40% - Accent1 2 2 2 3 2 2 4" xfId="28676" xr:uid="{00000000-0005-0000-0000-0000834D0000}"/>
    <cellStyle name="40% - Accent1 2 2 2 3 2 3" xfId="8892" xr:uid="{00000000-0005-0000-0000-0000844D0000}"/>
    <cellStyle name="40% - Accent1 2 2 2 3 2 3 2" xfId="20193" xr:uid="{00000000-0005-0000-0000-0000854D0000}"/>
    <cellStyle name="40% - Accent1 2 2 2 3 2 3 2 2" xfId="42795" xr:uid="{00000000-0005-0000-0000-0000864D0000}"/>
    <cellStyle name="40% - Accent1 2 2 2 3 2 3 3" xfId="31494" xr:uid="{00000000-0005-0000-0000-0000874D0000}"/>
    <cellStyle name="40% - Accent1 2 2 2 3 2 4" xfId="14543" xr:uid="{00000000-0005-0000-0000-0000884D0000}"/>
    <cellStyle name="40% - Accent1 2 2 2 3 2 4 2" xfId="37145" xr:uid="{00000000-0005-0000-0000-0000894D0000}"/>
    <cellStyle name="40% - Accent1 2 2 2 3 2 5" xfId="25844" xr:uid="{00000000-0005-0000-0000-00008A4D0000}"/>
    <cellStyle name="40% - Accent1 2 2 2 3 3" xfId="4840" xr:uid="{00000000-0005-0000-0000-00008B4D0000}"/>
    <cellStyle name="40% - Accent1 2 2 2 3 3 2" xfId="10490" xr:uid="{00000000-0005-0000-0000-00008C4D0000}"/>
    <cellStyle name="40% - Accent1 2 2 2 3 3 2 2" xfId="21791" xr:uid="{00000000-0005-0000-0000-00008D4D0000}"/>
    <cellStyle name="40% - Accent1 2 2 2 3 3 2 2 2" xfId="44393" xr:uid="{00000000-0005-0000-0000-00008E4D0000}"/>
    <cellStyle name="40% - Accent1 2 2 2 3 3 2 3" xfId="33092" xr:uid="{00000000-0005-0000-0000-00008F4D0000}"/>
    <cellStyle name="40% - Accent1 2 2 2 3 3 3" xfId="16141" xr:uid="{00000000-0005-0000-0000-0000904D0000}"/>
    <cellStyle name="40% - Accent1 2 2 2 3 3 3 2" xfId="38743" xr:uid="{00000000-0005-0000-0000-0000914D0000}"/>
    <cellStyle name="40% - Accent1 2 2 2 3 3 4" xfId="27442" xr:uid="{00000000-0005-0000-0000-0000924D0000}"/>
    <cellStyle name="40% - Accent1 2 2 2 3 4" xfId="7027" xr:uid="{00000000-0005-0000-0000-0000934D0000}"/>
    <cellStyle name="40% - Accent1 2 2 2 3 4 2" xfId="18328" xr:uid="{00000000-0005-0000-0000-0000944D0000}"/>
    <cellStyle name="40% - Accent1 2 2 2 3 4 2 2" xfId="40930" xr:uid="{00000000-0005-0000-0000-0000954D0000}"/>
    <cellStyle name="40% - Accent1 2 2 2 3 4 3" xfId="29629" xr:uid="{00000000-0005-0000-0000-0000964D0000}"/>
    <cellStyle name="40% - Accent1 2 2 2 3 5" xfId="12678" xr:uid="{00000000-0005-0000-0000-0000974D0000}"/>
    <cellStyle name="40% - Accent1 2 2 2 3 5 2" xfId="35280" xr:uid="{00000000-0005-0000-0000-0000984D0000}"/>
    <cellStyle name="40% - Accent1 2 2 2 3 6" xfId="23979" xr:uid="{00000000-0005-0000-0000-0000994D0000}"/>
    <cellStyle name="40% - Accent1 2 2 2 4" xfId="1813" xr:uid="{00000000-0005-0000-0000-00009A4D0000}"/>
    <cellStyle name="40% - Accent1 2 2 2 4 2" xfId="3706" xr:uid="{00000000-0005-0000-0000-00009B4D0000}"/>
    <cellStyle name="40% - Accent1 2 2 2 4 2 2" xfId="9417" xr:uid="{00000000-0005-0000-0000-00009C4D0000}"/>
    <cellStyle name="40% - Accent1 2 2 2 4 2 2 2" xfId="20718" xr:uid="{00000000-0005-0000-0000-00009D4D0000}"/>
    <cellStyle name="40% - Accent1 2 2 2 4 2 2 2 2" xfId="43320" xr:uid="{00000000-0005-0000-0000-00009E4D0000}"/>
    <cellStyle name="40% - Accent1 2 2 2 4 2 2 3" xfId="32019" xr:uid="{00000000-0005-0000-0000-00009F4D0000}"/>
    <cellStyle name="40% - Accent1 2 2 2 4 2 3" xfId="15068" xr:uid="{00000000-0005-0000-0000-0000A04D0000}"/>
    <cellStyle name="40% - Accent1 2 2 2 4 2 3 2" xfId="37670" xr:uid="{00000000-0005-0000-0000-0000A14D0000}"/>
    <cellStyle name="40% - Accent1 2 2 2 4 2 4" xfId="26369" xr:uid="{00000000-0005-0000-0000-0000A24D0000}"/>
    <cellStyle name="40% - Accent1 2 2 2 4 3" xfId="5450" xr:uid="{00000000-0005-0000-0000-0000A34D0000}"/>
    <cellStyle name="40% - Accent1 2 2 2 4 3 2" xfId="11100" xr:uid="{00000000-0005-0000-0000-0000A44D0000}"/>
    <cellStyle name="40% - Accent1 2 2 2 4 3 2 2" xfId="22401" xr:uid="{00000000-0005-0000-0000-0000A54D0000}"/>
    <cellStyle name="40% - Accent1 2 2 2 4 3 2 2 2" xfId="45003" xr:uid="{00000000-0005-0000-0000-0000A64D0000}"/>
    <cellStyle name="40% - Accent1 2 2 2 4 3 2 3" xfId="33702" xr:uid="{00000000-0005-0000-0000-0000A74D0000}"/>
    <cellStyle name="40% - Accent1 2 2 2 4 3 3" xfId="16751" xr:uid="{00000000-0005-0000-0000-0000A84D0000}"/>
    <cellStyle name="40% - Accent1 2 2 2 4 3 3 2" xfId="39353" xr:uid="{00000000-0005-0000-0000-0000A94D0000}"/>
    <cellStyle name="40% - Accent1 2 2 2 4 3 4" xfId="28052" xr:uid="{00000000-0005-0000-0000-0000AA4D0000}"/>
    <cellStyle name="40% - Accent1 2 2 2 4 4" xfId="7669" xr:uid="{00000000-0005-0000-0000-0000AB4D0000}"/>
    <cellStyle name="40% - Accent1 2 2 2 4 4 2" xfId="18970" xr:uid="{00000000-0005-0000-0000-0000AC4D0000}"/>
    <cellStyle name="40% - Accent1 2 2 2 4 4 2 2" xfId="41572" xr:uid="{00000000-0005-0000-0000-0000AD4D0000}"/>
    <cellStyle name="40% - Accent1 2 2 2 4 4 3" xfId="30271" xr:uid="{00000000-0005-0000-0000-0000AE4D0000}"/>
    <cellStyle name="40% - Accent1 2 2 2 4 5" xfId="13320" xr:uid="{00000000-0005-0000-0000-0000AF4D0000}"/>
    <cellStyle name="40% - Accent1 2 2 2 4 5 2" xfId="35922" xr:uid="{00000000-0005-0000-0000-0000B04D0000}"/>
    <cellStyle name="40% - Accent1 2 2 2 4 6" xfId="24621" xr:uid="{00000000-0005-0000-0000-0000B14D0000}"/>
    <cellStyle name="40% - Accent1 2 2 2 5" xfId="2431" xr:uid="{00000000-0005-0000-0000-0000B24D0000}"/>
    <cellStyle name="40% - Accent1 2 2 2 5 2" xfId="8267" xr:uid="{00000000-0005-0000-0000-0000B34D0000}"/>
    <cellStyle name="40% - Accent1 2 2 2 5 2 2" xfId="19568" xr:uid="{00000000-0005-0000-0000-0000B44D0000}"/>
    <cellStyle name="40% - Accent1 2 2 2 5 2 2 2" xfId="42170" xr:uid="{00000000-0005-0000-0000-0000B54D0000}"/>
    <cellStyle name="40% - Accent1 2 2 2 5 2 3" xfId="30869" xr:uid="{00000000-0005-0000-0000-0000B64D0000}"/>
    <cellStyle name="40% - Accent1 2 2 2 5 3" xfId="13918" xr:uid="{00000000-0005-0000-0000-0000B74D0000}"/>
    <cellStyle name="40% - Accent1 2 2 2 5 3 2" xfId="36520" xr:uid="{00000000-0005-0000-0000-0000B84D0000}"/>
    <cellStyle name="40% - Accent1 2 2 2 5 4" xfId="25219" xr:uid="{00000000-0005-0000-0000-0000B94D0000}"/>
    <cellStyle name="40% - Accent1 2 2 2 6" xfId="4216" xr:uid="{00000000-0005-0000-0000-0000BA4D0000}"/>
    <cellStyle name="40% - Accent1 2 2 2 6 2" xfId="9866" xr:uid="{00000000-0005-0000-0000-0000BB4D0000}"/>
    <cellStyle name="40% - Accent1 2 2 2 6 2 2" xfId="21167" xr:uid="{00000000-0005-0000-0000-0000BC4D0000}"/>
    <cellStyle name="40% - Accent1 2 2 2 6 2 2 2" xfId="43769" xr:uid="{00000000-0005-0000-0000-0000BD4D0000}"/>
    <cellStyle name="40% - Accent1 2 2 2 6 2 3" xfId="32468" xr:uid="{00000000-0005-0000-0000-0000BE4D0000}"/>
    <cellStyle name="40% - Accent1 2 2 2 6 3" xfId="15517" xr:uid="{00000000-0005-0000-0000-0000BF4D0000}"/>
    <cellStyle name="40% - Accent1 2 2 2 6 3 2" xfId="38119" xr:uid="{00000000-0005-0000-0000-0000C04D0000}"/>
    <cellStyle name="40% - Accent1 2 2 2 6 4" xfId="26818" xr:uid="{00000000-0005-0000-0000-0000C14D0000}"/>
    <cellStyle name="40% - Accent1 2 2 2 7" xfId="6696" xr:uid="{00000000-0005-0000-0000-0000C24D0000}"/>
    <cellStyle name="40% - Accent1 2 2 2 7 2" xfId="17997" xr:uid="{00000000-0005-0000-0000-0000C34D0000}"/>
    <cellStyle name="40% - Accent1 2 2 2 7 2 2" xfId="40599" xr:uid="{00000000-0005-0000-0000-0000C44D0000}"/>
    <cellStyle name="40% - Accent1 2 2 2 7 3" xfId="29298" xr:uid="{00000000-0005-0000-0000-0000C54D0000}"/>
    <cellStyle name="40% - Accent1 2 2 2 8" xfId="12347" xr:uid="{00000000-0005-0000-0000-0000C64D0000}"/>
    <cellStyle name="40% - Accent1 2 2 2 8 2" xfId="34949" xr:uid="{00000000-0005-0000-0000-0000C74D0000}"/>
    <cellStyle name="40% - Accent1 2 2 2 9" xfId="23648" xr:uid="{00000000-0005-0000-0000-0000C84D0000}"/>
    <cellStyle name="40% - Accent1 2 2 3" xfId="1203" xr:uid="{00000000-0005-0000-0000-0000C94D0000}"/>
    <cellStyle name="40% - Accent1 2 2 3 2" xfId="1815" xr:uid="{00000000-0005-0000-0000-0000CA4D0000}"/>
    <cellStyle name="40% - Accent1 2 2 3 2 2" xfId="3271" xr:uid="{00000000-0005-0000-0000-0000CB4D0000}"/>
    <cellStyle name="40% - Accent1 2 2 3 2 2 2" xfId="6243" xr:uid="{00000000-0005-0000-0000-0000CC4D0000}"/>
    <cellStyle name="40% - Accent1 2 2 3 2 2 2 2" xfId="11893" xr:uid="{00000000-0005-0000-0000-0000CD4D0000}"/>
    <cellStyle name="40% - Accent1 2 2 3 2 2 2 2 2" xfId="23194" xr:uid="{00000000-0005-0000-0000-0000CE4D0000}"/>
    <cellStyle name="40% - Accent1 2 2 3 2 2 2 2 2 2" xfId="45796" xr:uid="{00000000-0005-0000-0000-0000CF4D0000}"/>
    <cellStyle name="40% - Accent1 2 2 3 2 2 2 2 3" xfId="34495" xr:uid="{00000000-0005-0000-0000-0000D04D0000}"/>
    <cellStyle name="40% - Accent1 2 2 3 2 2 2 3" xfId="17544" xr:uid="{00000000-0005-0000-0000-0000D14D0000}"/>
    <cellStyle name="40% - Accent1 2 2 3 2 2 2 3 2" xfId="40146" xr:uid="{00000000-0005-0000-0000-0000D24D0000}"/>
    <cellStyle name="40% - Accent1 2 2 3 2 2 2 4" xfId="28845" xr:uid="{00000000-0005-0000-0000-0000D34D0000}"/>
    <cellStyle name="40% - Accent1 2 2 3 2 2 3" xfId="9061" xr:uid="{00000000-0005-0000-0000-0000D44D0000}"/>
    <cellStyle name="40% - Accent1 2 2 3 2 2 3 2" xfId="20362" xr:uid="{00000000-0005-0000-0000-0000D54D0000}"/>
    <cellStyle name="40% - Accent1 2 2 3 2 2 3 2 2" xfId="42964" xr:uid="{00000000-0005-0000-0000-0000D64D0000}"/>
    <cellStyle name="40% - Accent1 2 2 3 2 2 3 3" xfId="31663" xr:uid="{00000000-0005-0000-0000-0000D74D0000}"/>
    <cellStyle name="40% - Accent1 2 2 3 2 2 4" xfId="14712" xr:uid="{00000000-0005-0000-0000-0000D84D0000}"/>
    <cellStyle name="40% - Accent1 2 2 3 2 2 4 2" xfId="37314" xr:uid="{00000000-0005-0000-0000-0000D94D0000}"/>
    <cellStyle name="40% - Accent1 2 2 3 2 2 5" xfId="26013" xr:uid="{00000000-0005-0000-0000-0000DA4D0000}"/>
    <cellStyle name="40% - Accent1 2 2 3 2 3" xfId="5009" xr:uid="{00000000-0005-0000-0000-0000DB4D0000}"/>
    <cellStyle name="40% - Accent1 2 2 3 2 3 2" xfId="10659" xr:uid="{00000000-0005-0000-0000-0000DC4D0000}"/>
    <cellStyle name="40% - Accent1 2 2 3 2 3 2 2" xfId="21960" xr:uid="{00000000-0005-0000-0000-0000DD4D0000}"/>
    <cellStyle name="40% - Accent1 2 2 3 2 3 2 2 2" xfId="44562" xr:uid="{00000000-0005-0000-0000-0000DE4D0000}"/>
    <cellStyle name="40% - Accent1 2 2 3 2 3 2 3" xfId="33261" xr:uid="{00000000-0005-0000-0000-0000DF4D0000}"/>
    <cellStyle name="40% - Accent1 2 2 3 2 3 3" xfId="16310" xr:uid="{00000000-0005-0000-0000-0000E04D0000}"/>
    <cellStyle name="40% - Accent1 2 2 3 2 3 3 2" xfId="38912" xr:uid="{00000000-0005-0000-0000-0000E14D0000}"/>
    <cellStyle name="40% - Accent1 2 2 3 2 3 4" xfId="27611" xr:uid="{00000000-0005-0000-0000-0000E24D0000}"/>
    <cellStyle name="40% - Accent1 2 2 3 2 4" xfId="7671" xr:uid="{00000000-0005-0000-0000-0000E34D0000}"/>
    <cellStyle name="40% - Accent1 2 2 3 2 4 2" xfId="18972" xr:uid="{00000000-0005-0000-0000-0000E44D0000}"/>
    <cellStyle name="40% - Accent1 2 2 3 2 4 2 2" xfId="41574" xr:uid="{00000000-0005-0000-0000-0000E54D0000}"/>
    <cellStyle name="40% - Accent1 2 2 3 2 4 3" xfId="30273" xr:uid="{00000000-0005-0000-0000-0000E64D0000}"/>
    <cellStyle name="40% - Accent1 2 2 3 2 5" xfId="13322" xr:uid="{00000000-0005-0000-0000-0000E74D0000}"/>
    <cellStyle name="40% - Accent1 2 2 3 2 5 2" xfId="35924" xr:uid="{00000000-0005-0000-0000-0000E84D0000}"/>
    <cellStyle name="40% - Accent1 2 2 3 2 6" xfId="24623" xr:uid="{00000000-0005-0000-0000-0000E94D0000}"/>
    <cellStyle name="40% - Accent1 2 2 3 3" xfId="2600" xr:uid="{00000000-0005-0000-0000-0000EA4D0000}"/>
    <cellStyle name="40% - Accent1 2 2 3 3 2" xfId="5619" xr:uid="{00000000-0005-0000-0000-0000EB4D0000}"/>
    <cellStyle name="40% - Accent1 2 2 3 3 2 2" xfId="11269" xr:uid="{00000000-0005-0000-0000-0000EC4D0000}"/>
    <cellStyle name="40% - Accent1 2 2 3 3 2 2 2" xfId="22570" xr:uid="{00000000-0005-0000-0000-0000ED4D0000}"/>
    <cellStyle name="40% - Accent1 2 2 3 3 2 2 2 2" xfId="45172" xr:uid="{00000000-0005-0000-0000-0000EE4D0000}"/>
    <cellStyle name="40% - Accent1 2 2 3 3 2 2 3" xfId="33871" xr:uid="{00000000-0005-0000-0000-0000EF4D0000}"/>
    <cellStyle name="40% - Accent1 2 2 3 3 2 3" xfId="16920" xr:uid="{00000000-0005-0000-0000-0000F04D0000}"/>
    <cellStyle name="40% - Accent1 2 2 3 3 2 3 2" xfId="39522" xr:uid="{00000000-0005-0000-0000-0000F14D0000}"/>
    <cellStyle name="40% - Accent1 2 2 3 3 2 4" xfId="28221" xr:uid="{00000000-0005-0000-0000-0000F24D0000}"/>
    <cellStyle name="40% - Accent1 2 2 3 3 3" xfId="8436" xr:uid="{00000000-0005-0000-0000-0000F34D0000}"/>
    <cellStyle name="40% - Accent1 2 2 3 3 3 2" xfId="19737" xr:uid="{00000000-0005-0000-0000-0000F44D0000}"/>
    <cellStyle name="40% - Accent1 2 2 3 3 3 2 2" xfId="42339" xr:uid="{00000000-0005-0000-0000-0000F54D0000}"/>
    <cellStyle name="40% - Accent1 2 2 3 3 3 3" xfId="31038" xr:uid="{00000000-0005-0000-0000-0000F64D0000}"/>
    <cellStyle name="40% - Accent1 2 2 3 3 4" xfId="14087" xr:uid="{00000000-0005-0000-0000-0000F74D0000}"/>
    <cellStyle name="40% - Accent1 2 2 3 3 4 2" xfId="36689" xr:uid="{00000000-0005-0000-0000-0000F84D0000}"/>
    <cellStyle name="40% - Accent1 2 2 3 3 5" xfId="25388" xr:uid="{00000000-0005-0000-0000-0000F94D0000}"/>
    <cellStyle name="40% - Accent1 2 2 3 4" xfId="4385" xr:uid="{00000000-0005-0000-0000-0000FA4D0000}"/>
    <cellStyle name="40% - Accent1 2 2 3 4 2" xfId="10035" xr:uid="{00000000-0005-0000-0000-0000FB4D0000}"/>
    <cellStyle name="40% - Accent1 2 2 3 4 2 2" xfId="21336" xr:uid="{00000000-0005-0000-0000-0000FC4D0000}"/>
    <cellStyle name="40% - Accent1 2 2 3 4 2 2 2" xfId="43938" xr:uid="{00000000-0005-0000-0000-0000FD4D0000}"/>
    <cellStyle name="40% - Accent1 2 2 3 4 2 3" xfId="32637" xr:uid="{00000000-0005-0000-0000-0000FE4D0000}"/>
    <cellStyle name="40% - Accent1 2 2 3 4 3" xfId="15686" xr:uid="{00000000-0005-0000-0000-0000FF4D0000}"/>
    <cellStyle name="40% - Accent1 2 2 3 4 3 2" xfId="38288" xr:uid="{00000000-0005-0000-0000-0000004E0000}"/>
    <cellStyle name="40% - Accent1 2 2 3 4 4" xfId="26987" xr:uid="{00000000-0005-0000-0000-0000014E0000}"/>
    <cellStyle name="40% - Accent1 2 2 3 5" xfId="7182" xr:uid="{00000000-0005-0000-0000-0000024E0000}"/>
    <cellStyle name="40% - Accent1 2 2 3 5 2" xfId="18483" xr:uid="{00000000-0005-0000-0000-0000034E0000}"/>
    <cellStyle name="40% - Accent1 2 2 3 5 2 2" xfId="41085" xr:uid="{00000000-0005-0000-0000-0000044E0000}"/>
    <cellStyle name="40% - Accent1 2 2 3 5 3" xfId="29784" xr:uid="{00000000-0005-0000-0000-0000054E0000}"/>
    <cellStyle name="40% - Accent1 2 2 3 6" xfId="12833" xr:uid="{00000000-0005-0000-0000-0000064E0000}"/>
    <cellStyle name="40% - Accent1 2 2 3 6 2" xfId="35435" xr:uid="{00000000-0005-0000-0000-0000074E0000}"/>
    <cellStyle name="40% - Accent1 2 2 3 7" xfId="24134" xr:uid="{00000000-0005-0000-0000-0000084E0000}"/>
    <cellStyle name="40% - Accent1 2 2 4" xfId="893" xr:uid="{00000000-0005-0000-0000-0000094E0000}"/>
    <cellStyle name="40% - Accent1 2 2 4 2" xfId="2964" xr:uid="{00000000-0005-0000-0000-00000A4E0000}"/>
    <cellStyle name="40% - Accent1 2 2 4 2 2" xfId="5936" xr:uid="{00000000-0005-0000-0000-00000B4E0000}"/>
    <cellStyle name="40% - Accent1 2 2 4 2 2 2" xfId="11586" xr:uid="{00000000-0005-0000-0000-00000C4E0000}"/>
    <cellStyle name="40% - Accent1 2 2 4 2 2 2 2" xfId="22887" xr:uid="{00000000-0005-0000-0000-00000D4E0000}"/>
    <cellStyle name="40% - Accent1 2 2 4 2 2 2 2 2" xfId="45489" xr:uid="{00000000-0005-0000-0000-00000E4E0000}"/>
    <cellStyle name="40% - Accent1 2 2 4 2 2 2 3" xfId="34188" xr:uid="{00000000-0005-0000-0000-00000F4E0000}"/>
    <cellStyle name="40% - Accent1 2 2 4 2 2 3" xfId="17237" xr:uid="{00000000-0005-0000-0000-0000104E0000}"/>
    <cellStyle name="40% - Accent1 2 2 4 2 2 3 2" xfId="39839" xr:uid="{00000000-0005-0000-0000-0000114E0000}"/>
    <cellStyle name="40% - Accent1 2 2 4 2 2 4" xfId="28538" xr:uid="{00000000-0005-0000-0000-0000124E0000}"/>
    <cellStyle name="40% - Accent1 2 2 4 2 3" xfId="8754" xr:uid="{00000000-0005-0000-0000-0000134E0000}"/>
    <cellStyle name="40% - Accent1 2 2 4 2 3 2" xfId="20055" xr:uid="{00000000-0005-0000-0000-0000144E0000}"/>
    <cellStyle name="40% - Accent1 2 2 4 2 3 2 2" xfId="42657" xr:uid="{00000000-0005-0000-0000-0000154E0000}"/>
    <cellStyle name="40% - Accent1 2 2 4 2 3 3" xfId="31356" xr:uid="{00000000-0005-0000-0000-0000164E0000}"/>
    <cellStyle name="40% - Accent1 2 2 4 2 4" xfId="14405" xr:uid="{00000000-0005-0000-0000-0000174E0000}"/>
    <cellStyle name="40% - Accent1 2 2 4 2 4 2" xfId="37007" xr:uid="{00000000-0005-0000-0000-0000184E0000}"/>
    <cellStyle name="40% - Accent1 2 2 4 2 5" xfId="25706" xr:uid="{00000000-0005-0000-0000-0000194E0000}"/>
    <cellStyle name="40% - Accent1 2 2 4 3" xfId="4702" xr:uid="{00000000-0005-0000-0000-00001A4E0000}"/>
    <cellStyle name="40% - Accent1 2 2 4 3 2" xfId="10352" xr:uid="{00000000-0005-0000-0000-00001B4E0000}"/>
    <cellStyle name="40% - Accent1 2 2 4 3 2 2" xfId="21653" xr:uid="{00000000-0005-0000-0000-00001C4E0000}"/>
    <cellStyle name="40% - Accent1 2 2 4 3 2 2 2" xfId="44255" xr:uid="{00000000-0005-0000-0000-00001D4E0000}"/>
    <cellStyle name="40% - Accent1 2 2 4 3 2 3" xfId="32954" xr:uid="{00000000-0005-0000-0000-00001E4E0000}"/>
    <cellStyle name="40% - Accent1 2 2 4 3 3" xfId="16003" xr:uid="{00000000-0005-0000-0000-00001F4E0000}"/>
    <cellStyle name="40% - Accent1 2 2 4 3 3 2" xfId="38605" xr:uid="{00000000-0005-0000-0000-0000204E0000}"/>
    <cellStyle name="40% - Accent1 2 2 4 3 4" xfId="27304" xr:uid="{00000000-0005-0000-0000-0000214E0000}"/>
    <cellStyle name="40% - Accent1 2 2 4 4" xfId="6889" xr:uid="{00000000-0005-0000-0000-0000224E0000}"/>
    <cellStyle name="40% - Accent1 2 2 4 4 2" xfId="18190" xr:uid="{00000000-0005-0000-0000-0000234E0000}"/>
    <cellStyle name="40% - Accent1 2 2 4 4 2 2" xfId="40792" xr:uid="{00000000-0005-0000-0000-0000244E0000}"/>
    <cellStyle name="40% - Accent1 2 2 4 4 3" xfId="29491" xr:uid="{00000000-0005-0000-0000-0000254E0000}"/>
    <cellStyle name="40% - Accent1 2 2 4 5" xfId="12540" xr:uid="{00000000-0005-0000-0000-0000264E0000}"/>
    <cellStyle name="40% - Accent1 2 2 4 5 2" xfId="35142" xr:uid="{00000000-0005-0000-0000-0000274E0000}"/>
    <cellStyle name="40% - Accent1 2 2 4 6" xfId="23841" xr:uid="{00000000-0005-0000-0000-0000284E0000}"/>
    <cellStyle name="40% - Accent1 2 2 5" xfId="1812" xr:uid="{00000000-0005-0000-0000-0000294E0000}"/>
    <cellStyle name="40% - Accent1 2 2 5 2" xfId="3705" xr:uid="{00000000-0005-0000-0000-00002A4E0000}"/>
    <cellStyle name="40% - Accent1 2 2 5 2 2" xfId="9416" xr:uid="{00000000-0005-0000-0000-00002B4E0000}"/>
    <cellStyle name="40% - Accent1 2 2 5 2 2 2" xfId="20717" xr:uid="{00000000-0005-0000-0000-00002C4E0000}"/>
    <cellStyle name="40% - Accent1 2 2 5 2 2 2 2" xfId="43319" xr:uid="{00000000-0005-0000-0000-00002D4E0000}"/>
    <cellStyle name="40% - Accent1 2 2 5 2 2 3" xfId="32018" xr:uid="{00000000-0005-0000-0000-00002E4E0000}"/>
    <cellStyle name="40% - Accent1 2 2 5 2 3" xfId="15067" xr:uid="{00000000-0005-0000-0000-00002F4E0000}"/>
    <cellStyle name="40% - Accent1 2 2 5 2 3 2" xfId="37669" xr:uid="{00000000-0005-0000-0000-0000304E0000}"/>
    <cellStyle name="40% - Accent1 2 2 5 2 4" xfId="26368" xr:uid="{00000000-0005-0000-0000-0000314E0000}"/>
    <cellStyle name="40% - Accent1 2 2 5 3" xfId="5312" xr:uid="{00000000-0005-0000-0000-0000324E0000}"/>
    <cellStyle name="40% - Accent1 2 2 5 3 2" xfId="10962" xr:uid="{00000000-0005-0000-0000-0000334E0000}"/>
    <cellStyle name="40% - Accent1 2 2 5 3 2 2" xfId="22263" xr:uid="{00000000-0005-0000-0000-0000344E0000}"/>
    <cellStyle name="40% - Accent1 2 2 5 3 2 2 2" xfId="44865" xr:uid="{00000000-0005-0000-0000-0000354E0000}"/>
    <cellStyle name="40% - Accent1 2 2 5 3 2 3" xfId="33564" xr:uid="{00000000-0005-0000-0000-0000364E0000}"/>
    <cellStyle name="40% - Accent1 2 2 5 3 3" xfId="16613" xr:uid="{00000000-0005-0000-0000-0000374E0000}"/>
    <cellStyle name="40% - Accent1 2 2 5 3 3 2" xfId="39215" xr:uid="{00000000-0005-0000-0000-0000384E0000}"/>
    <cellStyle name="40% - Accent1 2 2 5 3 4" xfId="27914" xr:uid="{00000000-0005-0000-0000-0000394E0000}"/>
    <cellStyle name="40% - Accent1 2 2 5 4" xfId="7668" xr:uid="{00000000-0005-0000-0000-00003A4E0000}"/>
    <cellStyle name="40% - Accent1 2 2 5 4 2" xfId="18969" xr:uid="{00000000-0005-0000-0000-00003B4E0000}"/>
    <cellStyle name="40% - Accent1 2 2 5 4 2 2" xfId="41571" xr:uid="{00000000-0005-0000-0000-00003C4E0000}"/>
    <cellStyle name="40% - Accent1 2 2 5 4 3" xfId="30270" xr:uid="{00000000-0005-0000-0000-00003D4E0000}"/>
    <cellStyle name="40% - Accent1 2 2 5 5" xfId="13319" xr:uid="{00000000-0005-0000-0000-00003E4E0000}"/>
    <cellStyle name="40% - Accent1 2 2 5 5 2" xfId="35921" xr:uid="{00000000-0005-0000-0000-00003F4E0000}"/>
    <cellStyle name="40% - Accent1 2 2 5 6" xfId="24620" xr:uid="{00000000-0005-0000-0000-0000404E0000}"/>
    <cellStyle name="40% - Accent1 2 2 6" xfId="2291" xr:uid="{00000000-0005-0000-0000-0000414E0000}"/>
    <cellStyle name="40% - Accent1 2 2 6 2" xfId="8127" xr:uid="{00000000-0005-0000-0000-0000424E0000}"/>
    <cellStyle name="40% - Accent1 2 2 6 2 2" xfId="19428" xr:uid="{00000000-0005-0000-0000-0000434E0000}"/>
    <cellStyle name="40% - Accent1 2 2 6 2 2 2" xfId="42030" xr:uid="{00000000-0005-0000-0000-0000444E0000}"/>
    <cellStyle name="40% - Accent1 2 2 6 2 3" xfId="30729" xr:uid="{00000000-0005-0000-0000-0000454E0000}"/>
    <cellStyle name="40% - Accent1 2 2 6 3" xfId="13778" xr:uid="{00000000-0005-0000-0000-0000464E0000}"/>
    <cellStyle name="40% - Accent1 2 2 6 3 2" xfId="36380" xr:uid="{00000000-0005-0000-0000-0000474E0000}"/>
    <cellStyle name="40% - Accent1 2 2 6 4" xfId="25079" xr:uid="{00000000-0005-0000-0000-0000484E0000}"/>
    <cellStyle name="40% - Accent1 2 2 7" xfId="4078" xr:uid="{00000000-0005-0000-0000-0000494E0000}"/>
    <cellStyle name="40% - Accent1 2 2 7 2" xfId="9728" xr:uid="{00000000-0005-0000-0000-00004A4E0000}"/>
    <cellStyle name="40% - Accent1 2 2 7 2 2" xfId="21029" xr:uid="{00000000-0005-0000-0000-00004B4E0000}"/>
    <cellStyle name="40% - Accent1 2 2 7 2 2 2" xfId="43631" xr:uid="{00000000-0005-0000-0000-00004C4E0000}"/>
    <cellStyle name="40% - Accent1 2 2 7 2 3" xfId="32330" xr:uid="{00000000-0005-0000-0000-00004D4E0000}"/>
    <cellStyle name="40% - Accent1 2 2 7 3" xfId="15379" xr:uid="{00000000-0005-0000-0000-00004E4E0000}"/>
    <cellStyle name="40% - Accent1 2 2 7 3 2" xfId="37981" xr:uid="{00000000-0005-0000-0000-00004F4E0000}"/>
    <cellStyle name="40% - Accent1 2 2 7 4" xfId="26680" xr:uid="{00000000-0005-0000-0000-0000504E0000}"/>
    <cellStyle name="40% - Accent1 2 2 8" xfId="6529" xr:uid="{00000000-0005-0000-0000-0000514E0000}"/>
    <cellStyle name="40% - Accent1 2 2 8 2" xfId="17830" xr:uid="{00000000-0005-0000-0000-0000524E0000}"/>
    <cellStyle name="40% - Accent1 2 2 8 2 2" xfId="40432" xr:uid="{00000000-0005-0000-0000-0000534E0000}"/>
    <cellStyle name="40% - Accent1 2 2 8 3" xfId="29131" xr:uid="{00000000-0005-0000-0000-0000544E0000}"/>
    <cellStyle name="40% - Accent1 2 2 9" xfId="12180" xr:uid="{00000000-0005-0000-0000-0000554E0000}"/>
    <cellStyle name="40% - Accent1 2 2 9 2" xfId="34782" xr:uid="{00000000-0005-0000-0000-0000564E0000}"/>
    <cellStyle name="40% - Accent1 2 3" xfId="2819" xr:uid="{00000000-0005-0000-0000-0000574E0000}"/>
    <cellStyle name="40% - Accent1 2 3 2" xfId="3888" xr:uid="{00000000-0005-0000-0000-0000584E0000}"/>
    <cellStyle name="40% - Accent1 2 3 2 2" xfId="5834" xr:uid="{00000000-0005-0000-0000-0000594E0000}"/>
    <cellStyle name="40% - Accent1 2 3 2 2 2" xfId="11484" xr:uid="{00000000-0005-0000-0000-00005A4E0000}"/>
    <cellStyle name="40% - Accent1 2 3 2 2 2 2" xfId="22785" xr:uid="{00000000-0005-0000-0000-00005B4E0000}"/>
    <cellStyle name="40% - Accent1 2 3 2 2 2 2 2" xfId="45387" xr:uid="{00000000-0005-0000-0000-00005C4E0000}"/>
    <cellStyle name="40% - Accent1 2 3 2 2 2 3" xfId="34086" xr:uid="{00000000-0005-0000-0000-00005D4E0000}"/>
    <cellStyle name="40% - Accent1 2 3 2 2 3" xfId="17135" xr:uid="{00000000-0005-0000-0000-00005E4E0000}"/>
    <cellStyle name="40% - Accent1 2 3 2 2 3 2" xfId="39737" xr:uid="{00000000-0005-0000-0000-00005F4E0000}"/>
    <cellStyle name="40% - Accent1 2 3 2 2 4" xfId="28436" xr:uid="{00000000-0005-0000-0000-0000604E0000}"/>
    <cellStyle name="40% - Accent1 2 3 2 3" xfId="9596" xr:uid="{00000000-0005-0000-0000-0000614E0000}"/>
    <cellStyle name="40% - Accent1 2 3 2 3 2" xfId="20897" xr:uid="{00000000-0005-0000-0000-0000624E0000}"/>
    <cellStyle name="40% - Accent1 2 3 2 3 2 2" xfId="43499" xr:uid="{00000000-0005-0000-0000-0000634E0000}"/>
    <cellStyle name="40% - Accent1 2 3 2 3 3" xfId="32198" xr:uid="{00000000-0005-0000-0000-0000644E0000}"/>
    <cellStyle name="40% - Accent1 2 3 2 4" xfId="15247" xr:uid="{00000000-0005-0000-0000-0000654E0000}"/>
    <cellStyle name="40% - Accent1 2 3 2 4 2" xfId="37849" xr:uid="{00000000-0005-0000-0000-0000664E0000}"/>
    <cellStyle name="40% - Accent1 2 3 2 5" xfId="26548" xr:uid="{00000000-0005-0000-0000-0000674E0000}"/>
    <cellStyle name="40% - Accent1 2 3 3" xfId="4600" xr:uid="{00000000-0005-0000-0000-0000684E0000}"/>
    <cellStyle name="40% - Accent1 2 3 3 2" xfId="10250" xr:uid="{00000000-0005-0000-0000-0000694E0000}"/>
    <cellStyle name="40% - Accent1 2 3 3 2 2" xfId="21551" xr:uid="{00000000-0005-0000-0000-00006A4E0000}"/>
    <cellStyle name="40% - Accent1 2 3 3 2 2 2" xfId="44153" xr:uid="{00000000-0005-0000-0000-00006B4E0000}"/>
    <cellStyle name="40% - Accent1 2 3 3 2 3" xfId="32852" xr:uid="{00000000-0005-0000-0000-00006C4E0000}"/>
    <cellStyle name="40% - Accent1 2 3 3 3" xfId="15901" xr:uid="{00000000-0005-0000-0000-00006D4E0000}"/>
    <cellStyle name="40% - Accent1 2 3 3 3 2" xfId="38503" xr:uid="{00000000-0005-0000-0000-00006E4E0000}"/>
    <cellStyle name="40% - Accent1 2 3 3 4" xfId="27202" xr:uid="{00000000-0005-0000-0000-00006F4E0000}"/>
    <cellStyle name="40% - Accent1 2 3 4" xfId="8652" xr:uid="{00000000-0005-0000-0000-0000704E0000}"/>
    <cellStyle name="40% - Accent1 2 3 4 2" xfId="19953" xr:uid="{00000000-0005-0000-0000-0000714E0000}"/>
    <cellStyle name="40% - Accent1 2 3 4 2 2" xfId="42555" xr:uid="{00000000-0005-0000-0000-0000724E0000}"/>
    <cellStyle name="40% - Accent1 2 3 4 3" xfId="31254" xr:uid="{00000000-0005-0000-0000-0000734E0000}"/>
    <cellStyle name="40% - Accent1 2 3 5" xfId="14303" xr:uid="{00000000-0005-0000-0000-0000744E0000}"/>
    <cellStyle name="40% - Accent1 2 3 5 2" xfId="36905" xr:uid="{00000000-0005-0000-0000-0000754E0000}"/>
    <cellStyle name="40% - Accent1 2 3 6" xfId="25604" xr:uid="{00000000-0005-0000-0000-0000764E0000}"/>
    <cellStyle name="40% - Accent1 2 4" xfId="2835" xr:uid="{00000000-0005-0000-0000-0000774E0000}"/>
    <cellStyle name="40% - Accent1 2 5" xfId="3815" xr:uid="{00000000-0005-0000-0000-0000784E0000}"/>
    <cellStyle name="40% - Accent1 2 5 2" xfId="9525" xr:uid="{00000000-0005-0000-0000-0000794E0000}"/>
    <cellStyle name="40% - Accent1 2 5 2 2" xfId="20826" xr:uid="{00000000-0005-0000-0000-00007A4E0000}"/>
    <cellStyle name="40% - Accent1 2 5 2 2 2" xfId="43428" xr:uid="{00000000-0005-0000-0000-00007B4E0000}"/>
    <cellStyle name="40% - Accent1 2 5 2 3" xfId="32127" xr:uid="{00000000-0005-0000-0000-00007C4E0000}"/>
    <cellStyle name="40% - Accent1 2 5 3" xfId="15176" xr:uid="{00000000-0005-0000-0000-00007D4E0000}"/>
    <cellStyle name="40% - Accent1 2 5 3 2" xfId="37778" xr:uid="{00000000-0005-0000-0000-00007E4E0000}"/>
    <cellStyle name="40% - Accent1 2 5 4" xfId="26477" xr:uid="{00000000-0005-0000-0000-00007F4E0000}"/>
    <cellStyle name="40% - Accent1 2 6" xfId="3942" xr:uid="{00000000-0005-0000-0000-0000804E0000}"/>
    <cellStyle name="40% - Accent1 2 7" xfId="155" xr:uid="{00000000-0005-0000-0000-0000814E0000}"/>
    <cellStyle name="40% - Accent1 3" xfId="211" xr:uid="{00000000-0005-0000-0000-0000824E0000}"/>
    <cellStyle name="40% - Accent1 3 2" xfId="343" xr:uid="{00000000-0005-0000-0000-0000834E0000}"/>
    <cellStyle name="40% - Accent1 3 2 10" xfId="23454" xr:uid="{00000000-0005-0000-0000-0000844E0000}"/>
    <cellStyle name="40% - Accent1 3 2 2" xfId="604" xr:uid="{00000000-0005-0000-0000-0000854E0000}"/>
    <cellStyle name="40% - Accent1 3 2 2 2" xfId="1314" xr:uid="{00000000-0005-0000-0000-0000864E0000}"/>
    <cellStyle name="40% - Accent1 3 2 2 2 2" xfId="1818" xr:uid="{00000000-0005-0000-0000-0000874E0000}"/>
    <cellStyle name="40% - Accent1 3 2 2 2 2 2" xfId="3383" xr:uid="{00000000-0005-0000-0000-0000884E0000}"/>
    <cellStyle name="40% - Accent1 3 2 2 2 2 2 2" xfId="6355" xr:uid="{00000000-0005-0000-0000-0000894E0000}"/>
    <cellStyle name="40% - Accent1 3 2 2 2 2 2 2 2" xfId="12005" xr:uid="{00000000-0005-0000-0000-00008A4E0000}"/>
    <cellStyle name="40% - Accent1 3 2 2 2 2 2 2 2 2" xfId="23306" xr:uid="{00000000-0005-0000-0000-00008B4E0000}"/>
    <cellStyle name="40% - Accent1 3 2 2 2 2 2 2 2 2 2" xfId="45908" xr:uid="{00000000-0005-0000-0000-00008C4E0000}"/>
    <cellStyle name="40% - Accent1 3 2 2 2 2 2 2 2 3" xfId="34607" xr:uid="{00000000-0005-0000-0000-00008D4E0000}"/>
    <cellStyle name="40% - Accent1 3 2 2 2 2 2 2 3" xfId="17656" xr:uid="{00000000-0005-0000-0000-00008E4E0000}"/>
    <cellStyle name="40% - Accent1 3 2 2 2 2 2 2 3 2" xfId="40258" xr:uid="{00000000-0005-0000-0000-00008F4E0000}"/>
    <cellStyle name="40% - Accent1 3 2 2 2 2 2 2 4" xfId="28957" xr:uid="{00000000-0005-0000-0000-0000904E0000}"/>
    <cellStyle name="40% - Accent1 3 2 2 2 2 2 3" xfId="9173" xr:uid="{00000000-0005-0000-0000-0000914E0000}"/>
    <cellStyle name="40% - Accent1 3 2 2 2 2 2 3 2" xfId="20474" xr:uid="{00000000-0005-0000-0000-0000924E0000}"/>
    <cellStyle name="40% - Accent1 3 2 2 2 2 2 3 2 2" xfId="43076" xr:uid="{00000000-0005-0000-0000-0000934E0000}"/>
    <cellStyle name="40% - Accent1 3 2 2 2 2 2 3 3" xfId="31775" xr:uid="{00000000-0005-0000-0000-0000944E0000}"/>
    <cellStyle name="40% - Accent1 3 2 2 2 2 2 4" xfId="14824" xr:uid="{00000000-0005-0000-0000-0000954E0000}"/>
    <cellStyle name="40% - Accent1 3 2 2 2 2 2 4 2" xfId="37426" xr:uid="{00000000-0005-0000-0000-0000964E0000}"/>
    <cellStyle name="40% - Accent1 3 2 2 2 2 2 5" xfId="26125" xr:uid="{00000000-0005-0000-0000-0000974E0000}"/>
    <cellStyle name="40% - Accent1 3 2 2 2 2 3" xfId="5121" xr:uid="{00000000-0005-0000-0000-0000984E0000}"/>
    <cellStyle name="40% - Accent1 3 2 2 2 2 3 2" xfId="10771" xr:uid="{00000000-0005-0000-0000-0000994E0000}"/>
    <cellStyle name="40% - Accent1 3 2 2 2 2 3 2 2" xfId="22072" xr:uid="{00000000-0005-0000-0000-00009A4E0000}"/>
    <cellStyle name="40% - Accent1 3 2 2 2 2 3 2 2 2" xfId="44674" xr:uid="{00000000-0005-0000-0000-00009B4E0000}"/>
    <cellStyle name="40% - Accent1 3 2 2 2 2 3 2 3" xfId="33373" xr:uid="{00000000-0005-0000-0000-00009C4E0000}"/>
    <cellStyle name="40% - Accent1 3 2 2 2 2 3 3" xfId="16422" xr:uid="{00000000-0005-0000-0000-00009D4E0000}"/>
    <cellStyle name="40% - Accent1 3 2 2 2 2 3 3 2" xfId="39024" xr:uid="{00000000-0005-0000-0000-00009E4E0000}"/>
    <cellStyle name="40% - Accent1 3 2 2 2 2 3 4" xfId="27723" xr:uid="{00000000-0005-0000-0000-00009F4E0000}"/>
    <cellStyle name="40% - Accent1 3 2 2 2 2 4" xfId="7674" xr:uid="{00000000-0005-0000-0000-0000A04E0000}"/>
    <cellStyle name="40% - Accent1 3 2 2 2 2 4 2" xfId="18975" xr:uid="{00000000-0005-0000-0000-0000A14E0000}"/>
    <cellStyle name="40% - Accent1 3 2 2 2 2 4 2 2" xfId="41577" xr:uid="{00000000-0005-0000-0000-0000A24E0000}"/>
    <cellStyle name="40% - Accent1 3 2 2 2 2 4 3" xfId="30276" xr:uid="{00000000-0005-0000-0000-0000A34E0000}"/>
    <cellStyle name="40% - Accent1 3 2 2 2 2 5" xfId="13325" xr:uid="{00000000-0005-0000-0000-0000A44E0000}"/>
    <cellStyle name="40% - Accent1 3 2 2 2 2 5 2" xfId="35927" xr:uid="{00000000-0005-0000-0000-0000A54E0000}"/>
    <cellStyle name="40% - Accent1 3 2 2 2 2 6" xfId="24626" xr:uid="{00000000-0005-0000-0000-0000A64E0000}"/>
    <cellStyle name="40% - Accent1 3 2 2 2 3" xfId="2712" xr:uid="{00000000-0005-0000-0000-0000A74E0000}"/>
    <cellStyle name="40% - Accent1 3 2 2 2 3 2" xfId="5731" xr:uid="{00000000-0005-0000-0000-0000A84E0000}"/>
    <cellStyle name="40% - Accent1 3 2 2 2 3 2 2" xfId="11381" xr:uid="{00000000-0005-0000-0000-0000A94E0000}"/>
    <cellStyle name="40% - Accent1 3 2 2 2 3 2 2 2" xfId="22682" xr:uid="{00000000-0005-0000-0000-0000AA4E0000}"/>
    <cellStyle name="40% - Accent1 3 2 2 2 3 2 2 2 2" xfId="45284" xr:uid="{00000000-0005-0000-0000-0000AB4E0000}"/>
    <cellStyle name="40% - Accent1 3 2 2 2 3 2 2 3" xfId="33983" xr:uid="{00000000-0005-0000-0000-0000AC4E0000}"/>
    <cellStyle name="40% - Accent1 3 2 2 2 3 2 3" xfId="17032" xr:uid="{00000000-0005-0000-0000-0000AD4E0000}"/>
    <cellStyle name="40% - Accent1 3 2 2 2 3 2 3 2" xfId="39634" xr:uid="{00000000-0005-0000-0000-0000AE4E0000}"/>
    <cellStyle name="40% - Accent1 3 2 2 2 3 2 4" xfId="28333" xr:uid="{00000000-0005-0000-0000-0000AF4E0000}"/>
    <cellStyle name="40% - Accent1 3 2 2 2 3 3" xfId="8548" xr:uid="{00000000-0005-0000-0000-0000B04E0000}"/>
    <cellStyle name="40% - Accent1 3 2 2 2 3 3 2" xfId="19849" xr:uid="{00000000-0005-0000-0000-0000B14E0000}"/>
    <cellStyle name="40% - Accent1 3 2 2 2 3 3 2 2" xfId="42451" xr:uid="{00000000-0005-0000-0000-0000B24E0000}"/>
    <cellStyle name="40% - Accent1 3 2 2 2 3 3 3" xfId="31150" xr:uid="{00000000-0005-0000-0000-0000B34E0000}"/>
    <cellStyle name="40% - Accent1 3 2 2 2 3 4" xfId="14199" xr:uid="{00000000-0005-0000-0000-0000B44E0000}"/>
    <cellStyle name="40% - Accent1 3 2 2 2 3 4 2" xfId="36801" xr:uid="{00000000-0005-0000-0000-0000B54E0000}"/>
    <cellStyle name="40% - Accent1 3 2 2 2 3 5" xfId="25500" xr:uid="{00000000-0005-0000-0000-0000B64E0000}"/>
    <cellStyle name="40% - Accent1 3 2 2 2 4" xfId="4497" xr:uid="{00000000-0005-0000-0000-0000B74E0000}"/>
    <cellStyle name="40% - Accent1 3 2 2 2 4 2" xfId="10147" xr:uid="{00000000-0005-0000-0000-0000B84E0000}"/>
    <cellStyle name="40% - Accent1 3 2 2 2 4 2 2" xfId="21448" xr:uid="{00000000-0005-0000-0000-0000B94E0000}"/>
    <cellStyle name="40% - Accent1 3 2 2 2 4 2 2 2" xfId="44050" xr:uid="{00000000-0005-0000-0000-0000BA4E0000}"/>
    <cellStyle name="40% - Accent1 3 2 2 2 4 2 3" xfId="32749" xr:uid="{00000000-0005-0000-0000-0000BB4E0000}"/>
    <cellStyle name="40% - Accent1 3 2 2 2 4 3" xfId="15798" xr:uid="{00000000-0005-0000-0000-0000BC4E0000}"/>
    <cellStyle name="40% - Accent1 3 2 2 2 4 3 2" xfId="38400" xr:uid="{00000000-0005-0000-0000-0000BD4E0000}"/>
    <cellStyle name="40% - Accent1 3 2 2 2 4 4" xfId="27099" xr:uid="{00000000-0005-0000-0000-0000BE4E0000}"/>
    <cellStyle name="40% - Accent1 3 2 2 2 5" xfId="7293" xr:uid="{00000000-0005-0000-0000-0000BF4E0000}"/>
    <cellStyle name="40% - Accent1 3 2 2 2 5 2" xfId="18594" xr:uid="{00000000-0005-0000-0000-0000C04E0000}"/>
    <cellStyle name="40% - Accent1 3 2 2 2 5 2 2" xfId="41196" xr:uid="{00000000-0005-0000-0000-0000C14E0000}"/>
    <cellStyle name="40% - Accent1 3 2 2 2 5 3" xfId="29895" xr:uid="{00000000-0005-0000-0000-0000C24E0000}"/>
    <cellStyle name="40% - Accent1 3 2 2 2 6" xfId="12944" xr:uid="{00000000-0005-0000-0000-0000C34E0000}"/>
    <cellStyle name="40% - Accent1 3 2 2 2 6 2" xfId="35546" xr:uid="{00000000-0005-0000-0000-0000C44E0000}"/>
    <cellStyle name="40% - Accent1 3 2 2 2 7" xfId="24245" xr:uid="{00000000-0005-0000-0000-0000C54E0000}"/>
    <cellStyle name="40% - Accent1 3 2 2 3" xfId="1012" xr:uid="{00000000-0005-0000-0000-0000C64E0000}"/>
    <cellStyle name="40% - Accent1 3 2 2 3 2" xfId="3075" xr:uid="{00000000-0005-0000-0000-0000C74E0000}"/>
    <cellStyle name="40% - Accent1 3 2 2 3 2 2" xfId="6047" xr:uid="{00000000-0005-0000-0000-0000C84E0000}"/>
    <cellStyle name="40% - Accent1 3 2 2 3 2 2 2" xfId="11697" xr:uid="{00000000-0005-0000-0000-0000C94E0000}"/>
    <cellStyle name="40% - Accent1 3 2 2 3 2 2 2 2" xfId="22998" xr:uid="{00000000-0005-0000-0000-0000CA4E0000}"/>
    <cellStyle name="40% - Accent1 3 2 2 3 2 2 2 2 2" xfId="45600" xr:uid="{00000000-0005-0000-0000-0000CB4E0000}"/>
    <cellStyle name="40% - Accent1 3 2 2 3 2 2 2 3" xfId="34299" xr:uid="{00000000-0005-0000-0000-0000CC4E0000}"/>
    <cellStyle name="40% - Accent1 3 2 2 3 2 2 3" xfId="17348" xr:uid="{00000000-0005-0000-0000-0000CD4E0000}"/>
    <cellStyle name="40% - Accent1 3 2 2 3 2 2 3 2" xfId="39950" xr:uid="{00000000-0005-0000-0000-0000CE4E0000}"/>
    <cellStyle name="40% - Accent1 3 2 2 3 2 2 4" xfId="28649" xr:uid="{00000000-0005-0000-0000-0000CF4E0000}"/>
    <cellStyle name="40% - Accent1 3 2 2 3 2 3" xfId="8865" xr:uid="{00000000-0005-0000-0000-0000D04E0000}"/>
    <cellStyle name="40% - Accent1 3 2 2 3 2 3 2" xfId="20166" xr:uid="{00000000-0005-0000-0000-0000D14E0000}"/>
    <cellStyle name="40% - Accent1 3 2 2 3 2 3 2 2" xfId="42768" xr:uid="{00000000-0005-0000-0000-0000D24E0000}"/>
    <cellStyle name="40% - Accent1 3 2 2 3 2 3 3" xfId="31467" xr:uid="{00000000-0005-0000-0000-0000D34E0000}"/>
    <cellStyle name="40% - Accent1 3 2 2 3 2 4" xfId="14516" xr:uid="{00000000-0005-0000-0000-0000D44E0000}"/>
    <cellStyle name="40% - Accent1 3 2 2 3 2 4 2" xfId="37118" xr:uid="{00000000-0005-0000-0000-0000D54E0000}"/>
    <cellStyle name="40% - Accent1 3 2 2 3 2 5" xfId="25817" xr:uid="{00000000-0005-0000-0000-0000D64E0000}"/>
    <cellStyle name="40% - Accent1 3 2 2 3 3" xfId="4813" xr:uid="{00000000-0005-0000-0000-0000D74E0000}"/>
    <cellStyle name="40% - Accent1 3 2 2 3 3 2" xfId="10463" xr:uid="{00000000-0005-0000-0000-0000D84E0000}"/>
    <cellStyle name="40% - Accent1 3 2 2 3 3 2 2" xfId="21764" xr:uid="{00000000-0005-0000-0000-0000D94E0000}"/>
    <cellStyle name="40% - Accent1 3 2 2 3 3 2 2 2" xfId="44366" xr:uid="{00000000-0005-0000-0000-0000DA4E0000}"/>
    <cellStyle name="40% - Accent1 3 2 2 3 3 2 3" xfId="33065" xr:uid="{00000000-0005-0000-0000-0000DB4E0000}"/>
    <cellStyle name="40% - Accent1 3 2 2 3 3 3" xfId="16114" xr:uid="{00000000-0005-0000-0000-0000DC4E0000}"/>
    <cellStyle name="40% - Accent1 3 2 2 3 3 3 2" xfId="38716" xr:uid="{00000000-0005-0000-0000-0000DD4E0000}"/>
    <cellStyle name="40% - Accent1 3 2 2 3 3 4" xfId="27415" xr:uid="{00000000-0005-0000-0000-0000DE4E0000}"/>
    <cellStyle name="40% - Accent1 3 2 2 3 4" xfId="7000" xr:uid="{00000000-0005-0000-0000-0000DF4E0000}"/>
    <cellStyle name="40% - Accent1 3 2 2 3 4 2" xfId="18301" xr:uid="{00000000-0005-0000-0000-0000E04E0000}"/>
    <cellStyle name="40% - Accent1 3 2 2 3 4 2 2" xfId="40903" xr:uid="{00000000-0005-0000-0000-0000E14E0000}"/>
    <cellStyle name="40% - Accent1 3 2 2 3 4 3" xfId="29602" xr:uid="{00000000-0005-0000-0000-0000E24E0000}"/>
    <cellStyle name="40% - Accent1 3 2 2 3 5" xfId="12651" xr:uid="{00000000-0005-0000-0000-0000E34E0000}"/>
    <cellStyle name="40% - Accent1 3 2 2 3 5 2" xfId="35253" xr:uid="{00000000-0005-0000-0000-0000E44E0000}"/>
    <cellStyle name="40% - Accent1 3 2 2 3 6" xfId="23952" xr:uid="{00000000-0005-0000-0000-0000E54E0000}"/>
    <cellStyle name="40% - Accent1 3 2 2 4" xfId="1817" xr:uid="{00000000-0005-0000-0000-0000E64E0000}"/>
    <cellStyle name="40% - Accent1 3 2 2 4 2" xfId="3708" xr:uid="{00000000-0005-0000-0000-0000E74E0000}"/>
    <cellStyle name="40% - Accent1 3 2 2 4 2 2" xfId="9419" xr:uid="{00000000-0005-0000-0000-0000E84E0000}"/>
    <cellStyle name="40% - Accent1 3 2 2 4 2 2 2" xfId="20720" xr:uid="{00000000-0005-0000-0000-0000E94E0000}"/>
    <cellStyle name="40% - Accent1 3 2 2 4 2 2 2 2" xfId="43322" xr:uid="{00000000-0005-0000-0000-0000EA4E0000}"/>
    <cellStyle name="40% - Accent1 3 2 2 4 2 2 3" xfId="32021" xr:uid="{00000000-0005-0000-0000-0000EB4E0000}"/>
    <cellStyle name="40% - Accent1 3 2 2 4 2 3" xfId="15070" xr:uid="{00000000-0005-0000-0000-0000EC4E0000}"/>
    <cellStyle name="40% - Accent1 3 2 2 4 2 3 2" xfId="37672" xr:uid="{00000000-0005-0000-0000-0000ED4E0000}"/>
    <cellStyle name="40% - Accent1 3 2 2 4 2 4" xfId="26371" xr:uid="{00000000-0005-0000-0000-0000EE4E0000}"/>
    <cellStyle name="40% - Accent1 3 2 2 4 3" xfId="5423" xr:uid="{00000000-0005-0000-0000-0000EF4E0000}"/>
    <cellStyle name="40% - Accent1 3 2 2 4 3 2" xfId="11073" xr:uid="{00000000-0005-0000-0000-0000F04E0000}"/>
    <cellStyle name="40% - Accent1 3 2 2 4 3 2 2" xfId="22374" xr:uid="{00000000-0005-0000-0000-0000F14E0000}"/>
    <cellStyle name="40% - Accent1 3 2 2 4 3 2 2 2" xfId="44976" xr:uid="{00000000-0005-0000-0000-0000F24E0000}"/>
    <cellStyle name="40% - Accent1 3 2 2 4 3 2 3" xfId="33675" xr:uid="{00000000-0005-0000-0000-0000F34E0000}"/>
    <cellStyle name="40% - Accent1 3 2 2 4 3 3" xfId="16724" xr:uid="{00000000-0005-0000-0000-0000F44E0000}"/>
    <cellStyle name="40% - Accent1 3 2 2 4 3 3 2" xfId="39326" xr:uid="{00000000-0005-0000-0000-0000F54E0000}"/>
    <cellStyle name="40% - Accent1 3 2 2 4 3 4" xfId="28025" xr:uid="{00000000-0005-0000-0000-0000F64E0000}"/>
    <cellStyle name="40% - Accent1 3 2 2 4 4" xfId="7673" xr:uid="{00000000-0005-0000-0000-0000F74E0000}"/>
    <cellStyle name="40% - Accent1 3 2 2 4 4 2" xfId="18974" xr:uid="{00000000-0005-0000-0000-0000F84E0000}"/>
    <cellStyle name="40% - Accent1 3 2 2 4 4 2 2" xfId="41576" xr:uid="{00000000-0005-0000-0000-0000F94E0000}"/>
    <cellStyle name="40% - Accent1 3 2 2 4 4 3" xfId="30275" xr:uid="{00000000-0005-0000-0000-0000FA4E0000}"/>
    <cellStyle name="40% - Accent1 3 2 2 4 5" xfId="13324" xr:uid="{00000000-0005-0000-0000-0000FB4E0000}"/>
    <cellStyle name="40% - Accent1 3 2 2 4 5 2" xfId="35926" xr:uid="{00000000-0005-0000-0000-0000FC4E0000}"/>
    <cellStyle name="40% - Accent1 3 2 2 4 6" xfId="24625" xr:uid="{00000000-0005-0000-0000-0000FD4E0000}"/>
    <cellStyle name="40% - Accent1 3 2 2 5" xfId="2404" xr:uid="{00000000-0005-0000-0000-0000FE4E0000}"/>
    <cellStyle name="40% - Accent1 3 2 2 5 2" xfId="8240" xr:uid="{00000000-0005-0000-0000-0000FF4E0000}"/>
    <cellStyle name="40% - Accent1 3 2 2 5 2 2" xfId="19541" xr:uid="{00000000-0005-0000-0000-0000004F0000}"/>
    <cellStyle name="40% - Accent1 3 2 2 5 2 2 2" xfId="42143" xr:uid="{00000000-0005-0000-0000-0000014F0000}"/>
    <cellStyle name="40% - Accent1 3 2 2 5 2 3" xfId="30842" xr:uid="{00000000-0005-0000-0000-0000024F0000}"/>
    <cellStyle name="40% - Accent1 3 2 2 5 3" xfId="13891" xr:uid="{00000000-0005-0000-0000-0000034F0000}"/>
    <cellStyle name="40% - Accent1 3 2 2 5 3 2" xfId="36493" xr:uid="{00000000-0005-0000-0000-0000044F0000}"/>
    <cellStyle name="40% - Accent1 3 2 2 5 4" xfId="25192" xr:uid="{00000000-0005-0000-0000-0000054F0000}"/>
    <cellStyle name="40% - Accent1 3 2 2 6" xfId="4189" xr:uid="{00000000-0005-0000-0000-0000064F0000}"/>
    <cellStyle name="40% - Accent1 3 2 2 6 2" xfId="9839" xr:uid="{00000000-0005-0000-0000-0000074F0000}"/>
    <cellStyle name="40% - Accent1 3 2 2 6 2 2" xfId="21140" xr:uid="{00000000-0005-0000-0000-0000084F0000}"/>
    <cellStyle name="40% - Accent1 3 2 2 6 2 2 2" xfId="43742" xr:uid="{00000000-0005-0000-0000-0000094F0000}"/>
    <cellStyle name="40% - Accent1 3 2 2 6 2 3" xfId="32441" xr:uid="{00000000-0005-0000-0000-00000A4F0000}"/>
    <cellStyle name="40% - Accent1 3 2 2 6 3" xfId="15490" xr:uid="{00000000-0005-0000-0000-00000B4F0000}"/>
    <cellStyle name="40% - Accent1 3 2 2 6 3 2" xfId="38092" xr:uid="{00000000-0005-0000-0000-00000C4F0000}"/>
    <cellStyle name="40% - Accent1 3 2 2 6 4" xfId="26791" xr:uid="{00000000-0005-0000-0000-00000D4F0000}"/>
    <cellStyle name="40% - Accent1 3 2 2 7" xfId="6669" xr:uid="{00000000-0005-0000-0000-00000E4F0000}"/>
    <cellStyle name="40% - Accent1 3 2 2 7 2" xfId="17970" xr:uid="{00000000-0005-0000-0000-00000F4F0000}"/>
    <cellStyle name="40% - Accent1 3 2 2 7 2 2" xfId="40572" xr:uid="{00000000-0005-0000-0000-0000104F0000}"/>
    <cellStyle name="40% - Accent1 3 2 2 7 3" xfId="29271" xr:uid="{00000000-0005-0000-0000-0000114F0000}"/>
    <cellStyle name="40% - Accent1 3 2 2 8" xfId="12320" xr:uid="{00000000-0005-0000-0000-0000124F0000}"/>
    <cellStyle name="40% - Accent1 3 2 2 8 2" xfId="34922" xr:uid="{00000000-0005-0000-0000-0000134F0000}"/>
    <cellStyle name="40% - Accent1 3 2 2 9" xfId="23621" xr:uid="{00000000-0005-0000-0000-0000144F0000}"/>
    <cellStyle name="40% - Accent1 3 2 3" xfId="1176" xr:uid="{00000000-0005-0000-0000-0000154F0000}"/>
    <cellStyle name="40% - Accent1 3 2 3 2" xfId="1819" xr:uid="{00000000-0005-0000-0000-0000164F0000}"/>
    <cellStyle name="40% - Accent1 3 2 3 2 2" xfId="3244" xr:uid="{00000000-0005-0000-0000-0000174F0000}"/>
    <cellStyle name="40% - Accent1 3 2 3 2 2 2" xfId="6216" xr:uid="{00000000-0005-0000-0000-0000184F0000}"/>
    <cellStyle name="40% - Accent1 3 2 3 2 2 2 2" xfId="11866" xr:uid="{00000000-0005-0000-0000-0000194F0000}"/>
    <cellStyle name="40% - Accent1 3 2 3 2 2 2 2 2" xfId="23167" xr:uid="{00000000-0005-0000-0000-00001A4F0000}"/>
    <cellStyle name="40% - Accent1 3 2 3 2 2 2 2 2 2" xfId="45769" xr:uid="{00000000-0005-0000-0000-00001B4F0000}"/>
    <cellStyle name="40% - Accent1 3 2 3 2 2 2 2 3" xfId="34468" xr:uid="{00000000-0005-0000-0000-00001C4F0000}"/>
    <cellStyle name="40% - Accent1 3 2 3 2 2 2 3" xfId="17517" xr:uid="{00000000-0005-0000-0000-00001D4F0000}"/>
    <cellStyle name="40% - Accent1 3 2 3 2 2 2 3 2" xfId="40119" xr:uid="{00000000-0005-0000-0000-00001E4F0000}"/>
    <cellStyle name="40% - Accent1 3 2 3 2 2 2 4" xfId="28818" xr:uid="{00000000-0005-0000-0000-00001F4F0000}"/>
    <cellStyle name="40% - Accent1 3 2 3 2 2 3" xfId="9034" xr:uid="{00000000-0005-0000-0000-0000204F0000}"/>
    <cellStyle name="40% - Accent1 3 2 3 2 2 3 2" xfId="20335" xr:uid="{00000000-0005-0000-0000-0000214F0000}"/>
    <cellStyle name="40% - Accent1 3 2 3 2 2 3 2 2" xfId="42937" xr:uid="{00000000-0005-0000-0000-0000224F0000}"/>
    <cellStyle name="40% - Accent1 3 2 3 2 2 3 3" xfId="31636" xr:uid="{00000000-0005-0000-0000-0000234F0000}"/>
    <cellStyle name="40% - Accent1 3 2 3 2 2 4" xfId="14685" xr:uid="{00000000-0005-0000-0000-0000244F0000}"/>
    <cellStyle name="40% - Accent1 3 2 3 2 2 4 2" xfId="37287" xr:uid="{00000000-0005-0000-0000-0000254F0000}"/>
    <cellStyle name="40% - Accent1 3 2 3 2 2 5" xfId="25986" xr:uid="{00000000-0005-0000-0000-0000264F0000}"/>
    <cellStyle name="40% - Accent1 3 2 3 2 3" xfId="4982" xr:uid="{00000000-0005-0000-0000-0000274F0000}"/>
    <cellStyle name="40% - Accent1 3 2 3 2 3 2" xfId="10632" xr:uid="{00000000-0005-0000-0000-0000284F0000}"/>
    <cellStyle name="40% - Accent1 3 2 3 2 3 2 2" xfId="21933" xr:uid="{00000000-0005-0000-0000-0000294F0000}"/>
    <cellStyle name="40% - Accent1 3 2 3 2 3 2 2 2" xfId="44535" xr:uid="{00000000-0005-0000-0000-00002A4F0000}"/>
    <cellStyle name="40% - Accent1 3 2 3 2 3 2 3" xfId="33234" xr:uid="{00000000-0005-0000-0000-00002B4F0000}"/>
    <cellStyle name="40% - Accent1 3 2 3 2 3 3" xfId="16283" xr:uid="{00000000-0005-0000-0000-00002C4F0000}"/>
    <cellStyle name="40% - Accent1 3 2 3 2 3 3 2" xfId="38885" xr:uid="{00000000-0005-0000-0000-00002D4F0000}"/>
    <cellStyle name="40% - Accent1 3 2 3 2 3 4" xfId="27584" xr:uid="{00000000-0005-0000-0000-00002E4F0000}"/>
    <cellStyle name="40% - Accent1 3 2 3 2 4" xfId="7675" xr:uid="{00000000-0005-0000-0000-00002F4F0000}"/>
    <cellStyle name="40% - Accent1 3 2 3 2 4 2" xfId="18976" xr:uid="{00000000-0005-0000-0000-0000304F0000}"/>
    <cellStyle name="40% - Accent1 3 2 3 2 4 2 2" xfId="41578" xr:uid="{00000000-0005-0000-0000-0000314F0000}"/>
    <cellStyle name="40% - Accent1 3 2 3 2 4 3" xfId="30277" xr:uid="{00000000-0005-0000-0000-0000324F0000}"/>
    <cellStyle name="40% - Accent1 3 2 3 2 5" xfId="13326" xr:uid="{00000000-0005-0000-0000-0000334F0000}"/>
    <cellStyle name="40% - Accent1 3 2 3 2 5 2" xfId="35928" xr:uid="{00000000-0005-0000-0000-0000344F0000}"/>
    <cellStyle name="40% - Accent1 3 2 3 2 6" xfId="24627" xr:uid="{00000000-0005-0000-0000-0000354F0000}"/>
    <cellStyle name="40% - Accent1 3 2 3 3" xfId="2573" xr:uid="{00000000-0005-0000-0000-0000364F0000}"/>
    <cellStyle name="40% - Accent1 3 2 3 3 2" xfId="5592" xr:uid="{00000000-0005-0000-0000-0000374F0000}"/>
    <cellStyle name="40% - Accent1 3 2 3 3 2 2" xfId="11242" xr:uid="{00000000-0005-0000-0000-0000384F0000}"/>
    <cellStyle name="40% - Accent1 3 2 3 3 2 2 2" xfId="22543" xr:uid="{00000000-0005-0000-0000-0000394F0000}"/>
    <cellStyle name="40% - Accent1 3 2 3 3 2 2 2 2" xfId="45145" xr:uid="{00000000-0005-0000-0000-00003A4F0000}"/>
    <cellStyle name="40% - Accent1 3 2 3 3 2 2 3" xfId="33844" xr:uid="{00000000-0005-0000-0000-00003B4F0000}"/>
    <cellStyle name="40% - Accent1 3 2 3 3 2 3" xfId="16893" xr:uid="{00000000-0005-0000-0000-00003C4F0000}"/>
    <cellStyle name="40% - Accent1 3 2 3 3 2 3 2" xfId="39495" xr:uid="{00000000-0005-0000-0000-00003D4F0000}"/>
    <cellStyle name="40% - Accent1 3 2 3 3 2 4" xfId="28194" xr:uid="{00000000-0005-0000-0000-00003E4F0000}"/>
    <cellStyle name="40% - Accent1 3 2 3 3 3" xfId="8409" xr:uid="{00000000-0005-0000-0000-00003F4F0000}"/>
    <cellStyle name="40% - Accent1 3 2 3 3 3 2" xfId="19710" xr:uid="{00000000-0005-0000-0000-0000404F0000}"/>
    <cellStyle name="40% - Accent1 3 2 3 3 3 2 2" xfId="42312" xr:uid="{00000000-0005-0000-0000-0000414F0000}"/>
    <cellStyle name="40% - Accent1 3 2 3 3 3 3" xfId="31011" xr:uid="{00000000-0005-0000-0000-0000424F0000}"/>
    <cellStyle name="40% - Accent1 3 2 3 3 4" xfId="14060" xr:uid="{00000000-0005-0000-0000-0000434F0000}"/>
    <cellStyle name="40% - Accent1 3 2 3 3 4 2" xfId="36662" xr:uid="{00000000-0005-0000-0000-0000444F0000}"/>
    <cellStyle name="40% - Accent1 3 2 3 3 5" xfId="25361" xr:uid="{00000000-0005-0000-0000-0000454F0000}"/>
    <cellStyle name="40% - Accent1 3 2 3 4" xfId="4358" xr:uid="{00000000-0005-0000-0000-0000464F0000}"/>
    <cellStyle name="40% - Accent1 3 2 3 4 2" xfId="10008" xr:uid="{00000000-0005-0000-0000-0000474F0000}"/>
    <cellStyle name="40% - Accent1 3 2 3 4 2 2" xfId="21309" xr:uid="{00000000-0005-0000-0000-0000484F0000}"/>
    <cellStyle name="40% - Accent1 3 2 3 4 2 2 2" xfId="43911" xr:uid="{00000000-0005-0000-0000-0000494F0000}"/>
    <cellStyle name="40% - Accent1 3 2 3 4 2 3" xfId="32610" xr:uid="{00000000-0005-0000-0000-00004A4F0000}"/>
    <cellStyle name="40% - Accent1 3 2 3 4 3" xfId="15659" xr:uid="{00000000-0005-0000-0000-00004B4F0000}"/>
    <cellStyle name="40% - Accent1 3 2 3 4 3 2" xfId="38261" xr:uid="{00000000-0005-0000-0000-00004C4F0000}"/>
    <cellStyle name="40% - Accent1 3 2 3 4 4" xfId="26960" xr:uid="{00000000-0005-0000-0000-00004D4F0000}"/>
    <cellStyle name="40% - Accent1 3 2 3 5" xfId="7155" xr:uid="{00000000-0005-0000-0000-00004E4F0000}"/>
    <cellStyle name="40% - Accent1 3 2 3 5 2" xfId="18456" xr:uid="{00000000-0005-0000-0000-00004F4F0000}"/>
    <cellStyle name="40% - Accent1 3 2 3 5 2 2" xfId="41058" xr:uid="{00000000-0005-0000-0000-0000504F0000}"/>
    <cellStyle name="40% - Accent1 3 2 3 5 3" xfId="29757" xr:uid="{00000000-0005-0000-0000-0000514F0000}"/>
    <cellStyle name="40% - Accent1 3 2 3 6" xfId="12806" xr:uid="{00000000-0005-0000-0000-0000524F0000}"/>
    <cellStyle name="40% - Accent1 3 2 3 6 2" xfId="35408" xr:uid="{00000000-0005-0000-0000-0000534F0000}"/>
    <cellStyle name="40% - Accent1 3 2 3 7" xfId="24107" xr:uid="{00000000-0005-0000-0000-0000544F0000}"/>
    <cellStyle name="40% - Accent1 3 2 4" xfId="865" xr:uid="{00000000-0005-0000-0000-0000554F0000}"/>
    <cellStyle name="40% - Accent1 3 2 4 2" xfId="2937" xr:uid="{00000000-0005-0000-0000-0000564F0000}"/>
    <cellStyle name="40% - Accent1 3 2 4 2 2" xfId="5909" xr:uid="{00000000-0005-0000-0000-0000574F0000}"/>
    <cellStyle name="40% - Accent1 3 2 4 2 2 2" xfId="11559" xr:uid="{00000000-0005-0000-0000-0000584F0000}"/>
    <cellStyle name="40% - Accent1 3 2 4 2 2 2 2" xfId="22860" xr:uid="{00000000-0005-0000-0000-0000594F0000}"/>
    <cellStyle name="40% - Accent1 3 2 4 2 2 2 2 2" xfId="45462" xr:uid="{00000000-0005-0000-0000-00005A4F0000}"/>
    <cellStyle name="40% - Accent1 3 2 4 2 2 2 3" xfId="34161" xr:uid="{00000000-0005-0000-0000-00005B4F0000}"/>
    <cellStyle name="40% - Accent1 3 2 4 2 2 3" xfId="17210" xr:uid="{00000000-0005-0000-0000-00005C4F0000}"/>
    <cellStyle name="40% - Accent1 3 2 4 2 2 3 2" xfId="39812" xr:uid="{00000000-0005-0000-0000-00005D4F0000}"/>
    <cellStyle name="40% - Accent1 3 2 4 2 2 4" xfId="28511" xr:uid="{00000000-0005-0000-0000-00005E4F0000}"/>
    <cellStyle name="40% - Accent1 3 2 4 2 3" xfId="8727" xr:uid="{00000000-0005-0000-0000-00005F4F0000}"/>
    <cellStyle name="40% - Accent1 3 2 4 2 3 2" xfId="20028" xr:uid="{00000000-0005-0000-0000-0000604F0000}"/>
    <cellStyle name="40% - Accent1 3 2 4 2 3 2 2" xfId="42630" xr:uid="{00000000-0005-0000-0000-0000614F0000}"/>
    <cellStyle name="40% - Accent1 3 2 4 2 3 3" xfId="31329" xr:uid="{00000000-0005-0000-0000-0000624F0000}"/>
    <cellStyle name="40% - Accent1 3 2 4 2 4" xfId="14378" xr:uid="{00000000-0005-0000-0000-0000634F0000}"/>
    <cellStyle name="40% - Accent1 3 2 4 2 4 2" xfId="36980" xr:uid="{00000000-0005-0000-0000-0000644F0000}"/>
    <cellStyle name="40% - Accent1 3 2 4 2 5" xfId="25679" xr:uid="{00000000-0005-0000-0000-0000654F0000}"/>
    <cellStyle name="40% - Accent1 3 2 4 3" xfId="4675" xr:uid="{00000000-0005-0000-0000-0000664F0000}"/>
    <cellStyle name="40% - Accent1 3 2 4 3 2" xfId="10325" xr:uid="{00000000-0005-0000-0000-0000674F0000}"/>
    <cellStyle name="40% - Accent1 3 2 4 3 2 2" xfId="21626" xr:uid="{00000000-0005-0000-0000-0000684F0000}"/>
    <cellStyle name="40% - Accent1 3 2 4 3 2 2 2" xfId="44228" xr:uid="{00000000-0005-0000-0000-0000694F0000}"/>
    <cellStyle name="40% - Accent1 3 2 4 3 2 3" xfId="32927" xr:uid="{00000000-0005-0000-0000-00006A4F0000}"/>
    <cellStyle name="40% - Accent1 3 2 4 3 3" xfId="15976" xr:uid="{00000000-0005-0000-0000-00006B4F0000}"/>
    <cellStyle name="40% - Accent1 3 2 4 3 3 2" xfId="38578" xr:uid="{00000000-0005-0000-0000-00006C4F0000}"/>
    <cellStyle name="40% - Accent1 3 2 4 3 4" xfId="27277" xr:uid="{00000000-0005-0000-0000-00006D4F0000}"/>
    <cellStyle name="40% - Accent1 3 2 4 4" xfId="6862" xr:uid="{00000000-0005-0000-0000-00006E4F0000}"/>
    <cellStyle name="40% - Accent1 3 2 4 4 2" xfId="18163" xr:uid="{00000000-0005-0000-0000-00006F4F0000}"/>
    <cellStyle name="40% - Accent1 3 2 4 4 2 2" xfId="40765" xr:uid="{00000000-0005-0000-0000-0000704F0000}"/>
    <cellStyle name="40% - Accent1 3 2 4 4 3" xfId="29464" xr:uid="{00000000-0005-0000-0000-0000714F0000}"/>
    <cellStyle name="40% - Accent1 3 2 4 5" xfId="12513" xr:uid="{00000000-0005-0000-0000-0000724F0000}"/>
    <cellStyle name="40% - Accent1 3 2 4 5 2" xfId="35115" xr:uid="{00000000-0005-0000-0000-0000734F0000}"/>
    <cellStyle name="40% - Accent1 3 2 4 6" xfId="23814" xr:uid="{00000000-0005-0000-0000-0000744F0000}"/>
    <cellStyle name="40% - Accent1 3 2 5" xfId="1816" xr:uid="{00000000-0005-0000-0000-0000754F0000}"/>
    <cellStyle name="40% - Accent1 3 2 5 2" xfId="3707" xr:uid="{00000000-0005-0000-0000-0000764F0000}"/>
    <cellStyle name="40% - Accent1 3 2 5 2 2" xfId="9418" xr:uid="{00000000-0005-0000-0000-0000774F0000}"/>
    <cellStyle name="40% - Accent1 3 2 5 2 2 2" xfId="20719" xr:uid="{00000000-0005-0000-0000-0000784F0000}"/>
    <cellStyle name="40% - Accent1 3 2 5 2 2 2 2" xfId="43321" xr:uid="{00000000-0005-0000-0000-0000794F0000}"/>
    <cellStyle name="40% - Accent1 3 2 5 2 2 3" xfId="32020" xr:uid="{00000000-0005-0000-0000-00007A4F0000}"/>
    <cellStyle name="40% - Accent1 3 2 5 2 3" xfId="15069" xr:uid="{00000000-0005-0000-0000-00007B4F0000}"/>
    <cellStyle name="40% - Accent1 3 2 5 2 3 2" xfId="37671" xr:uid="{00000000-0005-0000-0000-00007C4F0000}"/>
    <cellStyle name="40% - Accent1 3 2 5 2 4" xfId="26370" xr:uid="{00000000-0005-0000-0000-00007D4F0000}"/>
    <cellStyle name="40% - Accent1 3 2 5 3" xfId="5285" xr:uid="{00000000-0005-0000-0000-00007E4F0000}"/>
    <cellStyle name="40% - Accent1 3 2 5 3 2" xfId="10935" xr:uid="{00000000-0005-0000-0000-00007F4F0000}"/>
    <cellStyle name="40% - Accent1 3 2 5 3 2 2" xfId="22236" xr:uid="{00000000-0005-0000-0000-0000804F0000}"/>
    <cellStyle name="40% - Accent1 3 2 5 3 2 2 2" xfId="44838" xr:uid="{00000000-0005-0000-0000-0000814F0000}"/>
    <cellStyle name="40% - Accent1 3 2 5 3 2 3" xfId="33537" xr:uid="{00000000-0005-0000-0000-0000824F0000}"/>
    <cellStyle name="40% - Accent1 3 2 5 3 3" xfId="16586" xr:uid="{00000000-0005-0000-0000-0000834F0000}"/>
    <cellStyle name="40% - Accent1 3 2 5 3 3 2" xfId="39188" xr:uid="{00000000-0005-0000-0000-0000844F0000}"/>
    <cellStyle name="40% - Accent1 3 2 5 3 4" xfId="27887" xr:uid="{00000000-0005-0000-0000-0000854F0000}"/>
    <cellStyle name="40% - Accent1 3 2 5 4" xfId="7672" xr:uid="{00000000-0005-0000-0000-0000864F0000}"/>
    <cellStyle name="40% - Accent1 3 2 5 4 2" xfId="18973" xr:uid="{00000000-0005-0000-0000-0000874F0000}"/>
    <cellStyle name="40% - Accent1 3 2 5 4 2 2" xfId="41575" xr:uid="{00000000-0005-0000-0000-0000884F0000}"/>
    <cellStyle name="40% - Accent1 3 2 5 4 3" xfId="30274" xr:uid="{00000000-0005-0000-0000-0000894F0000}"/>
    <cellStyle name="40% - Accent1 3 2 5 5" xfId="13323" xr:uid="{00000000-0005-0000-0000-00008A4F0000}"/>
    <cellStyle name="40% - Accent1 3 2 5 5 2" xfId="35925" xr:uid="{00000000-0005-0000-0000-00008B4F0000}"/>
    <cellStyle name="40% - Accent1 3 2 5 6" xfId="24624" xr:uid="{00000000-0005-0000-0000-00008C4F0000}"/>
    <cellStyle name="40% - Accent1 3 2 6" xfId="2263" xr:uid="{00000000-0005-0000-0000-00008D4F0000}"/>
    <cellStyle name="40% - Accent1 3 2 6 2" xfId="8099" xr:uid="{00000000-0005-0000-0000-00008E4F0000}"/>
    <cellStyle name="40% - Accent1 3 2 6 2 2" xfId="19400" xr:uid="{00000000-0005-0000-0000-00008F4F0000}"/>
    <cellStyle name="40% - Accent1 3 2 6 2 2 2" xfId="42002" xr:uid="{00000000-0005-0000-0000-0000904F0000}"/>
    <cellStyle name="40% - Accent1 3 2 6 2 3" xfId="30701" xr:uid="{00000000-0005-0000-0000-0000914F0000}"/>
    <cellStyle name="40% - Accent1 3 2 6 3" xfId="13750" xr:uid="{00000000-0005-0000-0000-0000924F0000}"/>
    <cellStyle name="40% - Accent1 3 2 6 3 2" xfId="36352" xr:uid="{00000000-0005-0000-0000-0000934F0000}"/>
    <cellStyle name="40% - Accent1 3 2 6 4" xfId="25051" xr:uid="{00000000-0005-0000-0000-0000944F0000}"/>
    <cellStyle name="40% - Accent1 3 2 7" xfId="4051" xr:uid="{00000000-0005-0000-0000-0000954F0000}"/>
    <cellStyle name="40% - Accent1 3 2 7 2" xfId="9701" xr:uid="{00000000-0005-0000-0000-0000964F0000}"/>
    <cellStyle name="40% - Accent1 3 2 7 2 2" xfId="21002" xr:uid="{00000000-0005-0000-0000-0000974F0000}"/>
    <cellStyle name="40% - Accent1 3 2 7 2 2 2" xfId="43604" xr:uid="{00000000-0005-0000-0000-0000984F0000}"/>
    <cellStyle name="40% - Accent1 3 2 7 2 3" xfId="32303" xr:uid="{00000000-0005-0000-0000-0000994F0000}"/>
    <cellStyle name="40% - Accent1 3 2 7 3" xfId="15352" xr:uid="{00000000-0005-0000-0000-00009A4F0000}"/>
    <cellStyle name="40% - Accent1 3 2 7 3 2" xfId="37954" xr:uid="{00000000-0005-0000-0000-00009B4F0000}"/>
    <cellStyle name="40% - Accent1 3 2 7 4" xfId="26653" xr:uid="{00000000-0005-0000-0000-00009C4F0000}"/>
    <cellStyle name="40% - Accent1 3 2 8" xfId="6502" xr:uid="{00000000-0005-0000-0000-00009D4F0000}"/>
    <cellStyle name="40% - Accent1 3 2 8 2" xfId="17803" xr:uid="{00000000-0005-0000-0000-00009E4F0000}"/>
    <cellStyle name="40% - Accent1 3 2 8 2 2" xfId="40405" xr:uid="{00000000-0005-0000-0000-00009F4F0000}"/>
    <cellStyle name="40% - Accent1 3 2 8 3" xfId="29104" xr:uid="{00000000-0005-0000-0000-0000A04F0000}"/>
    <cellStyle name="40% - Accent1 3 2 9" xfId="12153" xr:uid="{00000000-0005-0000-0000-0000A14F0000}"/>
    <cellStyle name="40% - Accent1 3 2 9 2" xfId="34755" xr:uid="{00000000-0005-0000-0000-0000A24F0000}"/>
    <cellStyle name="40% - Accent1 3 3" xfId="408" xr:uid="{00000000-0005-0000-0000-0000A34F0000}"/>
    <cellStyle name="40% - Accent1 3 3 10" xfId="23503" xr:uid="{00000000-0005-0000-0000-0000A44F0000}"/>
    <cellStyle name="40% - Accent1 3 3 2" xfId="653" xr:uid="{00000000-0005-0000-0000-0000A54F0000}"/>
    <cellStyle name="40% - Accent1 3 3 2 2" xfId="1363" xr:uid="{00000000-0005-0000-0000-0000A64F0000}"/>
    <cellStyle name="40% - Accent1 3 3 2 2 2" xfId="1822" xr:uid="{00000000-0005-0000-0000-0000A74F0000}"/>
    <cellStyle name="40% - Accent1 3 3 2 2 2 2" xfId="3432" xr:uid="{00000000-0005-0000-0000-0000A84F0000}"/>
    <cellStyle name="40% - Accent1 3 3 2 2 2 2 2" xfId="6404" xr:uid="{00000000-0005-0000-0000-0000A94F0000}"/>
    <cellStyle name="40% - Accent1 3 3 2 2 2 2 2 2" xfId="12054" xr:uid="{00000000-0005-0000-0000-0000AA4F0000}"/>
    <cellStyle name="40% - Accent1 3 3 2 2 2 2 2 2 2" xfId="23355" xr:uid="{00000000-0005-0000-0000-0000AB4F0000}"/>
    <cellStyle name="40% - Accent1 3 3 2 2 2 2 2 2 2 2" xfId="45957" xr:uid="{00000000-0005-0000-0000-0000AC4F0000}"/>
    <cellStyle name="40% - Accent1 3 3 2 2 2 2 2 2 3" xfId="34656" xr:uid="{00000000-0005-0000-0000-0000AD4F0000}"/>
    <cellStyle name="40% - Accent1 3 3 2 2 2 2 2 3" xfId="17705" xr:uid="{00000000-0005-0000-0000-0000AE4F0000}"/>
    <cellStyle name="40% - Accent1 3 3 2 2 2 2 2 3 2" xfId="40307" xr:uid="{00000000-0005-0000-0000-0000AF4F0000}"/>
    <cellStyle name="40% - Accent1 3 3 2 2 2 2 2 4" xfId="29006" xr:uid="{00000000-0005-0000-0000-0000B04F0000}"/>
    <cellStyle name="40% - Accent1 3 3 2 2 2 2 3" xfId="9222" xr:uid="{00000000-0005-0000-0000-0000B14F0000}"/>
    <cellStyle name="40% - Accent1 3 3 2 2 2 2 3 2" xfId="20523" xr:uid="{00000000-0005-0000-0000-0000B24F0000}"/>
    <cellStyle name="40% - Accent1 3 3 2 2 2 2 3 2 2" xfId="43125" xr:uid="{00000000-0005-0000-0000-0000B34F0000}"/>
    <cellStyle name="40% - Accent1 3 3 2 2 2 2 3 3" xfId="31824" xr:uid="{00000000-0005-0000-0000-0000B44F0000}"/>
    <cellStyle name="40% - Accent1 3 3 2 2 2 2 4" xfId="14873" xr:uid="{00000000-0005-0000-0000-0000B54F0000}"/>
    <cellStyle name="40% - Accent1 3 3 2 2 2 2 4 2" xfId="37475" xr:uid="{00000000-0005-0000-0000-0000B64F0000}"/>
    <cellStyle name="40% - Accent1 3 3 2 2 2 2 5" xfId="26174" xr:uid="{00000000-0005-0000-0000-0000B74F0000}"/>
    <cellStyle name="40% - Accent1 3 3 2 2 2 3" xfId="5170" xr:uid="{00000000-0005-0000-0000-0000B84F0000}"/>
    <cellStyle name="40% - Accent1 3 3 2 2 2 3 2" xfId="10820" xr:uid="{00000000-0005-0000-0000-0000B94F0000}"/>
    <cellStyle name="40% - Accent1 3 3 2 2 2 3 2 2" xfId="22121" xr:uid="{00000000-0005-0000-0000-0000BA4F0000}"/>
    <cellStyle name="40% - Accent1 3 3 2 2 2 3 2 2 2" xfId="44723" xr:uid="{00000000-0005-0000-0000-0000BB4F0000}"/>
    <cellStyle name="40% - Accent1 3 3 2 2 2 3 2 3" xfId="33422" xr:uid="{00000000-0005-0000-0000-0000BC4F0000}"/>
    <cellStyle name="40% - Accent1 3 3 2 2 2 3 3" xfId="16471" xr:uid="{00000000-0005-0000-0000-0000BD4F0000}"/>
    <cellStyle name="40% - Accent1 3 3 2 2 2 3 3 2" xfId="39073" xr:uid="{00000000-0005-0000-0000-0000BE4F0000}"/>
    <cellStyle name="40% - Accent1 3 3 2 2 2 3 4" xfId="27772" xr:uid="{00000000-0005-0000-0000-0000BF4F0000}"/>
    <cellStyle name="40% - Accent1 3 3 2 2 2 4" xfId="7678" xr:uid="{00000000-0005-0000-0000-0000C04F0000}"/>
    <cellStyle name="40% - Accent1 3 3 2 2 2 4 2" xfId="18979" xr:uid="{00000000-0005-0000-0000-0000C14F0000}"/>
    <cellStyle name="40% - Accent1 3 3 2 2 2 4 2 2" xfId="41581" xr:uid="{00000000-0005-0000-0000-0000C24F0000}"/>
    <cellStyle name="40% - Accent1 3 3 2 2 2 4 3" xfId="30280" xr:uid="{00000000-0005-0000-0000-0000C34F0000}"/>
    <cellStyle name="40% - Accent1 3 3 2 2 2 5" xfId="13329" xr:uid="{00000000-0005-0000-0000-0000C44F0000}"/>
    <cellStyle name="40% - Accent1 3 3 2 2 2 5 2" xfId="35931" xr:uid="{00000000-0005-0000-0000-0000C54F0000}"/>
    <cellStyle name="40% - Accent1 3 3 2 2 2 6" xfId="24630" xr:uid="{00000000-0005-0000-0000-0000C64F0000}"/>
    <cellStyle name="40% - Accent1 3 3 2 2 3" xfId="2761" xr:uid="{00000000-0005-0000-0000-0000C74F0000}"/>
    <cellStyle name="40% - Accent1 3 3 2 2 3 2" xfId="5780" xr:uid="{00000000-0005-0000-0000-0000C84F0000}"/>
    <cellStyle name="40% - Accent1 3 3 2 2 3 2 2" xfId="11430" xr:uid="{00000000-0005-0000-0000-0000C94F0000}"/>
    <cellStyle name="40% - Accent1 3 3 2 2 3 2 2 2" xfId="22731" xr:uid="{00000000-0005-0000-0000-0000CA4F0000}"/>
    <cellStyle name="40% - Accent1 3 3 2 2 3 2 2 2 2" xfId="45333" xr:uid="{00000000-0005-0000-0000-0000CB4F0000}"/>
    <cellStyle name="40% - Accent1 3 3 2 2 3 2 2 3" xfId="34032" xr:uid="{00000000-0005-0000-0000-0000CC4F0000}"/>
    <cellStyle name="40% - Accent1 3 3 2 2 3 2 3" xfId="17081" xr:uid="{00000000-0005-0000-0000-0000CD4F0000}"/>
    <cellStyle name="40% - Accent1 3 3 2 2 3 2 3 2" xfId="39683" xr:uid="{00000000-0005-0000-0000-0000CE4F0000}"/>
    <cellStyle name="40% - Accent1 3 3 2 2 3 2 4" xfId="28382" xr:uid="{00000000-0005-0000-0000-0000CF4F0000}"/>
    <cellStyle name="40% - Accent1 3 3 2 2 3 3" xfId="8597" xr:uid="{00000000-0005-0000-0000-0000D04F0000}"/>
    <cellStyle name="40% - Accent1 3 3 2 2 3 3 2" xfId="19898" xr:uid="{00000000-0005-0000-0000-0000D14F0000}"/>
    <cellStyle name="40% - Accent1 3 3 2 2 3 3 2 2" xfId="42500" xr:uid="{00000000-0005-0000-0000-0000D24F0000}"/>
    <cellStyle name="40% - Accent1 3 3 2 2 3 3 3" xfId="31199" xr:uid="{00000000-0005-0000-0000-0000D34F0000}"/>
    <cellStyle name="40% - Accent1 3 3 2 2 3 4" xfId="14248" xr:uid="{00000000-0005-0000-0000-0000D44F0000}"/>
    <cellStyle name="40% - Accent1 3 3 2 2 3 4 2" xfId="36850" xr:uid="{00000000-0005-0000-0000-0000D54F0000}"/>
    <cellStyle name="40% - Accent1 3 3 2 2 3 5" xfId="25549" xr:uid="{00000000-0005-0000-0000-0000D64F0000}"/>
    <cellStyle name="40% - Accent1 3 3 2 2 4" xfId="4546" xr:uid="{00000000-0005-0000-0000-0000D74F0000}"/>
    <cellStyle name="40% - Accent1 3 3 2 2 4 2" xfId="10196" xr:uid="{00000000-0005-0000-0000-0000D84F0000}"/>
    <cellStyle name="40% - Accent1 3 3 2 2 4 2 2" xfId="21497" xr:uid="{00000000-0005-0000-0000-0000D94F0000}"/>
    <cellStyle name="40% - Accent1 3 3 2 2 4 2 2 2" xfId="44099" xr:uid="{00000000-0005-0000-0000-0000DA4F0000}"/>
    <cellStyle name="40% - Accent1 3 3 2 2 4 2 3" xfId="32798" xr:uid="{00000000-0005-0000-0000-0000DB4F0000}"/>
    <cellStyle name="40% - Accent1 3 3 2 2 4 3" xfId="15847" xr:uid="{00000000-0005-0000-0000-0000DC4F0000}"/>
    <cellStyle name="40% - Accent1 3 3 2 2 4 3 2" xfId="38449" xr:uid="{00000000-0005-0000-0000-0000DD4F0000}"/>
    <cellStyle name="40% - Accent1 3 3 2 2 4 4" xfId="27148" xr:uid="{00000000-0005-0000-0000-0000DE4F0000}"/>
    <cellStyle name="40% - Accent1 3 3 2 2 5" xfId="7342" xr:uid="{00000000-0005-0000-0000-0000DF4F0000}"/>
    <cellStyle name="40% - Accent1 3 3 2 2 5 2" xfId="18643" xr:uid="{00000000-0005-0000-0000-0000E04F0000}"/>
    <cellStyle name="40% - Accent1 3 3 2 2 5 2 2" xfId="41245" xr:uid="{00000000-0005-0000-0000-0000E14F0000}"/>
    <cellStyle name="40% - Accent1 3 3 2 2 5 3" xfId="29944" xr:uid="{00000000-0005-0000-0000-0000E24F0000}"/>
    <cellStyle name="40% - Accent1 3 3 2 2 6" xfId="12993" xr:uid="{00000000-0005-0000-0000-0000E34F0000}"/>
    <cellStyle name="40% - Accent1 3 3 2 2 6 2" xfId="35595" xr:uid="{00000000-0005-0000-0000-0000E44F0000}"/>
    <cellStyle name="40% - Accent1 3 3 2 2 7" xfId="24294" xr:uid="{00000000-0005-0000-0000-0000E54F0000}"/>
    <cellStyle name="40% - Accent1 3 3 2 3" xfId="1061" xr:uid="{00000000-0005-0000-0000-0000E64F0000}"/>
    <cellStyle name="40% - Accent1 3 3 2 3 2" xfId="3124" xr:uid="{00000000-0005-0000-0000-0000E74F0000}"/>
    <cellStyle name="40% - Accent1 3 3 2 3 2 2" xfId="6096" xr:uid="{00000000-0005-0000-0000-0000E84F0000}"/>
    <cellStyle name="40% - Accent1 3 3 2 3 2 2 2" xfId="11746" xr:uid="{00000000-0005-0000-0000-0000E94F0000}"/>
    <cellStyle name="40% - Accent1 3 3 2 3 2 2 2 2" xfId="23047" xr:uid="{00000000-0005-0000-0000-0000EA4F0000}"/>
    <cellStyle name="40% - Accent1 3 3 2 3 2 2 2 2 2" xfId="45649" xr:uid="{00000000-0005-0000-0000-0000EB4F0000}"/>
    <cellStyle name="40% - Accent1 3 3 2 3 2 2 2 3" xfId="34348" xr:uid="{00000000-0005-0000-0000-0000EC4F0000}"/>
    <cellStyle name="40% - Accent1 3 3 2 3 2 2 3" xfId="17397" xr:uid="{00000000-0005-0000-0000-0000ED4F0000}"/>
    <cellStyle name="40% - Accent1 3 3 2 3 2 2 3 2" xfId="39999" xr:uid="{00000000-0005-0000-0000-0000EE4F0000}"/>
    <cellStyle name="40% - Accent1 3 3 2 3 2 2 4" xfId="28698" xr:uid="{00000000-0005-0000-0000-0000EF4F0000}"/>
    <cellStyle name="40% - Accent1 3 3 2 3 2 3" xfId="8914" xr:uid="{00000000-0005-0000-0000-0000F04F0000}"/>
    <cellStyle name="40% - Accent1 3 3 2 3 2 3 2" xfId="20215" xr:uid="{00000000-0005-0000-0000-0000F14F0000}"/>
    <cellStyle name="40% - Accent1 3 3 2 3 2 3 2 2" xfId="42817" xr:uid="{00000000-0005-0000-0000-0000F24F0000}"/>
    <cellStyle name="40% - Accent1 3 3 2 3 2 3 3" xfId="31516" xr:uid="{00000000-0005-0000-0000-0000F34F0000}"/>
    <cellStyle name="40% - Accent1 3 3 2 3 2 4" xfId="14565" xr:uid="{00000000-0005-0000-0000-0000F44F0000}"/>
    <cellStyle name="40% - Accent1 3 3 2 3 2 4 2" xfId="37167" xr:uid="{00000000-0005-0000-0000-0000F54F0000}"/>
    <cellStyle name="40% - Accent1 3 3 2 3 2 5" xfId="25866" xr:uid="{00000000-0005-0000-0000-0000F64F0000}"/>
    <cellStyle name="40% - Accent1 3 3 2 3 3" xfId="4862" xr:uid="{00000000-0005-0000-0000-0000F74F0000}"/>
    <cellStyle name="40% - Accent1 3 3 2 3 3 2" xfId="10512" xr:uid="{00000000-0005-0000-0000-0000F84F0000}"/>
    <cellStyle name="40% - Accent1 3 3 2 3 3 2 2" xfId="21813" xr:uid="{00000000-0005-0000-0000-0000F94F0000}"/>
    <cellStyle name="40% - Accent1 3 3 2 3 3 2 2 2" xfId="44415" xr:uid="{00000000-0005-0000-0000-0000FA4F0000}"/>
    <cellStyle name="40% - Accent1 3 3 2 3 3 2 3" xfId="33114" xr:uid="{00000000-0005-0000-0000-0000FB4F0000}"/>
    <cellStyle name="40% - Accent1 3 3 2 3 3 3" xfId="16163" xr:uid="{00000000-0005-0000-0000-0000FC4F0000}"/>
    <cellStyle name="40% - Accent1 3 3 2 3 3 3 2" xfId="38765" xr:uid="{00000000-0005-0000-0000-0000FD4F0000}"/>
    <cellStyle name="40% - Accent1 3 3 2 3 3 4" xfId="27464" xr:uid="{00000000-0005-0000-0000-0000FE4F0000}"/>
    <cellStyle name="40% - Accent1 3 3 2 3 4" xfId="7049" xr:uid="{00000000-0005-0000-0000-0000FF4F0000}"/>
    <cellStyle name="40% - Accent1 3 3 2 3 4 2" xfId="18350" xr:uid="{00000000-0005-0000-0000-000000500000}"/>
    <cellStyle name="40% - Accent1 3 3 2 3 4 2 2" xfId="40952" xr:uid="{00000000-0005-0000-0000-000001500000}"/>
    <cellStyle name="40% - Accent1 3 3 2 3 4 3" xfId="29651" xr:uid="{00000000-0005-0000-0000-000002500000}"/>
    <cellStyle name="40% - Accent1 3 3 2 3 5" xfId="12700" xr:uid="{00000000-0005-0000-0000-000003500000}"/>
    <cellStyle name="40% - Accent1 3 3 2 3 5 2" xfId="35302" xr:uid="{00000000-0005-0000-0000-000004500000}"/>
    <cellStyle name="40% - Accent1 3 3 2 3 6" xfId="24001" xr:uid="{00000000-0005-0000-0000-000005500000}"/>
    <cellStyle name="40% - Accent1 3 3 2 4" xfId="1821" xr:uid="{00000000-0005-0000-0000-000006500000}"/>
    <cellStyle name="40% - Accent1 3 3 2 4 2" xfId="3710" xr:uid="{00000000-0005-0000-0000-000007500000}"/>
    <cellStyle name="40% - Accent1 3 3 2 4 2 2" xfId="9421" xr:uid="{00000000-0005-0000-0000-000008500000}"/>
    <cellStyle name="40% - Accent1 3 3 2 4 2 2 2" xfId="20722" xr:uid="{00000000-0005-0000-0000-000009500000}"/>
    <cellStyle name="40% - Accent1 3 3 2 4 2 2 2 2" xfId="43324" xr:uid="{00000000-0005-0000-0000-00000A500000}"/>
    <cellStyle name="40% - Accent1 3 3 2 4 2 2 3" xfId="32023" xr:uid="{00000000-0005-0000-0000-00000B500000}"/>
    <cellStyle name="40% - Accent1 3 3 2 4 2 3" xfId="15072" xr:uid="{00000000-0005-0000-0000-00000C500000}"/>
    <cellStyle name="40% - Accent1 3 3 2 4 2 3 2" xfId="37674" xr:uid="{00000000-0005-0000-0000-00000D500000}"/>
    <cellStyle name="40% - Accent1 3 3 2 4 2 4" xfId="26373" xr:uid="{00000000-0005-0000-0000-00000E500000}"/>
    <cellStyle name="40% - Accent1 3 3 2 4 3" xfId="5472" xr:uid="{00000000-0005-0000-0000-00000F500000}"/>
    <cellStyle name="40% - Accent1 3 3 2 4 3 2" xfId="11122" xr:uid="{00000000-0005-0000-0000-000010500000}"/>
    <cellStyle name="40% - Accent1 3 3 2 4 3 2 2" xfId="22423" xr:uid="{00000000-0005-0000-0000-000011500000}"/>
    <cellStyle name="40% - Accent1 3 3 2 4 3 2 2 2" xfId="45025" xr:uid="{00000000-0005-0000-0000-000012500000}"/>
    <cellStyle name="40% - Accent1 3 3 2 4 3 2 3" xfId="33724" xr:uid="{00000000-0005-0000-0000-000013500000}"/>
    <cellStyle name="40% - Accent1 3 3 2 4 3 3" xfId="16773" xr:uid="{00000000-0005-0000-0000-000014500000}"/>
    <cellStyle name="40% - Accent1 3 3 2 4 3 3 2" xfId="39375" xr:uid="{00000000-0005-0000-0000-000015500000}"/>
    <cellStyle name="40% - Accent1 3 3 2 4 3 4" xfId="28074" xr:uid="{00000000-0005-0000-0000-000016500000}"/>
    <cellStyle name="40% - Accent1 3 3 2 4 4" xfId="7677" xr:uid="{00000000-0005-0000-0000-000017500000}"/>
    <cellStyle name="40% - Accent1 3 3 2 4 4 2" xfId="18978" xr:uid="{00000000-0005-0000-0000-000018500000}"/>
    <cellStyle name="40% - Accent1 3 3 2 4 4 2 2" xfId="41580" xr:uid="{00000000-0005-0000-0000-000019500000}"/>
    <cellStyle name="40% - Accent1 3 3 2 4 4 3" xfId="30279" xr:uid="{00000000-0005-0000-0000-00001A500000}"/>
    <cellStyle name="40% - Accent1 3 3 2 4 5" xfId="13328" xr:uid="{00000000-0005-0000-0000-00001B500000}"/>
    <cellStyle name="40% - Accent1 3 3 2 4 5 2" xfId="35930" xr:uid="{00000000-0005-0000-0000-00001C500000}"/>
    <cellStyle name="40% - Accent1 3 3 2 4 6" xfId="24629" xr:uid="{00000000-0005-0000-0000-00001D500000}"/>
    <cellStyle name="40% - Accent1 3 3 2 5" xfId="2453" xr:uid="{00000000-0005-0000-0000-00001E500000}"/>
    <cellStyle name="40% - Accent1 3 3 2 5 2" xfId="8289" xr:uid="{00000000-0005-0000-0000-00001F500000}"/>
    <cellStyle name="40% - Accent1 3 3 2 5 2 2" xfId="19590" xr:uid="{00000000-0005-0000-0000-000020500000}"/>
    <cellStyle name="40% - Accent1 3 3 2 5 2 2 2" xfId="42192" xr:uid="{00000000-0005-0000-0000-000021500000}"/>
    <cellStyle name="40% - Accent1 3 3 2 5 2 3" xfId="30891" xr:uid="{00000000-0005-0000-0000-000022500000}"/>
    <cellStyle name="40% - Accent1 3 3 2 5 3" xfId="13940" xr:uid="{00000000-0005-0000-0000-000023500000}"/>
    <cellStyle name="40% - Accent1 3 3 2 5 3 2" xfId="36542" xr:uid="{00000000-0005-0000-0000-000024500000}"/>
    <cellStyle name="40% - Accent1 3 3 2 5 4" xfId="25241" xr:uid="{00000000-0005-0000-0000-000025500000}"/>
    <cellStyle name="40% - Accent1 3 3 2 6" xfId="4238" xr:uid="{00000000-0005-0000-0000-000026500000}"/>
    <cellStyle name="40% - Accent1 3 3 2 6 2" xfId="9888" xr:uid="{00000000-0005-0000-0000-000027500000}"/>
    <cellStyle name="40% - Accent1 3 3 2 6 2 2" xfId="21189" xr:uid="{00000000-0005-0000-0000-000028500000}"/>
    <cellStyle name="40% - Accent1 3 3 2 6 2 2 2" xfId="43791" xr:uid="{00000000-0005-0000-0000-000029500000}"/>
    <cellStyle name="40% - Accent1 3 3 2 6 2 3" xfId="32490" xr:uid="{00000000-0005-0000-0000-00002A500000}"/>
    <cellStyle name="40% - Accent1 3 3 2 6 3" xfId="15539" xr:uid="{00000000-0005-0000-0000-00002B500000}"/>
    <cellStyle name="40% - Accent1 3 3 2 6 3 2" xfId="38141" xr:uid="{00000000-0005-0000-0000-00002C500000}"/>
    <cellStyle name="40% - Accent1 3 3 2 6 4" xfId="26840" xr:uid="{00000000-0005-0000-0000-00002D500000}"/>
    <cellStyle name="40% - Accent1 3 3 2 7" xfId="6718" xr:uid="{00000000-0005-0000-0000-00002E500000}"/>
    <cellStyle name="40% - Accent1 3 3 2 7 2" xfId="18019" xr:uid="{00000000-0005-0000-0000-00002F500000}"/>
    <cellStyle name="40% - Accent1 3 3 2 7 2 2" xfId="40621" xr:uid="{00000000-0005-0000-0000-000030500000}"/>
    <cellStyle name="40% - Accent1 3 3 2 7 3" xfId="29320" xr:uid="{00000000-0005-0000-0000-000031500000}"/>
    <cellStyle name="40% - Accent1 3 3 2 8" xfId="12369" xr:uid="{00000000-0005-0000-0000-000032500000}"/>
    <cellStyle name="40% - Accent1 3 3 2 8 2" xfId="34971" xr:uid="{00000000-0005-0000-0000-000033500000}"/>
    <cellStyle name="40% - Accent1 3 3 2 9" xfId="23670" xr:uid="{00000000-0005-0000-0000-000034500000}"/>
    <cellStyle name="40% - Accent1 3 3 3" xfId="1225" xr:uid="{00000000-0005-0000-0000-000035500000}"/>
    <cellStyle name="40% - Accent1 3 3 3 2" xfId="1823" xr:uid="{00000000-0005-0000-0000-000036500000}"/>
    <cellStyle name="40% - Accent1 3 3 3 2 2" xfId="3293" xr:uid="{00000000-0005-0000-0000-000037500000}"/>
    <cellStyle name="40% - Accent1 3 3 3 2 2 2" xfId="6265" xr:uid="{00000000-0005-0000-0000-000038500000}"/>
    <cellStyle name="40% - Accent1 3 3 3 2 2 2 2" xfId="11915" xr:uid="{00000000-0005-0000-0000-000039500000}"/>
    <cellStyle name="40% - Accent1 3 3 3 2 2 2 2 2" xfId="23216" xr:uid="{00000000-0005-0000-0000-00003A500000}"/>
    <cellStyle name="40% - Accent1 3 3 3 2 2 2 2 2 2" xfId="45818" xr:uid="{00000000-0005-0000-0000-00003B500000}"/>
    <cellStyle name="40% - Accent1 3 3 3 2 2 2 2 3" xfId="34517" xr:uid="{00000000-0005-0000-0000-00003C500000}"/>
    <cellStyle name="40% - Accent1 3 3 3 2 2 2 3" xfId="17566" xr:uid="{00000000-0005-0000-0000-00003D500000}"/>
    <cellStyle name="40% - Accent1 3 3 3 2 2 2 3 2" xfId="40168" xr:uid="{00000000-0005-0000-0000-00003E500000}"/>
    <cellStyle name="40% - Accent1 3 3 3 2 2 2 4" xfId="28867" xr:uid="{00000000-0005-0000-0000-00003F500000}"/>
    <cellStyle name="40% - Accent1 3 3 3 2 2 3" xfId="9083" xr:uid="{00000000-0005-0000-0000-000040500000}"/>
    <cellStyle name="40% - Accent1 3 3 3 2 2 3 2" xfId="20384" xr:uid="{00000000-0005-0000-0000-000041500000}"/>
    <cellStyle name="40% - Accent1 3 3 3 2 2 3 2 2" xfId="42986" xr:uid="{00000000-0005-0000-0000-000042500000}"/>
    <cellStyle name="40% - Accent1 3 3 3 2 2 3 3" xfId="31685" xr:uid="{00000000-0005-0000-0000-000043500000}"/>
    <cellStyle name="40% - Accent1 3 3 3 2 2 4" xfId="14734" xr:uid="{00000000-0005-0000-0000-000044500000}"/>
    <cellStyle name="40% - Accent1 3 3 3 2 2 4 2" xfId="37336" xr:uid="{00000000-0005-0000-0000-000045500000}"/>
    <cellStyle name="40% - Accent1 3 3 3 2 2 5" xfId="26035" xr:uid="{00000000-0005-0000-0000-000046500000}"/>
    <cellStyle name="40% - Accent1 3 3 3 2 3" xfId="5031" xr:uid="{00000000-0005-0000-0000-000047500000}"/>
    <cellStyle name="40% - Accent1 3 3 3 2 3 2" xfId="10681" xr:uid="{00000000-0005-0000-0000-000048500000}"/>
    <cellStyle name="40% - Accent1 3 3 3 2 3 2 2" xfId="21982" xr:uid="{00000000-0005-0000-0000-000049500000}"/>
    <cellStyle name="40% - Accent1 3 3 3 2 3 2 2 2" xfId="44584" xr:uid="{00000000-0005-0000-0000-00004A500000}"/>
    <cellStyle name="40% - Accent1 3 3 3 2 3 2 3" xfId="33283" xr:uid="{00000000-0005-0000-0000-00004B500000}"/>
    <cellStyle name="40% - Accent1 3 3 3 2 3 3" xfId="16332" xr:uid="{00000000-0005-0000-0000-00004C500000}"/>
    <cellStyle name="40% - Accent1 3 3 3 2 3 3 2" xfId="38934" xr:uid="{00000000-0005-0000-0000-00004D500000}"/>
    <cellStyle name="40% - Accent1 3 3 3 2 3 4" xfId="27633" xr:uid="{00000000-0005-0000-0000-00004E500000}"/>
    <cellStyle name="40% - Accent1 3 3 3 2 4" xfId="7679" xr:uid="{00000000-0005-0000-0000-00004F500000}"/>
    <cellStyle name="40% - Accent1 3 3 3 2 4 2" xfId="18980" xr:uid="{00000000-0005-0000-0000-000050500000}"/>
    <cellStyle name="40% - Accent1 3 3 3 2 4 2 2" xfId="41582" xr:uid="{00000000-0005-0000-0000-000051500000}"/>
    <cellStyle name="40% - Accent1 3 3 3 2 4 3" xfId="30281" xr:uid="{00000000-0005-0000-0000-000052500000}"/>
    <cellStyle name="40% - Accent1 3 3 3 2 5" xfId="13330" xr:uid="{00000000-0005-0000-0000-000053500000}"/>
    <cellStyle name="40% - Accent1 3 3 3 2 5 2" xfId="35932" xr:uid="{00000000-0005-0000-0000-000054500000}"/>
    <cellStyle name="40% - Accent1 3 3 3 2 6" xfId="24631" xr:uid="{00000000-0005-0000-0000-000055500000}"/>
    <cellStyle name="40% - Accent1 3 3 3 3" xfId="2622" xr:uid="{00000000-0005-0000-0000-000056500000}"/>
    <cellStyle name="40% - Accent1 3 3 3 3 2" xfId="5641" xr:uid="{00000000-0005-0000-0000-000057500000}"/>
    <cellStyle name="40% - Accent1 3 3 3 3 2 2" xfId="11291" xr:uid="{00000000-0005-0000-0000-000058500000}"/>
    <cellStyle name="40% - Accent1 3 3 3 3 2 2 2" xfId="22592" xr:uid="{00000000-0005-0000-0000-000059500000}"/>
    <cellStyle name="40% - Accent1 3 3 3 3 2 2 2 2" xfId="45194" xr:uid="{00000000-0005-0000-0000-00005A500000}"/>
    <cellStyle name="40% - Accent1 3 3 3 3 2 2 3" xfId="33893" xr:uid="{00000000-0005-0000-0000-00005B500000}"/>
    <cellStyle name="40% - Accent1 3 3 3 3 2 3" xfId="16942" xr:uid="{00000000-0005-0000-0000-00005C500000}"/>
    <cellStyle name="40% - Accent1 3 3 3 3 2 3 2" xfId="39544" xr:uid="{00000000-0005-0000-0000-00005D500000}"/>
    <cellStyle name="40% - Accent1 3 3 3 3 2 4" xfId="28243" xr:uid="{00000000-0005-0000-0000-00005E500000}"/>
    <cellStyle name="40% - Accent1 3 3 3 3 3" xfId="8458" xr:uid="{00000000-0005-0000-0000-00005F500000}"/>
    <cellStyle name="40% - Accent1 3 3 3 3 3 2" xfId="19759" xr:uid="{00000000-0005-0000-0000-000060500000}"/>
    <cellStyle name="40% - Accent1 3 3 3 3 3 2 2" xfId="42361" xr:uid="{00000000-0005-0000-0000-000061500000}"/>
    <cellStyle name="40% - Accent1 3 3 3 3 3 3" xfId="31060" xr:uid="{00000000-0005-0000-0000-000062500000}"/>
    <cellStyle name="40% - Accent1 3 3 3 3 4" xfId="14109" xr:uid="{00000000-0005-0000-0000-000063500000}"/>
    <cellStyle name="40% - Accent1 3 3 3 3 4 2" xfId="36711" xr:uid="{00000000-0005-0000-0000-000064500000}"/>
    <cellStyle name="40% - Accent1 3 3 3 3 5" xfId="25410" xr:uid="{00000000-0005-0000-0000-000065500000}"/>
    <cellStyle name="40% - Accent1 3 3 3 4" xfId="4407" xr:uid="{00000000-0005-0000-0000-000066500000}"/>
    <cellStyle name="40% - Accent1 3 3 3 4 2" xfId="10057" xr:uid="{00000000-0005-0000-0000-000067500000}"/>
    <cellStyle name="40% - Accent1 3 3 3 4 2 2" xfId="21358" xr:uid="{00000000-0005-0000-0000-000068500000}"/>
    <cellStyle name="40% - Accent1 3 3 3 4 2 2 2" xfId="43960" xr:uid="{00000000-0005-0000-0000-000069500000}"/>
    <cellStyle name="40% - Accent1 3 3 3 4 2 3" xfId="32659" xr:uid="{00000000-0005-0000-0000-00006A500000}"/>
    <cellStyle name="40% - Accent1 3 3 3 4 3" xfId="15708" xr:uid="{00000000-0005-0000-0000-00006B500000}"/>
    <cellStyle name="40% - Accent1 3 3 3 4 3 2" xfId="38310" xr:uid="{00000000-0005-0000-0000-00006C500000}"/>
    <cellStyle name="40% - Accent1 3 3 3 4 4" xfId="27009" xr:uid="{00000000-0005-0000-0000-00006D500000}"/>
    <cellStyle name="40% - Accent1 3 3 3 5" xfId="7204" xr:uid="{00000000-0005-0000-0000-00006E500000}"/>
    <cellStyle name="40% - Accent1 3 3 3 5 2" xfId="18505" xr:uid="{00000000-0005-0000-0000-00006F500000}"/>
    <cellStyle name="40% - Accent1 3 3 3 5 2 2" xfId="41107" xr:uid="{00000000-0005-0000-0000-000070500000}"/>
    <cellStyle name="40% - Accent1 3 3 3 5 3" xfId="29806" xr:uid="{00000000-0005-0000-0000-000071500000}"/>
    <cellStyle name="40% - Accent1 3 3 3 6" xfId="12855" xr:uid="{00000000-0005-0000-0000-000072500000}"/>
    <cellStyle name="40% - Accent1 3 3 3 6 2" xfId="35457" xr:uid="{00000000-0005-0000-0000-000073500000}"/>
    <cellStyle name="40% - Accent1 3 3 3 7" xfId="24156" xr:uid="{00000000-0005-0000-0000-000074500000}"/>
    <cellStyle name="40% - Accent1 3 3 4" xfId="916" xr:uid="{00000000-0005-0000-0000-000075500000}"/>
    <cellStyle name="40% - Accent1 3 3 4 2" xfId="2986" xr:uid="{00000000-0005-0000-0000-000076500000}"/>
    <cellStyle name="40% - Accent1 3 3 4 2 2" xfId="5958" xr:uid="{00000000-0005-0000-0000-000077500000}"/>
    <cellStyle name="40% - Accent1 3 3 4 2 2 2" xfId="11608" xr:uid="{00000000-0005-0000-0000-000078500000}"/>
    <cellStyle name="40% - Accent1 3 3 4 2 2 2 2" xfId="22909" xr:uid="{00000000-0005-0000-0000-000079500000}"/>
    <cellStyle name="40% - Accent1 3 3 4 2 2 2 2 2" xfId="45511" xr:uid="{00000000-0005-0000-0000-00007A500000}"/>
    <cellStyle name="40% - Accent1 3 3 4 2 2 2 3" xfId="34210" xr:uid="{00000000-0005-0000-0000-00007B500000}"/>
    <cellStyle name="40% - Accent1 3 3 4 2 2 3" xfId="17259" xr:uid="{00000000-0005-0000-0000-00007C500000}"/>
    <cellStyle name="40% - Accent1 3 3 4 2 2 3 2" xfId="39861" xr:uid="{00000000-0005-0000-0000-00007D500000}"/>
    <cellStyle name="40% - Accent1 3 3 4 2 2 4" xfId="28560" xr:uid="{00000000-0005-0000-0000-00007E500000}"/>
    <cellStyle name="40% - Accent1 3 3 4 2 3" xfId="8776" xr:uid="{00000000-0005-0000-0000-00007F500000}"/>
    <cellStyle name="40% - Accent1 3 3 4 2 3 2" xfId="20077" xr:uid="{00000000-0005-0000-0000-000080500000}"/>
    <cellStyle name="40% - Accent1 3 3 4 2 3 2 2" xfId="42679" xr:uid="{00000000-0005-0000-0000-000081500000}"/>
    <cellStyle name="40% - Accent1 3 3 4 2 3 3" xfId="31378" xr:uid="{00000000-0005-0000-0000-000082500000}"/>
    <cellStyle name="40% - Accent1 3 3 4 2 4" xfId="14427" xr:uid="{00000000-0005-0000-0000-000083500000}"/>
    <cellStyle name="40% - Accent1 3 3 4 2 4 2" xfId="37029" xr:uid="{00000000-0005-0000-0000-000084500000}"/>
    <cellStyle name="40% - Accent1 3 3 4 2 5" xfId="25728" xr:uid="{00000000-0005-0000-0000-000085500000}"/>
    <cellStyle name="40% - Accent1 3 3 4 3" xfId="4724" xr:uid="{00000000-0005-0000-0000-000086500000}"/>
    <cellStyle name="40% - Accent1 3 3 4 3 2" xfId="10374" xr:uid="{00000000-0005-0000-0000-000087500000}"/>
    <cellStyle name="40% - Accent1 3 3 4 3 2 2" xfId="21675" xr:uid="{00000000-0005-0000-0000-000088500000}"/>
    <cellStyle name="40% - Accent1 3 3 4 3 2 2 2" xfId="44277" xr:uid="{00000000-0005-0000-0000-000089500000}"/>
    <cellStyle name="40% - Accent1 3 3 4 3 2 3" xfId="32976" xr:uid="{00000000-0005-0000-0000-00008A500000}"/>
    <cellStyle name="40% - Accent1 3 3 4 3 3" xfId="16025" xr:uid="{00000000-0005-0000-0000-00008B500000}"/>
    <cellStyle name="40% - Accent1 3 3 4 3 3 2" xfId="38627" xr:uid="{00000000-0005-0000-0000-00008C500000}"/>
    <cellStyle name="40% - Accent1 3 3 4 3 4" xfId="27326" xr:uid="{00000000-0005-0000-0000-00008D500000}"/>
    <cellStyle name="40% - Accent1 3 3 4 4" xfId="6911" xr:uid="{00000000-0005-0000-0000-00008E500000}"/>
    <cellStyle name="40% - Accent1 3 3 4 4 2" xfId="18212" xr:uid="{00000000-0005-0000-0000-00008F500000}"/>
    <cellStyle name="40% - Accent1 3 3 4 4 2 2" xfId="40814" xr:uid="{00000000-0005-0000-0000-000090500000}"/>
    <cellStyle name="40% - Accent1 3 3 4 4 3" xfId="29513" xr:uid="{00000000-0005-0000-0000-000091500000}"/>
    <cellStyle name="40% - Accent1 3 3 4 5" xfId="12562" xr:uid="{00000000-0005-0000-0000-000092500000}"/>
    <cellStyle name="40% - Accent1 3 3 4 5 2" xfId="35164" xr:uid="{00000000-0005-0000-0000-000093500000}"/>
    <cellStyle name="40% - Accent1 3 3 4 6" xfId="23863" xr:uid="{00000000-0005-0000-0000-000094500000}"/>
    <cellStyle name="40% - Accent1 3 3 5" xfId="1820" xr:uid="{00000000-0005-0000-0000-000095500000}"/>
    <cellStyle name="40% - Accent1 3 3 5 2" xfId="3709" xr:uid="{00000000-0005-0000-0000-000096500000}"/>
    <cellStyle name="40% - Accent1 3 3 5 2 2" xfId="9420" xr:uid="{00000000-0005-0000-0000-000097500000}"/>
    <cellStyle name="40% - Accent1 3 3 5 2 2 2" xfId="20721" xr:uid="{00000000-0005-0000-0000-000098500000}"/>
    <cellStyle name="40% - Accent1 3 3 5 2 2 2 2" xfId="43323" xr:uid="{00000000-0005-0000-0000-000099500000}"/>
    <cellStyle name="40% - Accent1 3 3 5 2 2 3" xfId="32022" xr:uid="{00000000-0005-0000-0000-00009A500000}"/>
    <cellStyle name="40% - Accent1 3 3 5 2 3" xfId="15071" xr:uid="{00000000-0005-0000-0000-00009B500000}"/>
    <cellStyle name="40% - Accent1 3 3 5 2 3 2" xfId="37673" xr:uid="{00000000-0005-0000-0000-00009C500000}"/>
    <cellStyle name="40% - Accent1 3 3 5 2 4" xfId="26372" xr:uid="{00000000-0005-0000-0000-00009D500000}"/>
    <cellStyle name="40% - Accent1 3 3 5 3" xfId="5334" xr:uid="{00000000-0005-0000-0000-00009E500000}"/>
    <cellStyle name="40% - Accent1 3 3 5 3 2" xfId="10984" xr:uid="{00000000-0005-0000-0000-00009F500000}"/>
    <cellStyle name="40% - Accent1 3 3 5 3 2 2" xfId="22285" xr:uid="{00000000-0005-0000-0000-0000A0500000}"/>
    <cellStyle name="40% - Accent1 3 3 5 3 2 2 2" xfId="44887" xr:uid="{00000000-0005-0000-0000-0000A1500000}"/>
    <cellStyle name="40% - Accent1 3 3 5 3 2 3" xfId="33586" xr:uid="{00000000-0005-0000-0000-0000A2500000}"/>
    <cellStyle name="40% - Accent1 3 3 5 3 3" xfId="16635" xr:uid="{00000000-0005-0000-0000-0000A3500000}"/>
    <cellStyle name="40% - Accent1 3 3 5 3 3 2" xfId="39237" xr:uid="{00000000-0005-0000-0000-0000A4500000}"/>
    <cellStyle name="40% - Accent1 3 3 5 3 4" xfId="27936" xr:uid="{00000000-0005-0000-0000-0000A5500000}"/>
    <cellStyle name="40% - Accent1 3 3 5 4" xfId="7676" xr:uid="{00000000-0005-0000-0000-0000A6500000}"/>
    <cellStyle name="40% - Accent1 3 3 5 4 2" xfId="18977" xr:uid="{00000000-0005-0000-0000-0000A7500000}"/>
    <cellStyle name="40% - Accent1 3 3 5 4 2 2" xfId="41579" xr:uid="{00000000-0005-0000-0000-0000A8500000}"/>
    <cellStyle name="40% - Accent1 3 3 5 4 3" xfId="30278" xr:uid="{00000000-0005-0000-0000-0000A9500000}"/>
    <cellStyle name="40% - Accent1 3 3 5 5" xfId="13327" xr:uid="{00000000-0005-0000-0000-0000AA500000}"/>
    <cellStyle name="40% - Accent1 3 3 5 5 2" xfId="35929" xr:uid="{00000000-0005-0000-0000-0000AB500000}"/>
    <cellStyle name="40% - Accent1 3 3 5 6" xfId="24628" xr:uid="{00000000-0005-0000-0000-0000AC500000}"/>
    <cellStyle name="40% - Accent1 3 3 6" xfId="2313" xr:uid="{00000000-0005-0000-0000-0000AD500000}"/>
    <cellStyle name="40% - Accent1 3 3 6 2" xfId="8149" xr:uid="{00000000-0005-0000-0000-0000AE500000}"/>
    <cellStyle name="40% - Accent1 3 3 6 2 2" xfId="19450" xr:uid="{00000000-0005-0000-0000-0000AF500000}"/>
    <cellStyle name="40% - Accent1 3 3 6 2 2 2" xfId="42052" xr:uid="{00000000-0005-0000-0000-0000B0500000}"/>
    <cellStyle name="40% - Accent1 3 3 6 2 3" xfId="30751" xr:uid="{00000000-0005-0000-0000-0000B1500000}"/>
    <cellStyle name="40% - Accent1 3 3 6 3" xfId="13800" xr:uid="{00000000-0005-0000-0000-0000B2500000}"/>
    <cellStyle name="40% - Accent1 3 3 6 3 2" xfId="36402" xr:uid="{00000000-0005-0000-0000-0000B3500000}"/>
    <cellStyle name="40% - Accent1 3 3 6 4" xfId="25101" xr:uid="{00000000-0005-0000-0000-0000B4500000}"/>
    <cellStyle name="40% - Accent1 3 3 7" xfId="4100" xr:uid="{00000000-0005-0000-0000-0000B5500000}"/>
    <cellStyle name="40% - Accent1 3 3 7 2" xfId="9750" xr:uid="{00000000-0005-0000-0000-0000B6500000}"/>
    <cellStyle name="40% - Accent1 3 3 7 2 2" xfId="21051" xr:uid="{00000000-0005-0000-0000-0000B7500000}"/>
    <cellStyle name="40% - Accent1 3 3 7 2 2 2" xfId="43653" xr:uid="{00000000-0005-0000-0000-0000B8500000}"/>
    <cellStyle name="40% - Accent1 3 3 7 2 3" xfId="32352" xr:uid="{00000000-0005-0000-0000-0000B9500000}"/>
    <cellStyle name="40% - Accent1 3 3 7 3" xfId="15401" xr:uid="{00000000-0005-0000-0000-0000BA500000}"/>
    <cellStyle name="40% - Accent1 3 3 7 3 2" xfId="38003" xr:uid="{00000000-0005-0000-0000-0000BB500000}"/>
    <cellStyle name="40% - Accent1 3 3 7 4" xfId="26702" xr:uid="{00000000-0005-0000-0000-0000BC500000}"/>
    <cellStyle name="40% - Accent1 3 3 8" xfId="6551" xr:uid="{00000000-0005-0000-0000-0000BD500000}"/>
    <cellStyle name="40% - Accent1 3 3 8 2" xfId="17852" xr:uid="{00000000-0005-0000-0000-0000BE500000}"/>
    <cellStyle name="40% - Accent1 3 3 8 2 2" xfId="40454" xr:uid="{00000000-0005-0000-0000-0000BF500000}"/>
    <cellStyle name="40% - Accent1 3 3 8 3" xfId="29153" xr:uid="{00000000-0005-0000-0000-0000C0500000}"/>
    <cellStyle name="40% - Accent1 3 3 9" xfId="12202" xr:uid="{00000000-0005-0000-0000-0000C1500000}"/>
    <cellStyle name="40% - Accent1 3 3 9 2" xfId="34804" xr:uid="{00000000-0005-0000-0000-0000C2500000}"/>
    <cellStyle name="40% - Accent1 3 4" xfId="544" xr:uid="{00000000-0005-0000-0000-0000C3500000}"/>
    <cellStyle name="40% - Accent1 3 4 2" xfId="1129" xr:uid="{00000000-0005-0000-0000-0000C4500000}"/>
    <cellStyle name="40% - Accent1 3 4 2 2" xfId="1825" xr:uid="{00000000-0005-0000-0000-0000C5500000}"/>
    <cellStyle name="40% - Accent1 3 4 2 2 2" xfId="3196" xr:uid="{00000000-0005-0000-0000-0000C6500000}"/>
    <cellStyle name="40% - Accent1 3 4 2 2 2 2" xfId="6168" xr:uid="{00000000-0005-0000-0000-0000C7500000}"/>
    <cellStyle name="40% - Accent1 3 4 2 2 2 2 2" xfId="11818" xr:uid="{00000000-0005-0000-0000-0000C8500000}"/>
    <cellStyle name="40% - Accent1 3 4 2 2 2 2 2 2" xfId="23119" xr:uid="{00000000-0005-0000-0000-0000C9500000}"/>
    <cellStyle name="40% - Accent1 3 4 2 2 2 2 2 2 2" xfId="45721" xr:uid="{00000000-0005-0000-0000-0000CA500000}"/>
    <cellStyle name="40% - Accent1 3 4 2 2 2 2 2 3" xfId="34420" xr:uid="{00000000-0005-0000-0000-0000CB500000}"/>
    <cellStyle name="40% - Accent1 3 4 2 2 2 2 3" xfId="17469" xr:uid="{00000000-0005-0000-0000-0000CC500000}"/>
    <cellStyle name="40% - Accent1 3 4 2 2 2 2 3 2" xfId="40071" xr:uid="{00000000-0005-0000-0000-0000CD500000}"/>
    <cellStyle name="40% - Accent1 3 4 2 2 2 2 4" xfId="28770" xr:uid="{00000000-0005-0000-0000-0000CE500000}"/>
    <cellStyle name="40% - Accent1 3 4 2 2 2 3" xfId="8986" xr:uid="{00000000-0005-0000-0000-0000CF500000}"/>
    <cellStyle name="40% - Accent1 3 4 2 2 2 3 2" xfId="20287" xr:uid="{00000000-0005-0000-0000-0000D0500000}"/>
    <cellStyle name="40% - Accent1 3 4 2 2 2 3 2 2" xfId="42889" xr:uid="{00000000-0005-0000-0000-0000D1500000}"/>
    <cellStyle name="40% - Accent1 3 4 2 2 2 3 3" xfId="31588" xr:uid="{00000000-0005-0000-0000-0000D2500000}"/>
    <cellStyle name="40% - Accent1 3 4 2 2 2 4" xfId="14637" xr:uid="{00000000-0005-0000-0000-0000D3500000}"/>
    <cellStyle name="40% - Accent1 3 4 2 2 2 4 2" xfId="37239" xr:uid="{00000000-0005-0000-0000-0000D4500000}"/>
    <cellStyle name="40% - Accent1 3 4 2 2 2 5" xfId="25938" xr:uid="{00000000-0005-0000-0000-0000D5500000}"/>
    <cellStyle name="40% - Accent1 3 4 2 2 3" xfId="4934" xr:uid="{00000000-0005-0000-0000-0000D6500000}"/>
    <cellStyle name="40% - Accent1 3 4 2 2 3 2" xfId="10584" xr:uid="{00000000-0005-0000-0000-0000D7500000}"/>
    <cellStyle name="40% - Accent1 3 4 2 2 3 2 2" xfId="21885" xr:uid="{00000000-0005-0000-0000-0000D8500000}"/>
    <cellStyle name="40% - Accent1 3 4 2 2 3 2 2 2" xfId="44487" xr:uid="{00000000-0005-0000-0000-0000D9500000}"/>
    <cellStyle name="40% - Accent1 3 4 2 2 3 2 3" xfId="33186" xr:uid="{00000000-0005-0000-0000-0000DA500000}"/>
    <cellStyle name="40% - Accent1 3 4 2 2 3 3" xfId="16235" xr:uid="{00000000-0005-0000-0000-0000DB500000}"/>
    <cellStyle name="40% - Accent1 3 4 2 2 3 3 2" xfId="38837" xr:uid="{00000000-0005-0000-0000-0000DC500000}"/>
    <cellStyle name="40% - Accent1 3 4 2 2 3 4" xfId="27536" xr:uid="{00000000-0005-0000-0000-0000DD500000}"/>
    <cellStyle name="40% - Accent1 3 4 2 2 4" xfId="7681" xr:uid="{00000000-0005-0000-0000-0000DE500000}"/>
    <cellStyle name="40% - Accent1 3 4 2 2 4 2" xfId="18982" xr:uid="{00000000-0005-0000-0000-0000DF500000}"/>
    <cellStyle name="40% - Accent1 3 4 2 2 4 2 2" xfId="41584" xr:uid="{00000000-0005-0000-0000-0000E0500000}"/>
    <cellStyle name="40% - Accent1 3 4 2 2 4 3" xfId="30283" xr:uid="{00000000-0005-0000-0000-0000E1500000}"/>
    <cellStyle name="40% - Accent1 3 4 2 2 5" xfId="13332" xr:uid="{00000000-0005-0000-0000-0000E2500000}"/>
    <cellStyle name="40% - Accent1 3 4 2 2 5 2" xfId="35934" xr:uid="{00000000-0005-0000-0000-0000E3500000}"/>
    <cellStyle name="40% - Accent1 3 4 2 2 6" xfId="24633" xr:uid="{00000000-0005-0000-0000-0000E4500000}"/>
    <cellStyle name="40% - Accent1 3 4 2 3" xfId="2525" xr:uid="{00000000-0005-0000-0000-0000E5500000}"/>
    <cellStyle name="40% - Accent1 3 4 2 3 2" xfId="5544" xr:uid="{00000000-0005-0000-0000-0000E6500000}"/>
    <cellStyle name="40% - Accent1 3 4 2 3 2 2" xfId="11194" xr:uid="{00000000-0005-0000-0000-0000E7500000}"/>
    <cellStyle name="40% - Accent1 3 4 2 3 2 2 2" xfId="22495" xr:uid="{00000000-0005-0000-0000-0000E8500000}"/>
    <cellStyle name="40% - Accent1 3 4 2 3 2 2 2 2" xfId="45097" xr:uid="{00000000-0005-0000-0000-0000E9500000}"/>
    <cellStyle name="40% - Accent1 3 4 2 3 2 2 3" xfId="33796" xr:uid="{00000000-0005-0000-0000-0000EA500000}"/>
    <cellStyle name="40% - Accent1 3 4 2 3 2 3" xfId="16845" xr:uid="{00000000-0005-0000-0000-0000EB500000}"/>
    <cellStyle name="40% - Accent1 3 4 2 3 2 3 2" xfId="39447" xr:uid="{00000000-0005-0000-0000-0000EC500000}"/>
    <cellStyle name="40% - Accent1 3 4 2 3 2 4" xfId="28146" xr:uid="{00000000-0005-0000-0000-0000ED500000}"/>
    <cellStyle name="40% - Accent1 3 4 2 3 3" xfId="8361" xr:uid="{00000000-0005-0000-0000-0000EE500000}"/>
    <cellStyle name="40% - Accent1 3 4 2 3 3 2" xfId="19662" xr:uid="{00000000-0005-0000-0000-0000EF500000}"/>
    <cellStyle name="40% - Accent1 3 4 2 3 3 2 2" xfId="42264" xr:uid="{00000000-0005-0000-0000-0000F0500000}"/>
    <cellStyle name="40% - Accent1 3 4 2 3 3 3" xfId="30963" xr:uid="{00000000-0005-0000-0000-0000F1500000}"/>
    <cellStyle name="40% - Accent1 3 4 2 3 4" xfId="14012" xr:uid="{00000000-0005-0000-0000-0000F2500000}"/>
    <cellStyle name="40% - Accent1 3 4 2 3 4 2" xfId="36614" xr:uid="{00000000-0005-0000-0000-0000F3500000}"/>
    <cellStyle name="40% - Accent1 3 4 2 3 5" xfId="25313" xr:uid="{00000000-0005-0000-0000-0000F4500000}"/>
    <cellStyle name="40% - Accent1 3 4 2 4" xfId="4310" xr:uid="{00000000-0005-0000-0000-0000F5500000}"/>
    <cellStyle name="40% - Accent1 3 4 2 4 2" xfId="9960" xr:uid="{00000000-0005-0000-0000-0000F6500000}"/>
    <cellStyle name="40% - Accent1 3 4 2 4 2 2" xfId="21261" xr:uid="{00000000-0005-0000-0000-0000F7500000}"/>
    <cellStyle name="40% - Accent1 3 4 2 4 2 2 2" xfId="43863" xr:uid="{00000000-0005-0000-0000-0000F8500000}"/>
    <cellStyle name="40% - Accent1 3 4 2 4 2 3" xfId="32562" xr:uid="{00000000-0005-0000-0000-0000F9500000}"/>
    <cellStyle name="40% - Accent1 3 4 2 4 3" xfId="15611" xr:uid="{00000000-0005-0000-0000-0000FA500000}"/>
    <cellStyle name="40% - Accent1 3 4 2 4 3 2" xfId="38213" xr:uid="{00000000-0005-0000-0000-0000FB500000}"/>
    <cellStyle name="40% - Accent1 3 4 2 4 4" xfId="26912" xr:uid="{00000000-0005-0000-0000-0000FC500000}"/>
    <cellStyle name="40% - Accent1 3 4 2 5" xfId="7108" xr:uid="{00000000-0005-0000-0000-0000FD500000}"/>
    <cellStyle name="40% - Accent1 3 4 2 5 2" xfId="18409" xr:uid="{00000000-0005-0000-0000-0000FE500000}"/>
    <cellStyle name="40% - Accent1 3 4 2 5 2 2" xfId="41011" xr:uid="{00000000-0005-0000-0000-0000FF500000}"/>
    <cellStyle name="40% - Accent1 3 4 2 5 3" xfId="29710" xr:uid="{00000000-0005-0000-0000-000000510000}"/>
    <cellStyle name="40% - Accent1 3 4 2 6" xfId="12759" xr:uid="{00000000-0005-0000-0000-000001510000}"/>
    <cellStyle name="40% - Accent1 3 4 2 6 2" xfId="35361" xr:uid="{00000000-0005-0000-0000-000002510000}"/>
    <cellStyle name="40% - Accent1 3 4 2 7" xfId="24060" xr:uid="{00000000-0005-0000-0000-000003510000}"/>
    <cellStyle name="40% - Accent1 3 4 3" xfId="800" xr:uid="{00000000-0005-0000-0000-000004510000}"/>
    <cellStyle name="40% - Accent1 3 4 3 2" xfId="2890" xr:uid="{00000000-0005-0000-0000-000005510000}"/>
    <cellStyle name="40% - Accent1 3 4 3 2 2" xfId="5862" xr:uid="{00000000-0005-0000-0000-000006510000}"/>
    <cellStyle name="40% - Accent1 3 4 3 2 2 2" xfId="11512" xr:uid="{00000000-0005-0000-0000-000007510000}"/>
    <cellStyle name="40% - Accent1 3 4 3 2 2 2 2" xfId="22813" xr:uid="{00000000-0005-0000-0000-000008510000}"/>
    <cellStyle name="40% - Accent1 3 4 3 2 2 2 2 2" xfId="45415" xr:uid="{00000000-0005-0000-0000-000009510000}"/>
    <cellStyle name="40% - Accent1 3 4 3 2 2 2 3" xfId="34114" xr:uid="{00000000-0005-0000-0000-00000A510000}"/>
    <cellStyle name="40% - Accent1 3 4 3 2 2 3" xfId="17163" xr:uid="{00000000-0005-0000-0000-00000B510000}"/>
    <cellStyle name="40% - Accent1 3 4 3 2 2 3 2" xfId="39765" xr:uid="{00000000-0005-0000-0000-00000C510000}"/>
    <cellStyle name="40% - Accent1 3 4 3 2 2 4" xfId="28464" xr:uid="{00000000-0005-0000-0000-00000D510000}"/>
    <cellStyle name="40% - Accent1 3 4 3 2 3" xfId="8680" xr:uid="{00000000-0005-0000-0000-00000E510000}"/>
    <cellStyle name="40% - Accent1 3 4 3 2 3 2" xfId="19981" xr:uid="{00000000-0005-0000-0000-00000F510000}"/>
    <cellStyle name="40% - Accent1 3 4 3 2 3 2 2" xfId="42583" xr:uid="{00000000-0005-0000-0000-000010510000}"/>
    <cellStyle name="40% - Accent1 3 4 3 2 3 3" xfId="31282" xr:uid="{00000000-0005-0000-0000-000011510000}"/>
    <cellStyle name="40% - Accent1 3 4 3 2 4" xfId="14331" xr:uid="{00000000-0005-0000-0000-000012510000}"/>
    <cellStyle name="40% - Accent1 3 4 3 2 4 2" xfId="36933" xr:uid="{00000000-0005-0000-0000-000013510000}"/>
    <cellStyle name="40% - Accent1 3 4 3 2 5" xfId="25632" xr:uid="{00000000-0005-0000-0000-000014510000}"/>
    <cellStyle name="40% - Accent1 3 4 3 3" xfId="4628" xr:uid="{00000000-0005-0000-0000-000015510000}"/>
    <cellStyle name="40% - Accent1 3 4 3 3 2" xfId="10278" xr:uid="{00000000-0005-0000-0000-000016510000}"/>
    <cellStyle name="40% - Accent1 3 4 3 3 2 2" xfId="21579" xr:uid="{00000000-0005-0000-0000-000017510000}"/>
    <cellStyle name="40% - Accent1 3 4 3 3 2 2 2" xfId="44181" xr:uid="{00000000-0005-0000-0000-000018510000}"/>
    <cellStyle name="40% - Accent1 3 4 3 3 2 3" xfId="32880" xr:uid="{00000000-0005-0000-0000-000019510000}"/>
    <cellStyle name="40% - Accent1 3 4 3 3 3" xfId="15929" xr:uid="{00000000-0005-0000-0000-00001A510000}"/>
    <cellStyle name="40% - Accent1 3 4 3 3 3 2" xfId="38531" xr:uid="{00000000-0005-0000-0000-00001B510000}"/>
    <cellStyle name="40% - Accent1 3 4 3 3 4" xfId="27230" xr:uid="{00000000-0005-0000-0000-00001C510000}"/>
    <cellStyle name="40% - Accent1 3 4 3 4" xfId="6811" xr:uid="{00000000-0005-0000-0000-00001D510000}"/>
    <cellStyle name="40% - Accent1 3 4 3 4 2" xfId="18112" xr:uid="{00000000-0005-0000-0000-00001E510000}"/>
    <cellStyle name="40% - Accent1 3 4 3 4 2 2" xfId="40714" xr:uid="{00000000-0005-0000-0000-00001F510000}"/>
    <cellStyle name="40% - Accent1 3 4 3 4 3" xfId="29413" xr:uid="{00000000-0005-0000-0000-000020510000}"/>
    <cellStyle name="40% - Accent1 3 4 3 5" xfId="12462" xr:uid="{00000000-0005-0000-0000-000021510000}"/>
    <cellStyle name="40% - Accent1 3 4 3 5 2" xfId="35064" xr:uid="{00000000-0005-0000-0000-000022510000}"/>
    <cellStyle name="40% - Accent1 3 4 3 6" xfId="23763" xr:uid="{00000000-0005-0000-0000-000023510000}"/>
    <cellStyle name="40% - Accent1 3 4 4" xfId="1824" xr:uid="{00000000-0005-0000-0000-000024510000}"/>
    <cellStyle name="40% - Accent1 3 4 4 2" xfId="3711" xr:uid="{00000000-0005-0000-0000-000025510000}"/>
    <cellStyle name="40% - Accent1 3 4 4 2 2" xfId="9422" xr:uid="{00000000-0005-0000-0000-000026510000}"/>
    <cellStyle name="40% - Accent1 3 4 4 2 2 2" xfId="20723" xr:uid="{00000000-0005-0000-0000-000027510000}"/>
    <cellStyle name="40% - Accent1 3 4 4 2 2 2 2" xfId="43325" xr:uid="{00000000-0005-0000-0000-000028510000}"/>
    <cellStyle name="40% - Accent1 3 4 4 2 2 3" xfId="32024" xr:uid="{00000000-0005-0000-0000-000029510000}"/>
    <cellStyle name="40% - Accent1 3 4 4 2 3" xfId="15073" xr:uid="{00000000-0005-0000-0000-00002A510000}"/>
    <cellStyle name="40% - Accent1 3 4 4 2 3 2" xfId="37675" xr:uid="{00000000-0005-0000-0000-00002B510000}"/>
    <cellStyle name="40% - Accent1 3 4 4 2 4" xfId="26374" xr:uid="{00000000-0005-0000-0000-00002C510000}"/>
    <cellStyle name="40% - Accent1 3 4 4 3" xfId="5238" xr:uid="{00000000-0005-0000-0000-00002D510000}"/>
    <cellStyle name="40% - Accent1 3 4 4 3 2" xfId="10888" xr:uid="{00000000-0005-0000-0000-00002E510000}"/>
    <cellStyle name="40% - Accent1 3 4 4 3 2 2" xfId="22189" xr:uid="{00000000-0005-0000-0000-00002F510000}"/>
    <cellStyle name="40% - Accent1 3 4 4 3 2 2 2" xfId="44791" xr:uid="{00000000-0005-0000-0000-000030510000}"/>
    <cellStyle name="40% - Accent1 3 4 4 3 2 3" xfId="33490" xr:uid="{00000000-0005-0000-0000-000031510000}"/>
    <cellStyle name="40% - Accent1 3 4 4 3 3" xfId="16539" xr:uid="{00000000-0005-0000-0000-000032510000}"/>
    <cellStyle name="40% - Accent1 3 4 4 3 3 2" xfId="39141" xr:uid="{00000000-0005-0000-0000-000033510000}"/>
    <cellStyle name="40% - Accent1 3 4 4 3 4" xfId="27840" xr:uid="{00000000-0005-0000-0000-000034510000}"/>
    <cellStyle name="40% - Accent1 3 4 4 4" xfId="7680" xr:uid="{00000000-0005-0000-0000-000035510000}"/>
    <cellStyle name="40% - Accent1 3 4 4 4 2" xfId="18981" xr:uid="{00000000-0005-0000-0000-000036510000}"/>
    <cellStyle name="40% - Accent1 3 4 4 4 2 2" xfId="41583" xr:uid="{00000000-0005-0000-0000-000037510000}"/>
    <cellStyle name="40% - Accent1 3 4 4 4 3" xfId="30282" xr:uid="{00000000-0005-0000-0000-000038510000}"/>
    <cellStyle name="40% - Accent1 3 4 4 5" xfId="13331" xr:uid="{00000000-0005-0000-0000-000039510000}"/>
    <cellStyle name="40% - Accent1 3 4 4 5 2" xfId="35933" xr:uid="{00000000-0005-0000-0000-00003A510000}"/>
    <cellStyle name="40% - Accent1 3 4 4 6" xfId="24632" xr:uid="{00000000-0005-0000-0000-00003B510000}"/>
    <cellStyle name="40% - Accent1 3 4 5" xfId="2210" xr:uid="{00000000-0005-0000-0000-00003C510000}"/>
    <cellStyle name="40% - Accent1 3 4 5 2" xfId="8052" xr:uid="{00000000-0005-0000-0000-00003D510000}"/>
    <cellStyle name="40% - Accent1 3 4 5 2 2" xfId="19353" xr:uid="{00000000-0005-0000-0000-00003E510000}"/>
    <cellStyle name="40% - Accent1 3 4 5 2 2 2" xfId="41955" xr:uid="{00000000-0005-0000-0000-00003F510000}"/>
    <cellStyle name="40% - Accent1 3 4 5 2 3" xfId="30654" xr:uid="{00000000-0005-0000-0000-000040510000}"/>
    <cellStyle name="40% - Accent1 3 4 5 3" xfId="13703" xr:uid="{00000000-0005-0000-0000-000041510000}"/>
    <cellStyle name="40% - Accent1 3 4 5 3 2" xfId="36305" xr:uid="{00000000-0005-0000-0000-000042510000}"/>
    <cellStyle name="40% - Accent1 3 4 5 4" xfId="25004" xr:uid="{00000000-0005-0000-0000-000043510000}"/>
    <cellStyle name="40% - Accent1 3 4 6" xfId="4004" xr:uid="{00000000-0005-0000-0000-000044510000}"/>
    <cellStyle name="40% - Accent1 3 4 6 2" xfId="9654" xr:uid="{00000000-0005-0000-0000-000045510000}"/>
    <cellStyle name="40% - Accent1 3 4 6 2 2" xfId="20955" xr:uid="{00000000-0005-0000-0000-000046510000}"/>
    <cellStyle name="40% - Accent1 3 4 6 2 2 2" xfId="43557" xr:uid="{00000000-0005-0000-0000-000047510000}"/>
    <cellStyle name="40% - Accent1 3 4 6 2 3" xfId="32256" xr:uid="{00000000-0005-0000-0000-000048510000}"/>
    <cellStyle name="40% - Accent1 3 4 6 3" xfId="15305" xr:uid="{00000000-0005-0000-0000-000049510000}"/>
    <cellStyle name="40% - Accent1 3 4 6 3 2" xfId="37907" xr:uid="{00000000-0005-0000-0000-00004A510000}"/>
    <cellStyle name="40% - Accent1 3 4 6 4" xfId="26606" xr:uid="{00000000-0005-0000-0000-00004B510000}"/>
    <cellStyle name="40% - Accent1 3 4 7" xfId="6622" xr:uid="{00000000-0005-0000-0000-00004C510000}"/>
    <cellStyle name="40% - Accent1 3 4 7 2" xfId="17923" xr:uid="{00000000-0005-0000-0000-00004D510000}"/>
    <cellStyle name="40% - Accent1 3 4 7 2 2" xfId="40525" xr:uid="{00000000-0005-0000-0000-00004E510000}"/>
    <cellStyle name="40% - Accent1 3 4 7 3" xfId="29224" xr:uid="{00000000-0005-0000-0000-00004F510000}"/>
    <cellStyle name="40% - Accent1 3 4 8" xfId="12273" xr:uid="{00000000-0005-0000-0000-000050510000}"/>
    <cellStyle name="40% - Accent1 3 4 8 2" xfId="34875" xr:uid="{00000000-0005-0000-0000-000051510000}"/>
    <cellStyle name="40% - Accent1 3 4 9" xfId="23574" xr:uid="{00000000-0005-0000-0000-000052510000}"/>
    <cellStyle name="40% - Accent1 3 5" xfId="455" xr:uid="{00000000-0005-0000-0000-000053510000}"/>
    <cellStyle name="40% - Accent1 3 6" xfId="1468" xr:uid="{00000000-0005-0000-0000-000054510000}"/>
    <cellStyle name="40% - Accent1 3 7" xfId="6455" xr:uid="{00000000-0005-0000-0000-000055510000}"/>
    <cellStyle name="40% - Accent1 3 7 2" xfId="17756" xr:uid="{00000000-0005-0000-0000-000056510000}"/>
    <cellStyle name="40% - Accent1 3 7 2 2" xfId="40358" xr:uid="{00000000-0005-0000-0000-000057510000}"/>
    <cellStyle name="40% - Accent1 3 7 3" xfId="29057" xr:uid="{00000000-0005-0000-0000-000058510000}"/>
    <cellStyle name="40% - Accent1 3 8" xfId="12106" xr:uid="{00000000-0005-0000-0000-000059510000}"/>
    <cellStyle name="40% - Accent1 3 8 2" xfId="34708" xr:uid="{00000000-0005-0000-0000-00005A510000}"/>
    <cellStyle name="40% - Accent1 3 9" xfId="23407" xr:uid="{00000000-0005-0000-0000-00005B510000}"/>
    <cellStyle name="40% - Accent1 4" xfId="237" xr:uid="{00000000-0005-0000-0000-00005C510000}"/>
    <cellStyle name="40% - Accent1 4 10" xfId="3990" xr:uid="{00000000-0005-0000-0000-00005D510000}"/>
    <cellStyle name="40% - Accent1 4 10 2" xfId="9640" xr:uid="{00000000-0005-0000-0000-00005E510000}"/>
    <cellStyle name="40% - Accent1 4 10 2 2" xfId="20941" xr:uid="{00000000-0005-0000-0000-00005F510000}"/>
    <cellStyle name="40% - Accent1 4 10 2 2 2" xfId="43543" xr:uid="{00000000-0005-0000-0000-000060510000}"/>
    <cellStyle name="40% - Accent1 4 10 2 3" xfId="32242" xr:uid="{00000000-0005-0000-0000-000061510000}"/>
    <cellStyle name="40% - Accent1 4 10 3" xfId="15291" xr:uid="{00000000-0005-0000-0000-000062510000}"/>
    <cellStyle name="40% - Accent1 4 10 3 2" xfId="37893" xr:uid="{00000000-0005-0000-0000-000063510000}"/>
    <cellStyle name="40% - Accent1 4 10 4" xfId="26592" xr:uid="{00000000-0005-0000-0000-000064510000}"/>
    <cellStyle name="40% - Accent1 4 11" xfId="6469" xr:uid="{00000000-0005-0000-0000-000065510000}"/>
    <cellStyle name="40% - Accent1 4 11 2" xfId="17770" xr:uid="{00000000-0005-0000-0000-000066510000}"/>
    <cellStyle name="40% - Accent1 4 11 2 2" xfId="40372" xr:uid="{00000000-0005-0000-0000-000067510000}"/>
    <cellStyle name="40% - Accent1 4 11 3" xfId="29071" xr:uid="{00000000-0005-0000-0000-000068510000}"/>
    <cellStyle name="40% - Accent1 4 12" xfId="12120" xr:uid="{00000000-0005-0000-0000-000069510000}"/>
    <cellStyle name="40% - Accent1 4 12 2" xfId="34722" xr:uid="{00000000-0005-0000-0000-00006A510000}"/>
    <cellStyle name="40% - Accent1 4 13" xfId="23421" xr:uid="{00000000-0005-0000-0000-00006B510000}"/>
    <cellStyle name="40% - Accent1 4 2" xfId="360" xr:uid="{00000000-0005-0000-0000-00006C510000}"/>
    <cellStyle name="40% - Accent1 4 2 10" xfId="23468" xr:uid="{00000000-0005-0000-0000-00006D510000}"/>
    <cellStyle name="40% - Accent1 4 2 2" xfId="618" xr:uid="{00000000-0005-0000-0000-00006E510000}"/>
    <cellStyle name="40% - Accent1 4 2 2 2" xfId="1328" xr:uid="{00000000-0005-0000-0000-00006F510000}"/>
    <cellStyle name="40% - Accent1 4 2 2 2 2" xfId="1829" xr:uid="{00000000-0005-0000-0000-000070510000}"/>
    <cellStyle name="40% - Accent1 4 2 2 2 2 2" xfId="3397" xr:uid="{00000000-0005-0000-0000-000071510000}"/>
    <cellStyle name="40% - Accent1 4 2 2 2 2 2 2" xfId="6369" xr:uid="{00000000-0005-0000-0000-000072510000}"/>
    <cellStyle name="40% - Accent1 4 2 2 2 2 2 2 2" xfId="12019" xr:uid="{00000000-0005-0000-0000-000073510000}"/>
    <cellStyle name="40% - Accent1 4 2 2 2 2 2 2 2 2" xfId="23320" xr:uid="{00000000-0005-0000-0000-000074510000}"/>
    <cellStyle name="40% - Accent1 4 2 2 2 2 2 2 2 2 2" xfId="45922" xr:uid="{00000000-0005-0000-0000-000075510000}"/>
    <cellStyle name="40% - Accent1 4 2 2 2 2 2 2 2 3" xfId="34621" xr:uid="{00000000-0005-0000-0000-000076510000}"/>
    <cellStyle name="40% - Accent1 4 2 2 2 2 2 2 3" xfId="17670" xr:uid="{00000000-0005-0000-0000-000077510000}"/>
    <cellStyle name="40% - Accent1 4 2 2 2 2 2 2 3 2" xfId="40272" xr:uid="{00000000-0005-0000-0000-000078510000}"/>
    <cellStyle name="40% - Accent1 4 2 2 2 2 2 2 4" xfId="28971" xr:uid="{00000000-0005-0000-0000-000079510000}"/>
    <cellStyle name="40% - Accent1 4 2 2 2 2 2 3" xfId="9187" xr:uid="{00000000-0005-0000-0000-00007A510000}"/>
    <cellStyle name="40% - Accent1 4 2 2 2 2 2 3 2" xfId="20488" xr:uid="{00000000-0005-0000-0000-00007B510000}"/>
    <cellStyle name="40% - Accent1 4 2 2 2 2 2 3 2 2" xfId="43090" xr:uid="{00000000-0005-0000-0000-00007C510000}"/>
    <cellStyle name="40% - Accent1 4 2 2 2 2 2 3 3" xfId="31789" xr:uid="{00000000-0005-0000-0000-00007D510000}"/>
    <cellStyle name="40% - Accent1 4 2 2 2 2 2 4" xfId="14838" xr:uid="{00000000-0005-0000-0000-00007E510000}"/>
    <cellStyle name="40% - Accent1 4 2 2 2 2 2 4 2" xfId="37440" xr:uid="{00000000-0005-0000-0000-00007F510000}"/>
    <cellStyle name="40% - Accent1 4 2 2 2 2 2 5" xfId="26139" xr:uid="{00000000-0005-0000-0000-000080510000}"/>
    <cellStyle name="40% - Accent1 4 2 2 2 2 3" xfId="5135" xr:uid="{00000000-0005-0000-0000-000081510000}"/>
    <cellStyle name="40% - Accent1 4 2 2 2 2 3 2" xfId="10785" xr:uid="{00000000-0005-0000-0000-000082510000}"/>
    <cellStyle name="40% - Accent1 4 2 2 2 2 3 2 2" xfId="22086" xr:uid="{00000000-0005-0000-0000-000083510000}"/>
    <cellStyle name="40% - Accent1 4 2 2 2 2 3 2 2 2" xfId="44688" xr:uid="{00000000-0005-0000-0000-000084510000}"/>
    <cellStyle name="40% - Accent1 4 2 2 2 2 3 2 3" xfId="33387" xr:uid="{00000000-0005-0000-0000-000085510000}"/>
    <cellStyle name="40% - Accent1 4 2 2 2 2 3 3" xfId="16436" xr:uid="{00000000-0005-0000-0000-000086510000}"/>
    <cellStyle name="40% - Accent1 4 2 2 2 2 3 3 2" xfId="39038" xr:uid="{00000000-0005-0000-0000-000087510000}"/>
    <cellStyle name="40% - Accent1 4 2 2 2 2 3 4" xfId="27737" xr:uid="{00000000-0005-0000-0000-000088510000}"/>
    <cellStyle name="40% - Accent1 4 2 2 2 2 4" xfId="7685" xr:uid="{00000000-0005-0000-0000-000089510000}"/>
    <cellStyle name="40% - Accent1 4 2 2 2 2 4 2" xfId="18986" xr:uid="{00000000-0005-0000-0000-00008A510000}"/>
    <cellStyle name="40% - Accent1 4 2 2 2 2 4 2 2" xfId="41588" xr:uid="{00000000-0005-0000-0000-00008B510000}"/>
    <cellStyle name="40% - Accent1 4 2 2 2 2 4 3" xfId="30287" xr:uid="{00000000-0005-0000-0000-00008C510000}"/>
    <cellStyle name="40% - Accent1 4 2 2 2 2 5" xfId="13336" xr:uid="{00000000-0005-0000-0000-00008D510000}"/>
    <cellStyle name="40% - Accent1 4 2 2 2 2 5 2" xfId="35938" xr:uid="{00000000-0005-0000-0000-00008E510000}"/>
    <cellStyle name="40% - Accent1 4 2 2 2 2 6" xfId="24637" xr:uid="{00000000-0005-0000-0000-00008F510000}"/>
    <cellStyle name="40% - Accent1 4 2 2 2 3" xfId="2726" xr:uid="{00000000-0005-0000-0000-000090510000}"/>
    <cellStyle name="40% - Accent1 4 2 2 2 3 2" xfId="5745" xr:uid="{00000000-0005-0000-0000-000091510000}"/>
    <cellStyle name="40% - Accent1 4 2 2 2 3 2 2" xfId="11395" xr:uid="{00000000-0005-0000-0000-000092510000}"/>
    <cellStyle name="40% - Accent1 4 2 2 2 3 2 2 2" xfId="22696" xr:uid="{00000000-0005-0000-0000-000093510000}"/>
    <cellStyle name="40% - Accent1 4 2 2 2 3 2 2 2 2" xfId="45298" xr:uid="{00000000-0005-0000-0000-000094510000}"/>
    <cellStyle name="40% - Accent1 4 2 2 2 3 2 2 3" xfId="33997" xr:uid="{00000000-0005-0000-0000-000095510000}"/>
    <cellStyle name="40% - Accent1 4 2 2 2 3 2 3" xfId="17046" xr:uid="{00000000-0005-0000-0000-000096510000}"/>
    <cellStyle name="40% - Accent1 4 2 2 2 3 2 3 2" xfId="39648" xr:uid="{00000000-0005-0000-0000-000097510000}"/>
    <cellStyle name="40% - Accent1 4 2 2 2 3 2 4" xfId="28347" xr:uid="{00000000-0005-0000-0000-000098510000}"/>
    <cellStyle name="40% - Accent1 4 2 2 2 3 3" xfId="8562" xr:uid="{00000000-0005-0000-0000-000099510000}"/>
    <cellStyle name="40% - Accent1 4 2 2 2 3 3 2" xfId="19863" xr:uid="{00000000-0005-0000-0000-00009A510000}"/>
    <cellStyle name="40% - Accent1 4 2 2 2 3 3 2 2" xfId="42465" xr:uid="{00000000-0005-0000-0000-00009B510000}"/>
    <cellStyle name="40% - Accent1 4 2 2 2 3 3 3" xfId="31164" xr:uid="{00000000-0005-0000-0000-00009C510000}"/>
    <cellStyle name="40% - Accent1 4 2 2 2 3 4" xfId="14213" xr:uid="{00000000-0005-0000-0000-00009D510000}"/>
    <cellStyle name="40% - Accent1 4 2 2 2 3 4 2" xfId="36815" xr:uid="{00000000-0005-0000-0000-00009E510000}"/>
    <cellStyle name="40% - Accent1 4 2 2 2 3 5" xfId="25514" xr:uid="{00000000-0005-0000-0000-00009F510000}"/>
    <cellStyle name="40% - Accent1 4 2 2 2 4" xfId="4511" xr:uid="{00000000-0005-0000-0000-0000A0510000}"/>
    <cellStyle name="40% - Accent1 4 2 2 2 4 2" xfId="10161" xr:uid="{00000000-0005-0000-0000-0000A1510000}"/>
    <cellStyle name="40% - Accent1 4 2 2 2 4 2 2" xfId="21462" xr:uid="{00000000-0005-0000-0000-0000A2510000}"/>
    <cellStyle name="40% - Accent1 4 2 2 2 4 2 2 2" xfId="44064" xr:uid="{00000000-0005-0000-0000-0000A3510000}"/>
    <cellStyle name="40% - Accent1 4 2 2 2 4 2 3" xfId="32763" xr:uid="{00000000-0005-0000-0000-0000A4510000}"/>
    <cellStyle name="40% - Accent1 4 2 2 2 4 3" xfId="15812" xr:uid="{00000000-0005-0000-0000-0000A5510000}"/>
    <cellStyle name="40% - Accent1 4 2 2 2 4 3 2" xfId="38414" xr:uid="{00000000-0005-0000-0000-0000A6510000}"/>
    <cellStyle name="40% - Accent1 4 2 2 2 4 4" xfId="27113" xr:uid="{00000000-0005-0000-0000-0000A7510000}"/>
    <cellStyle name="40% - Accent1 4 2 2 2 5" xfId="7307" xr:uid="{00000000-0005-0000-0000-0000A8510000}"/>
    <cellStyle name="40% - Accent1 4 2 2 2 5 2" xfId="18608" xr:uid="{00000000-0005-0000-0000-0000A9510000}"/>
    <cellStyle name="40% - Accent1 4 2 2 2 5 2 2" xfId="41210" xr:uid="{00000000-0005-0000-0000-0000AA510000}"/>
    <cellStyle name="40% - Accent1 4 2 2 2 5 3" xfId="29909" xr:uid="{00000000-0005-0000-0000-0000AB510000}"/>
    <cellStyle name="40% - Accent1 4 2 2 2 6" xfId="12958" xr:uid="{00000000-0005-0000-0000-0000AC510000}"/>
    <cellStyle name="40% - Accent1 4 2 2 2 6 2" xfId="35560" xr:uid="{00000000-0005-0000-0000-0000AD510000}"/>
    <cellStyle name="40% - Accent1 4 2 2 2 7" xfId="24259" xr:uid="{00000000-0005-0000-0000-0000AE510000}"/>
    <cellStyle name="40% - Accent1 4 2 2 3" xfId="1026" xr:uid="{00000000-0005-0000-0000-0000AF510000}"/>
    <cellStyle name="40% - Accent1 4 2 2 3 2" xfId="3089" xr:uid="{00000000-0005-0000-0000-0000B0510000}"/>
    <cellStyle name="40% - Accent1 4 2 2 3 2 2" xfId="6061" xr:uid="{00000000-0005-0000-0000-0000B1510000}"/>
    <cellStyle name="40% - Accent1 4 2 2 3 2 2 2" xfId="11711" xr:uid="{00000000-0005-0000-0000-0000B2510000}"/>
    <cellStyle name="40% - Accent1 4 2 2 3 2 2 2 2" xfId="23012" xr:uid="{00000000-0005-0000-0000-0000B3510000}"/>
    <cellStyle name="40% - Accent1 4 2 2 3 2 2 2 2 2" xfId="45614" xr:uid="{00000000-0005-0000-0000-0000B4510000}"/>
    <cellStyle name="40% - Accent1 4 2 2 3 2 2 2 3" xfId="34313" xr:uid="{00000000-0005-0000-0000-0000B5510000}"/>
    <cellStyle name="40% - Accent1 4 2 2 3 2 2 3" xfId="17362" xr:uid="{00000000-0005-0000-0000-0000B6510000}"/>
    <cellStyle name="40% - Accent1 4 2 2 3 2 2 3 2" xfId="39964" xr:uid="{00000000-0005-0000-0000-0000B7510000}"/>
    <cellStyle name="40% - Accent1 4 2 2 3 2 2 4" xfId="28663" xr:uid="{00000000-0005-0000-0000-0000B8510000}"/>
    <cellStyle name="40% - Accent1 4 2 2 3 2 3" xfId="8879" xr:uid="{00000000-0005-0000-0000-0000B9510000}"/>
    <cellStyle name="40% - Accent1 4 2 2 3 2 3 2" xfId="20180" xr:uid="{00000000-0005-0000-0000-0000BA510000}"/>
    <cellStyle name="40% - Accent1 4 2 2 3 2 3 2 2" xfId="42782" xr:uid="{00000000-0005-0000-0000-0000BB510000}"/>
    <cellStyle name="40% - Accent1 4 2 2 3 2 3 3" xfId="31481" xr:uid="{00000000-0005-0000-0000-0000BC510000}"/>
    <cellStyle name="40% - Accent1 4 2 2 3 2 4" xfId="14530" xr:uid="{00000000-0005-0000-0000-0000BD510000}"/>
    <cellStyle name="40% - Accent1 4 2 2 3 2 4 2" xfId="37132" xr:uid="{00000000-0005-0000-0000-0000BE510000}"/>
    <cellStyle name="40% - Accent1 4 2 2 3 2 5" xfId="25831" xr:uid="{00000000-0005-0000-0000-0000BF510000}"/>
    <cellStyle name="40% - Accent1 4 2 2 3 3" xfId="4827" xr:uid="{00000000-0005-0000-0000-0000C0510000}"/>
    <cellStyle name="40% - Accent1 4 2 2 3 3 2" xfId="10477" xr:uid="{00000000-0005-0000-0000-0000C1510000}"/>
    <cellStyle name="40% - Accent1 4 2 2 3 3 2 2" xfId="21778" xr:uid="{00000000-0005-0000-0000-0000C2510000}"/>
    <cellStyle name="40% - Accent1 4 2 2 3 3 2 2 2" xfId="44380" xr:uid="{00000000-0005-0000-0000-0000C3510000}"/>
    <cellStyle name="40% - Accent1 4 2 2 3 3 2 3" xfId="33079" xr:uid="{00000000-0005-0000-0000-0000C4510000}"/>
    <cellStyle name="40% - Accent1 4 2 2 3 3 3" xfId="16128" xr:uid="{00000000-0005-0000-0000-0000C5510000}"/>
    <cellStyle name="40% - Accent1 4 2 2 3 3 3 2" xfId="38730" xr:uid="{00000000-0005-0000-0000-0000C6510000}"/>
    <cellStyle name="40% - Accent1 4 2 2 3 3 4" xfId="27429" xr:uid="{00000000-0005-0000-0000-0000C7510000}"/>
    <cellStyle name="40% - Accent1 4 2 2 3 4" xfId="7014" xr:uid="{00000000-0005-0000-0000-0000C8510000}"/>
    <cellStyle name="40% - Accent1 4 2 2 3 4 2" xfId="18315" xr:uid="{00000000-0005-0000-0000-0000C9510000}"/>
    <cellStyle name="40% - Accent1 4 2 2 3 4 2 2" xfId="40917" xr:uid="{00000000-0005-0000-0000-0000CA510000}"/>
    <cellStyle name="40% - Accent1 4 2 2 3 4 3" xfId="29616" xr:uid="{00000000-0005-0000-0000-0000CB510000}"/>
    <cellStyle name="40% - Accent1 4 2 2 3 5" xfId="12665" xr:uid="{00000000-0005-0000-0000-0000CC510000}"/>
    <cellStyle name="40% - Accent1 4 2 2 3 5 2" xfId="35267" xr:uid="{00000000-0005-0000-0000-0000CD510000}"/>
    <cellStyle name="40% - Accent1 4 2 2 3 6" xfId="23966" xr:uid="{00000000-0005-0000-0000-0000CE510000}"/>
    <cellStyle name="40% - Accent1 4 2 2 4" xfId="1828" xr:uid="{00000000-0005-0000-0000-0000CF510000}"/>
    <cellStyle name="40% - Accent1 4 2 2 4 2" xfId="3714" xr:uid="{00000000-0005-0000-0000-0000D0510000}"/>
    <cellStyle name="40% - Accent1 4 2 2 4 2 2" xfId="9425" xr:uid="{00000000-0005-0000-0000-0000D1510000}"/>
    <cellStyle name="40% - Accent1 4 2 2 4 2 2 2" xfId="20726" xr:uid="{00000000-0005-0000-0000-0000D2510000}"/>
    <cellStyle name="40% - Accent1 4 2 2 4 2 2 2 2" xfId="43328" xr:uid="{00000000-0005-0000-0000-0000D3510000}"/>
    <cellStyle name="40% - Accent1 4 2 2 4 2 2 3" xfId="32027" xr:uid="{00000000-0005-0000-0000-0000D4510000}"/>
    <cellStyle name="40% - Accent1 4 2 2 4 2 3" xfId="15076" xr:uid="{00000000-0005-0000-0000-0000D5510000}"/>
    <cellStyle name="40% - Accent1 4 2 2 4 2 3 2" xfId="37678" xr:uid="{00000000-0005-0000-0000-0000D6510000}"/>
    <cellStyle name="40% - Accent1 4 2 2 4 2 4" xfId="26377" xr:uid="{00000000-0005-0000-0000-0000D7510000}"/>
    <cellStyle name="40% - Accent1 4 2 2 4 3" xfId="5437" xr:uid="{00000000-0005-0000-0000-0000D8510000}"/>
    <cellStyle name="40% - Accent1 4 2 2 4 3 2" xfId="11087" xr:uid="{00000000-0005-0000-0000-0000D9510000}"/>
    <cellStyle name="40% - Accent1 4 2 2 4 3 2 2" xfId="22388" xr:uid="{00000000-0005-0000-0000-0000DA510000}"/>
    <cellStyle name="40% - Accent1 4 2 2 4 3 2 2 2" xfId="44990" xr:uid="{00000000-0005-0000-0000-0000DB510000}"/>
    <cellStyle name="40% - Accent1 4 2 2 4 3 2 3" xfId="33689" xr:uid="{00000000-0005-0000-0000-0000DC510000}"/>
    <cellStyle name="40% - Accent1 4 2 2 4 3 3" xfId="16738" xr:uid="{00000000-0005-0000-0000-0000DD510000}"/>
    <cellStyle name="40% - Accent1 4 2 2 4 3 3 2" xfId="39340" xr:uid="{00000000-0005-0000-0000-0000DE510000}"/>
    <cellStyle name="40% - Accent1 4 2 2 4 3 4" xfId="28039" xr:uid="{00000000-0005-0000-0000-0000DF510000}"/>
    <cellStyle name="40% - Accent1 4 2 2 4 4" xfId="7684" xr:uid="{00000000-0005-0000-0000-0000E0510000}"/>
    <cellStyle name="40% - Accent1 4 2 2 4 4 2" xfId="18985" xr:uid="{00000000-0005-0000-0000-0000E1510000}"/>
    <cellStyle name="40% - Accent1 4 2 2 4 4 2 2" xfId="41587" xr:uid="{00000000-0005-0000-0000-0000E2510000}"/>
    <cellStyle name="40% - Accent1 4 2 2 4 4 3" xfId="30286" xr:uid="{00000000-0005-0000-0000-0000E3510000}"/>
    <cellStyle name="40% - Accent1 4 2 2 4 5" xfId="13335" xr:uid="{00000000-0005-0000-0000-0000E4510000}"/>
    <cellStyle name="40% - Accent1 4 2 2 4 5 2" xfId="35937" xr:uid="{00000000-0005-0000-0000-0000E5510000}"/>
    <cellStyle name="40% - Accent1 4 2 2 4 6" xfId="24636" xr:uid="{00000000-0005-0000-0000-0000E6510000}"/>
    <cellStyle name="40% - Accent1 4 2 2 5" xfId="2418" xr:uid="{00000000-0005-0000-0000-0000E7510000}"/>
    <cellStyle name="40% - Accent1 4 2 2 5 2" xfId="8254" xr:uid="{00000000-0005-0000-0000-0000E8510000}"/>
    <cellStyle name="40% - Accent1 4 2 2 5 2 2" xfId="19555" xr:uid="{00000000-0005-0000-0000-0000E9510000}"/>
    <cellStyle name="40% - Accent1 4 2 2 5 2 2 2" xfId="42157" xr:uid="{00000000-0005-0000-0000-0000EA510000}"/>
    <cellStyle name="40% - Accent1 4 2 2 5 2 3" xfId="30856" xr:uid="{00000000-0005-0000-0000-0000EB510000}"/>
    <cellStyle name="40% - Accent1 4 2 2 5 3" xfId="13905" xr:uid="{00000000-0005-0000-0000-0000EC510000}"/>
    <cellStyle name="40% - Accent1 4 2 2 5 3 2" xfId="36507" xr:uid="{00000000-0005-0000-0000-0000ED510000}"/>
    <cellStyle name="40% - Accent1 4 2 2 5 4" xfId="25206" xr:uid="{00000000-0005-0000-0000-0000EE510000}"/>
    <cellStyle name="40% - Accent1 4 2 2 6" xfId="4203" xr:uid="{00000000-0005-0000-0000-0000EF510000}"/>
    <cellStyle name="40% - Accent1 4 2 2 6 2" xfId="9853" xr:uid="{00000000-0005-0000-0000-0000F0510000}"/>
    <cellStyle name="40% - Accent1 4 2 2 6 2 2" xfId="21154" xr:uid="{00000000-0005-0000-0000-0000F1510000}"/>
    <cellStyle name="40% - Accent1 4 2 2 6 2 2 2" xfId="43756" xr:uid="{00000000-0005-0000-0000-0000F2510000}"/>
    <cellStyle name="40% - Accent1 4 2 2 6 2 3" xfId="32455" xr:uid="{00000000-0005-0000-0000-0000F3510000}"/>
    <cellStyle name="40% - Accent1 4 2 2 6 3" xfId="15504" xr:uid="{00000000-0005-0000-0000-0000F4510000}"/>
    <cellStyle name="40% - Accent1 4 2 2 6 3 2" xfId="38106" xr:uid="{00000000-0005-0000-0000-0000F5510000}"/>
    <cellStyle name="40% - Accent1 4 2 2 6 4" xfId="26805" xr:uid="{00000000-0005-0000-0000-0000F6510000}"/>
    <cellStyle name="40% - Accent1 4 2 2 7" xfId="6683" xr:uid="{00000000-0005-0000-0000-0000F7510000}"/>
    <cellStyle name="40% - Accent1 4 2 2 7 2" xfId="17984" xr:uid="{00000000-0005-0000-0000-0000F8510000}"/>
    <cellStyle name="40% - Accent1 4 2 2 7 2 2" xfId="40586" xr:uid="{00000000-0005-0000-0000-0000F9510000}"/>
    <cellStyle name="40% - Accent1 4 2 2 7 3" xfId="29285" xr:uid="{00000000-0005-0000-0000-0000FA510000}"/>
    <cellStyle name="40% - Accent1 4 2 2 8" xfId="12334" xr:uid="{00000000-0005-0000-0000-0000FB510000}"/>
    <cellStyle name="40% - Accent1 4 2 2 8 2" xfId="34936" xr:uid="{00000000-0005-0000-0000-0000FC510000}"/>
    <cellStyle name="40% - Accent1 4 2 2 9" xfId="23635" xr:uid="{00000000-0005-0000-0000-0000FD510000}"/>
    <cellStyle name="40% - Accent1 4 2 3" xfId="1190" xr:uid="{00000000-0005-0000-0000-0000FE510000}"/>
    <cellStyle name="40% - Accent1 4 2 3 2" xfId="1830" xr:uid="{00000000-0005-0000-0000-0000FF510000}"/>
    <cellStyle name="40% - Accent1 4 2 3 2 2" xfId="3258" xr:uid="{00000000-0005-0000-0000-000000520000}"/>
    <cellStyle name="40% - Accent1 4 2 3 2 2 2" xfId="6230" xr:uid="{00000000-0005-0000-0000-000001520000}"/>
    <cellStyle name="40% - Accent1 4 2 3 2 2 2 2" xfId="11880" xr:uid="{00000000-0005-0000-0000-000002520000}"/>
    <cellStyle name="40% - Accent1 4 2 3 2 2 2 2 2" xfId="23181" xr:uid="{00000000-0005-0000-0000-000003520000}"/>
    <cellStyle name="40% - Accent1 4 2 3 2 2 2 2 2 2" xfId="45783" xr:uid="{00000000-0005-0000-0000-000004520000}"/>
    <cellStyle name="40% - Accent1 4 2 3 2 2 2 2 3" xfId="34482" xr:uid="{00000000-0005-0000-0000-000005520000}"/>
    <cellStyle name="40% - Accent1 4 2 3 2 2 2 3" xfId="17531" xr:uid="{00000000-0005-0000-0000-000006520000}"/>
    <cellStyle name="40% - Accent1 4 2 3 2 2 2 3 2" xfId="40133" xr:uid="{00000000-0005-0000-0000-000007520000}"/>
    <cellStyle name="40% - Accent1 4 2 3 2 2 2 4" xfId="28832" xr:uid="{00000000-0005-0000-0000-000008520000}"/>
    <cellStyle name="40% - Accent1 4 2 3 2 2 3" xfId="9048" xr:uid="{00000000-0005-0000-0000-000009520000}"/>
    <cellStyle name="40% - Accent1 4 2 3 2 2 3 2" xfId="20349" xr:uid="{00000000-0005-0000-0000-00000A520000}"/>
    <cellStyle name="40% - Accent1 4 2 3 2 2 3 2 2" xfId="42951" xr:uid="{00000000-0005-0000-0000-00000B520000}"/>
    <cellStyle name="40% - Accent1 4 2 3 2 2 3 3" xfId="31650" xr:uid="{00000000-0005-0000-0000-00000C520000}"/>
    <cellStyle name="40% - Accent1 4 2 3 2 2 4" xfId="14699" xr:uid="{00000000-0005-0000-0000-00000D520000}"/>
    <cellStyle name="40% - Accent1 4 2 3 2 2 4 2" xfId="37301" xr:uid="{00000000-0005-0000-0000-00000E520000}"/>
    <cellStyle name="40% - Accent1 4 2 3 2 2 5" xfId="26000" xr:uid="{00000000-0005-0000-0000-00000F520000}"/>
    <cellStyle name="40% - Accent1 4 2 3 2 3" xfId="4996" xr:uid="{00000000-0005-0000-0000-000010520000}"/>
    <cellStyle name="40% - Accent1 4 2 3 2 3 2" xfId="10646" xr:uid="{00000000-0005-0000-0000-000011520000}"/>
    <cellStyle name="40% - Accent1 4 2 3 2 3 2 2" xfId="21947" xr:uid="{00000000-0005-0000-0000-000012520000}"/>
    <cellStyle name="40% - Accent1 4 2 3 2 3 2 2 2" xfId="44549" xr:uid="{00000000-0005-0000-0000-000013520000}"/>
    <cellStyle name="40% - Accent1 4 2 3 2 3 2 3" xfId="33248" xr:uid="{00000000-0005-0000-0000-000014520000}"/>
    <cellStyle name="40% - Accent1 4 2 3 2 3 3" xfId="16297" xr:uid="{00000000-0005-0000-0000-000015520000}"/>
    <cellStyle name="40% - Accent1 4 2 3 2 3 3 2" xfId="38899" xr:uid="{00000000-0005-0000-0000-000016520000}"/>
    <cellStyle name="40% - Accent1 4 2 3 2 3 4" xfId="27598" xr:uid="{00000000-0005-0000-0000-000017520000}"/>
    <cellStyle name="40% - Accent1 4 2 3 2 4" xfId="7686" xr:uid="{00000000-0005-0000-0000-000018520000}"/>
    <cellStyle name="40% - Accent1 4 2 3 2 4 2" xfId="18987" xr:uid="{00000000-0005-0000-0000-000019520000}"/>
    <cellStyle name="40% - Accent1 4 2 3 2 4 2 2" xfId="41589" xr:uid="{00000000-0005-0000-0000-00001A520000}"/>
    <cellStyle name="40% - Accent1 4 2 3 2 4 3" xfId="30288" xr:uid="{00000000-0005-0000-0000-00001B520000}"/>
    <cellStyle name="40% - Accent1 4 2 3 2 5" xfId="13337" xr:uid="{00000000-0005-0000-0000-00001C520000}"/>
    <cellStyle name="40% - Accent1 4 2 3 2 5 2" xfId="35939" xr:uid="{00000000-0005-0000-0000-00001D520000}"/>
    <cellStyle name="40% - Accent1 4 2 3 2 6" xfId="24638" xr:uid="{00000000-0005-0000-0000-00001E520000}"/>
    <cellStyle name="40% - Accent1 4 2 3 3" xfId="2587" xr:uid="{00000000-0005-0000-0000-00001F520000}"/>
    <cellStyle name="40% - Accent1 4 2 3 3 2" xfId="5606" xr:uid="{00000000-0005-0000-0000-000020520000}"/>
    <cellStyle name="40% - Accent1 4 2 3 3 2 2" xfId="11256" xr:uid="{00000000-0005-0000-0000-000021520000}"/>
    <cellStyle name="40% - Accent1 4 2 3 3 2 2 2" xfId="22557" xr:uid="{00000000-0005-0000-0000-000022520000}"/>
    <cellStyle name="40% - Accent1 4 2 3 3 2 2 2 2" xfId="45159" xr:uid="{00000000-0005-0000-0000-000023520000}"/>
    <cellStyle name="40% - Accent1 4 2 3 3 2 2 3" xfId="33858" xr:uid="{00000000-0005-0000-0000-000024520000}"/>
    <cellStyle name="40% - Accent1 4 2 3 3 2 3" xfId="16907" xr:uid="{00000000-0005-0000-0000-000025520000}"/>
    <cellStyle name="40% - Accent1 4 2 3 3 2 3 2" xfId="39509" xr:uid="{00000000-0005-0000-0000-000026520000}"/>
    <cellStyle name="40% - Accent1 4 2 3 3 2 4" xfId="28208" xr:uid="{00000000-0005-0000-0000-000027520000}"/>
    <cellStyle name="40% - Accent1 4 2 3 3 3" xfId="8423" xr:uid="{00000000-0005-0000-0000-000028520000}"/>
    <cellStyle name="40% - Accent1 4 2 3 3 3 2" xfId="19724" xr:uid="{00000000-0005-0000-0000-000029520000}"/>
    <cellStyle name="40% - Accent1 4 2 3 3 3 2 2" xfId="42326" xr:uid="{00000000-0005-0000-0000-00002A520000}"/>
    <cellStyle name="40% - Accent1 4 2 3 3 3 3" xfId="31025" xr:uid="{00000000-0005-0000-0000-00002B520000}"/>
    <cellStyle name="40% - Accent1 4 2 3 3 4" xfId="14074" xr:uid="{00000000-0005-0000-0000-00002C520000}"/>
    <cellStyle name="40% - Accent1 4 2 3 3 4 2" xfId="36676" xr:uid="{00000000-0005-0000-0000-00002D520000}"/>
    <cellStyle name="40% - Accent1 4 2 3 3 5" xfId="25375" xr:uid="{00000000-0005-0000-0000-00002E520000}"/>
    <cellStyle name="40% - Accent1 4 2 3 4" xfId="4372" xr:uid="{00000000-0005-0000-0000-00002F520000}"/>
    <cellStyle name="40% - Accent1 4 2 3 4 2" xfId="10022" xr:uid="{00000000-0005-0000-0000-000030520000}"/>
    <cellStyle name="40% - Accent1 4 2 3 4 2 2" xfId="21323" xr:uid="{00000000-0005-0000-0000-000031520000}"/>
    <cellStyle name="40% - Accent1 4 2 3 4 2 2 2" xfId="43925" xr:uid="{00000000-0005-0000-0000-000032520000}"/>
    <cellStyle name="40% - Accent1 4 2 3 4 2 3" xfId="32624" xr:uid="{00000000-0005-0000-0000-000033520000}"/>
    <cellStyle name="40% - Accent1 4 2 3 4 3" xfId="15673" xr:uid="{00000000-0005-0000-0000-000034520000}"/>
    <cellStyle name="40% - Accent1 4 2 3 4 3 2" xfId="38275" xr:uid="{00000000-0005-0000-0000-000035520000}"/>
    <cellStyle name="40% - Accent1 4 2 3 4 4" xfId="26974" xr:uid="{00000000-0005-0000-0000-000036520000}"/>
    <cellStyle name="40% - Accent1 4 2 3 5" xfId="7169" xr:uid="{00000000-0005-0000-0000-000037520000}"/>
    <cellStyle name="40% - Accent1 4 2 3 5 2" xfId="18470" xr:uid="{00000000-0005-0000-0000-000038520000}"/>
    <cellStyle name="40% - Accent1 4 2 3 5 2 2" xfId="41072" xr:uid="{00000000-0005-0000-0000-000039520000}"/>
    <cellStyle name="40% - Accent1 4 2 3 5 3" xfId="29771" xr:uid="{00000000-0005-0000-0000-00003A520000}"/>
    <cellStyle name="40% - Accent1 4 2 3 6" xfId="12820" xr:uid="{00000000-0005-0000-0000-00003B520000}"/>
    <cellStyle name="40% - Accent1 4 2 3 6 2" xfId="35422" xr:uid="{00000000-0005-0000-0000-00003C520000}"/>
    <cellStyle name="40% - Accent1 4 2 3 7" xfId="24121" xr:uid="{00000000-0005-0000-0000-00003D520000}"/>
    <cellStyle name="40% - Accent1 4 2 4" xfId="880" xr:uid="{00000000-0005-0000-0000-00003E520000}"/>
    <cellStyle name="40% - Accent1 4 2 4 2" xfId="2951" xr:uid="{00000000-0005-0000-0000-00003F520000}"/>
    <cellStyle name="40% - Accent1 4 2 4 2 2" xfId="5923" xr:uid="{00000000-0005-0000-0000-000040520000}"/>
    <cellStyle name="40% - Accent1 4 2 4 2 2 2" xfId="11573" xr:uid="{00000000-0005-0000-0000-000041520000}"/>
    <cellStyle name="40% - Accent1 4 2 4 2 2 2 2" xfId="22874" xr:uid="{00000000-0005-0000-0000-000042520000}"/>
    <cellStyle name="40% - Accent1 4 2 4 2 2 2 2 2" xfId="45476" xr:uid="{00000000-0005-0000-0000-000043520000}"/>
    <cellStyle name="40% - Accent1 4 2 4 2 2 2 3" xfId="34175" xr:uid="{00000000-0005-0000-0000-000044520000}"/>
    <cellStyle name="40% - Accent1 4 2 4 2 2 3" xfId="17224" xr:uid="{00000000-0005-0000-0000-000045520000}"/>
    <cellStyle name="40% - Accent1 4 2 4 2 2 3 2" xfId="39826" xr:uid="{00000000-0005-0000-0000-000046520000}"/>
    <cellStyle name="40% - Accent1 4 2 4 2 2 4" xfId="28525" xr:uid="{00000000-0005-0000-0000-000047520000}"/>
    <cellStyle name="40% - Accent1 4 2 4 2 3" xfId="8741" xr:uid="{00000000-0005-0000-0000-000048520000}"/>
    <cellStyle name="40% - Accent1 4 2 4 2 3 2" xfId="20042" xr:uid="{00000000-0005-0000-0000-000049520000}"/>
    <cellStyle name="40% - Accent1 4 2 4 2 3 2 2" xfId="42644" xr:uid="{00000000-0005-0000-0000-00004A520000}"/>
    <cellStyle name="40% - Accent1 4 2 4 2 3 3" xfId="31343" xr:uid="{00000000-0005-0000-0000-00004B520000}"/>
    <cellStyle name="40% - Accent1 4 2 4 2 4" xfId="14392" xr:uid="{00000000-0005-0000-0000-00004C520000}"/>
    <cellStyle name="40% - Accent1 4 2 4 2 4 2" xfId="36994" xr:uid="{00000000-0005-0000-0000-00004D520000}"/>
    <cellStyle name="40% - Accent1 4 2 4 2 5" xfId="25693" xr:uid="{00000000-0005-0000-0000-00004E520000}"/>
    <cellStyle name="40% - Accent1 4 2 4 3" xfId="4689" xr:uid="{00000000-0005-0000-0000-00004F520000}"/>
    <cellStyle name="40% - Accent1 4 2 4 3 2" xfId="10339" xr:uid="{00000000-0005-0000-0000-000050520000}"/>
    <cellStyle name="40% - Accent1 4 2 4 3 2 2" xfId="21640" xr:uid="{00000000-0005-0000-0000-000051520000}"/>
    <cellStyle name="40% - Accent1 4 2 4 3 2 2 2" xfId="44242" xr:uid="{00000000-0005-0000-0000-000052520000}"/>
    <cellStyle name="40% - Accent1 4 2 4 3 2 3" xfId="32941" xr:uid="{00000000-0005-0000-0000-000053520000}"/>
    <cellStyle name="40% - Accent1 4 2 4 3 3" xfId="15990" xr:uid="{00000000-0005-0000-0000-000054520000}"/>
    <cellStyle name="40% - Accent1 4 2 4 3 3 2" xfId="38592" xr:uid="{00000000-0005-0000-0000-000055520000}"/>
    <cellStyle name="40% - Accent1 4 2 4 3 4" xfId="27291" xr:uid="{00000000-0005-0000-0000-000056520000}"/>
    <cellStyle name="40% - Accent1 4 2 4 4" xfId="6876" xr:uid="{00000000-0005-0000-0000-000057520000}"/>
    <cellStyle name="40% - Accent1 4 2 4 4 2" xfId="18177" xr:uid="{00000000-0005-0000-0000-000058520000}"/>
    <cellStyle name="40% - Accent1 4 2 4 4 2 2" xfId="40779" xr:uid="{00000000-0005-0000-0000-000059520000}"/>
    <cellStyle name="40% - Accent1 4 2 4 4 3" xfId="29478" xr:uid="{00000000-0005-0000-0000-00005A520000}"/>
    <cellStyle name="40% - Accent1 4 2 4 5" xfId="12527" xr:uid="{00000000-0005-0000-0000-00005B520000}"/>
    <cellStyle name="40% - Accent1 4 2 4 5 2" xfId="35129" xr:uid="{00000000-0005-0000-0000-00005C520000}"/>
    <cellStyle name="40% - Accent1 4 2 4 6" xfId="23828" xr:uid="{00000000-0005-0000-0000-00005D520000}"/>
    <cellStyle name="40% - Accent1 4 2 5" xfId="1827" xr:uid="{00000000-0005-0000-0000-00005E520000}"/>
    <cellStyle name="40% - Accent1 4 2 5 2" xfId="3713" xr:uid="{00000000-0005-0000-0000-00005F520000}"/>
    <cellStyle name="40% - Accent1 4 2 5 2 2" xfId="9424" xr:uid="{00000000-0005-0000-0000-000060520000}"/>
    <cellStyle name="40% - Accent1 4 2 5 2 2 2" xfId="20725" xr:uid="{00000000-0005-0000-0000-000061520000}"/>
    <cellStyle name="40% - Accent1 4 2 5 2 2 2 2" xfId="43327" xr:uid="{00000000-0005-0000-0000-000062520000}"/>
    <cellStyle name="40% - Accent1 4 2 5 2 2 3" xfId="32026" xr:uid="{00000000-0005-0000-0000-000063520000}"/>
    <cellStyle name="40% - Accent1 4 2 5 2 3" xfId="15075" xr:uid="{00000000-0005-0000-0000-000064520000}"/>
    <cellStyle name="40% - Accent1 4 2 5 2 3 2" xfId="37677" xr:uid="{00000000-0005-0000-0000-000065520000}"/>
    <cellStyle name="40% - Accent1 4 2 5 2 4" xfId="26376" xr:uid="{00000000-0005-0000-0000-000066520000}"/>
    <cellStyle name="40% - Accent1 4 2 5 3" xfId="5299" xr:uid="{00000000-0005-0000-0000-000067520000}"/>
    <cellStyle name="40% - Accent1 4 2 5 3 2" xfId="10949" xr:uid="{00000000-0005-0000-0000-000068520000}"/>
    <cellStyle name="40% - Accent1 4 2 5 3 2 2" xfId="22250" xr:uid="{00000000-0005-0000-0000-000069520000}"/>
    <cellStyle name="40% - Accent1 4 2 5 3 2 2 2" xfId="44852" xr:uid="{00000000-0005-0000-0000-00006A520000}"/>
    <cellStyle name="40% - Accent1 4 2 5 3 2 3" xfId="33551" xr:uid="{00000000-0005-0000-0000-00006B520000}"/>
    <cellStyle name="40% - Accent1 4 2 5 3 3" xfId="16600" xr:uid="{00000000-0005-0000-0000-00006C520000}"/>
    <cellStyle name="40% - Accent1 4 2 5 3 3 2" xfId="39202" xr:uid="{00000000-0005-0000-0000-00006D520000}"/>
    <cellStyle name="40% - Accent1 4 2 5 3 4" xfId="27901" xr:uid="{00000000-0005-0000-0000-00006E520000}"/>
    <cellStyle name="40% - Accent1 4 2 5 4" xfId="7683" xr:uid="{00000000-0005-0000-0000-00006F520000}"/>
    <cellStyle name="40% - Accent1 4 2 5 4 2" xfId="18984" xr:uid="{00000000-0005-0000-0000-000070520000}"/>
    <cellStyle name="40% - Accent1 4 2 5 4 2 2" xfId="41586" xr:uid="{00000000-0005-0000-0000-000071520000}"/>
    <cellStyle name="40% - Accent1 4 2 5 4 3" xfId="30285" xr:uid="{00000000-0005-0000-0000-000072520000}"/>
    <cellStyle name="40% - Accent1 4 2 5 5" xfId="13334" xr:uid="{00000000-0005-0000-0000-000073520000}"/>
    <cellStyle name="40% - Accent1 4 2 5 5 2" xfId="35936" xr:uid="{00000000-0005-0000-0000-000074520000}"/>
    <cellStyle name="40% - Accent1 4 2 5 6" xfId="24635" xr:uid="{00000000-0005-0000-0000-000075520000}"/>
    <cellStyle name="40% - Accent1 4 2 6" xfId="2278" xr:uid="{00000000-0005-0000-0000-000076520000}"/>
    <cellStyle name="40% - Accent1 4 2 6 2" xfId="8114" xr:uid="{00000000-0005-0000-0000-000077520000}"/>
    <cellStyle name="40% - Accent1 4 2 6 2 2" xfId="19415" xr:uid="{00000000-0005-0000-0000-000078520000}"/>
    <cellStyle name="40% - Accent1 4 2 6 2 2 2" xfId="42017" xr:uid="{00000000-0005-0000-0000-000079520000}"/>
    <cellStyle name="40% - Accent1 4 2 6 2 3" xfId="30716" xr:uid="{00000000-0005-0000-0000-00007A520000}"/>
    <cellStyle name="40% - Accent1 4 2 6 3" xfId="13765" xr:uid="{00000000-0005-0000-0000-00007B520000}"/>
    <cellStyle name="40% - Accent1 4 2 6 3 2" xfId="36367" xr:uid="{00000000-0005-0000-0000-00007C520000}"/>
    <cellStyle name="40% - Accent1 4 2 6 4" xfId="25066" xr:uid="{00000000-0005-0000-0000-00007D520000}"/>
    <cellStyle name="40% - Accent1 4 2 7" xfId="4065" xr:uid="{00000000-0005-0000-0000-00007E520000}"/>
    <cellStyle name="40% - Accent1 4 2 7 2" xfId="9715" xr:uid="{00000000-0005-0000-0000-00007F520000}"/>
    <cellStyle name="40% - Accent1 4 2 7 2 2" xfId="21016" xr:uid="{00000000-0005-0000-0000-000080520000}"/>
    <cellStyle name="40% - Accent1 4 2 7 2 2 2" xfId="43618" xr:uid="{00000000-0005-0000-0000-000081520000}"/>
    <cellStyle name="40% - Accent1 4 2 7 2 3" xfId="32317" xr:uid="{00000000-0005-0000-0000-000082520000}"/>
    <cellStyle name="40% - Accent1 4 2 7 3" xfId="15366" xr:uid="{00000000-0005-0000-0000-000083520000}"/>
    <cellStyle name="40% - Accent1 4 2 7 3 2" xfId="37968" xr:uid="{00000000-0005-0000-0000-000084520000}"/>
    <cellStyle name="40% - Accent1 4 2 7 4" xfId="26667" xr:uid="{00000000-0005-0000-0000-000085520000}"/>
    <cellStyle name="40% - Accent1 4 2 8" xfId="6516" xr:uid="{00000000-0005-0000-0000-000086520000}"/>
    <cellStyle name="40% - Accent1 4 2 8 2" xfId="17817" xr:uid="{00000000-0005-0000-0000-000087520000}"/>
    <cellStyle name="40% - Accent1 4 2 8 2 2" xfId="40419" xr:uid="{00000000-0005-0000-0000-000088520000}"/>
    <cellStyle name="40% - Accent1 4 2 8 3" xfId="29118" xr:uid="{00000000-0005-0000-0000-000089520000}"/>
    <cellStyle name="40% - Accent1 4 2 9" xfId="12167" xr:uid="{00000000-0005-0000-0000-00008A520000}"/>
    <cellStyle name="40% - Accent1 4 2 9 2" xfId="34769" xr:uid="{00000000-0005-0000-0000-00008B520000}"/>
    <cellStyle name="40% - Accent1 4 3" xfId="422" xr:uid="{00000000-0005-0000-0000-00008C520000}"/>
    <cellStyle name="40% - Accent1 4 3 10" xfId="23517" xr:uid="{00000000-0005-0000-0000-00008D520000}"/>
    <cellStyle name="40% - Accent1 4 3 2" xfId="667" xr:uid="{00000000-0005-0000-0000-00008E520000}"/>
    <cellStyle name="40% - Accent1 4 3 2 2" xfId="1377" xr:uid="{00000000-0005-0000-0000-00008F520000}"/>
    <cellStyle name="40% - Accent1 4 3 2 2 2" xfId="1833" xr:uid="{00000000-0005-0000-0000-000090520000}"/>
    <cellStyle name="40% - Accent1 4 3 2 2 2 2" xfId="3446" xr:uid="{00000000-0005-0000-0000-000091520000}"/>
    <cellStyle name="40% - Accent1 4 3 2 2 2 2 2" xfId="6418" xr:uid="{00000000-0005-0000-0000-000092520000}"/>
    <cellStyle name="40% - Accent1 4 3 2 2 2 2 2 2" xfId="12068" xr:uid="{00000000-0005-0000-0000-000093520000}"/>
    <cellStyle name="40% - Accent1 4 3 2 2 2 2 2 2 2" xfId="23369" xr:uid="{00000000-0005-0000-0000-000094520000}"/>
    <cellStyle name="40% - Accent1 4 3 2 2 2 2 2 2 2 2" xfId="45971" xr:uid="{00000000-0005-0000-0000-000095520000}"/>
    <cellStyle name="40% - Accent1 4 3 2 2 2 2 2 2 3" xfId="34670" xr:uid="{00000000-0005-0000-0000-000096520000}"/>
    <cellStyle name="40% - Accent1 4 3 2 2 2 2 2 3" xfId="17719" xr:uid="{00000000-0005-0000-0000-000097520000}"/>
    <cellStyle name="40% - Accent1 4 3 2 2 2 2 2 3 2" xfId="40321" xr:uid="{00000000-0005-0000-0000-000098520000}"/>
    <cellStyle name="40% - Accent1 4 3 2 2 2 2 2 4" xfId="29020" xr:uid="{00000000-0005-0000-0000-000099520000}"/>
    <cellStyle name="40% - Accent1 4 3 2 2 2 2 3" xfId="9236" xr:uid="{00000000-0005-0000-0000-00009A520000}"/>
    <cellStyle name="40% - Accent1 4 3 2 2 2 2 3 2" xfId="20537" xr:uid="{00000000-0005-0000-0000-00009B520000}"/>
    <cellStyle name="40% - Accent1 4 3 2 2 2 2 3 2 2" xfId="43139" xr:uid="{00000000-0005-0000-0000-00009C520000}"/>
    <cellStyle name="40% - Accent1 4 3 2 2 2 2 3 3" xfId="31838" xr:uid="{00000000-0005-0000-0000-00009D520000}"/>
    <cellStyle name="40% - Accent1 4 3 2 2 2 2 4" xfId="14887" xr:uid="{00000000-0005-0000-0000-00009E520000}"/>
    <cellStyle name="40% - Accent1 4 3 2 2 2 2 4 2" xfId="37489" xr:uid="{00000000-0005-0000-0000-00009F520000}"/>
    <cellStyle name="40% - Accent1 4 3 2 2 2 2 5" xfId="26188" xr:uid="{00000000-0005-0000-0000-0000A0520000}"/>
    <cellStyle name="40% - Accent1 4 3 2 2 2 3" xfId="5184" xr:uid="{00000000-0005-0000-0000-0000A1520000}"/>
    <cellStyle name="40% - Accent1 4 3 2 2 2 3 2" xfId="10834" xr:uid="{00000000-0005-0000-0000-0000A2520000}"/>
    <cellStyle name="40% - Accent1 4 3 2 2 2 3 2 2" xfId="22135" xr:uid="{00000000-0005-0000-0000-0000A3520000}"/>
    <cellStyle name="40% - Accent1 4 3 2 2 2 3 2 2 2" xfId="44737" xr:uid="{00000000-0005-0000-0000-0000A4520000}"/>
    <cellStyle name="40% - Accent1 4 3 2 2 2 3 2 3" xfId="33436" xr:uid="{00000000-0005-0000-0000-0000A5520000}"/>
    <cellStyle name="40% - Accent1 4 3 2 2 2 3 3" xfId="16485" xr:uid="{00000000-0005-0000-0000-0000A6520000}"/>
    <cellStyle name="40% - Accent1 4 3 2 2 2 3 3 2" xfId="39087" xr:uid="{00000000-0005-0000-0000-0000A7520000}"/>
    <cellStyle name="40% - Accent1 4 3 2 2 2 3 4" xfId="27786" xr:uid="{00000000-0005-0000-0000-0000A8520000}"/>
    <cellStyle name="40% - Accent1 4 3 2 2 2 4" xfId="7689" xr:uid="{00000000-0005-0000-0000-0000A9520000}"/>
    <cellStyle name="40% - Accent1 4 3 2 2 2 4 2" xfId="18990" xr:uid="{00000000-0005-0000-0000-0000AA520000}"/>
    <cellStyle name="40% - Accent1 4 3 2 2 2 4 2 2" xfId="41592" xr:uid="{00000000-0005-0000-0000-0000AB520000}"/>
    <cellStyle name="40% - Accent1 4 3 2 2 2 4 3" xfId="30291" xr:uid="{00000000-0005-0000-0000-0000AC520000}"/>
    <cellStyle name="40% - Accent1 4 3 2 2 2 5" xfId="13340" xr:uid="{00000000-0005-0000-0000-0000AD520000}"/>
    <cellStyle name="40% - Accent1 4 3 2 2 2 5 2" xfId="35942" xr:uid="{00000000-0005-0000-0000-0000AE520000}"/>
    <cellStyle name="40% - Accent1 4 3 2 2 2 6" xfId="24641" xr:uid="{00000000-0005-0000-0000-0000AF520000}"/>
    <cellStyle name="40% - Accent1 4 3 2 2 3" xfId="2775" xr:uid="{00000000-0005-0000-0000-0000B0520000}"/>
    <cellStyle name="40% - Accent1 4 3 2 2 3 2" xfId="5794" xr:uid="{00000000-0005-0000-0000-0000B1520000}"/>
    <cellStyle name="40% - Accent1 4 3 2 2 3 2 2" xfId="11444" xr:uid="{00000000-0005-0000-0000-0000B2520000}"/>
    <cellStyle name="40% - Accent1 4 3 2 2 3 2 2 2" xfId="22745" xr:uid="{00000000-0005-0000-0000-0000B3520000}"/>
    <cellStyle name="40% - Accent1 4 3 2 2 3 2 2 2 2" xfId="45347" xr:uid="{00000000-0005-0000-0000-0000B4520000}"/>
    <cellStyle name="40% - Accent1 4 3 2 2 3 2 2 3" xfId="34046" xr:uid="{00000000-0005-0000-0000-0000B5520000}"/>
    <cellStyle name="40% - Accent1 4 3 2 2 3 2 3" xfId="17095" xr:uid="{00000000-0005-0000-0000-0000B6520000}"/>
    <cellStyle name="40% - Accent1 4 3 2 2 3 2 3 2" xfId="39697" xr:uid="{00000000-0005-0000-0000-0000B7520000}"/>
    <cellStyle name="40% - Accent1 4 3 2 2 3 2 4" xfId="28396" xr:uid="{00000000-0005-0000-0000-0000B8520000}"/>
    <cellStyle name="40% - Accent1 4 3 2 2 3 3" xfId="8611" xr:uid="{00000000-0005-0000-0000-0000B9520000}"/>
    <cellStyle name="40% - Accent1 4 3 2 2 3 3 2" xfId="19912" xr:uid="{00000000-0005-0000-0000-0000BA520000}"/>
    <cellStyle name="40% - Accent1 4 3 2 2 3 3 2 2" xfId="42514" xr:uid="{00000000-0005-0000-0000-0000BB520000}"/>
    <cellStyle name="40% - Accent1 4 3 2 2 3 3 3" xfId="31213" xr:uid="{00000000-0005-0000-0000-0000BC520000}"/>
    <cellStyle name="40% - Accent1 4 3 2 2 3 4" xfId="14262" xr:uid="{00000000-0005-0000-0000-0000BD520000}"/>
    <cellStyle name="40% - Accent1 4 3 2 2 3 4 2" xfId="36864" xr:uid="{00000000-0005-0000-0000-0000BE520000}"/>
    <cellStyle name="40% - Accent1 4 3 2 2 3 5" xfId="25563" xr:uid="{00000000-0005-0000-0000-0000BF520000}"/>
    <cellStyle name="40% - Accent1 4 3 2 2 4" xfId="4560" xr:uid="{00000000-0005-0000-0000-0000C0520000}"/>
    <cellStyle name="40% - Accent1 4 3 2 2 4 2" xfId="10210" xr:uid="{00000000-0005-0000-0000-0000C1520000}"/>
    <cellStyle name="40% - Accent1 4 3 2 2 4 2 2" xfId="21511" xr:uid="{00000000-0005-0000-0000-0000C2520000}"/>
    <cellStyle name="40% - Accent1 4 3 2 2 4 2 2 2" xfId="44113" xr:uid="{00000000-0005-0000-0000-0000C3520000}"/>
    <cellStyle name="40% - Accent1 4 3 2 2 4 2 3" xfId="32812" xr:uid="{00000000-0005-0000-0000-0000C4520000}"/>
    <cellStyle name="40% - Accent1 4 3 2 2 4 3" xfId="15861" xr:uid="{00000000-0005-0000-0000-0000C5520000}"/>
    <cellStyle name="40% - Accent1 4 3 2 2 4 3 2" xfId="38463" xr:uid="{00000000-0005-0000-0000-0000C6520000}"/>
    <cellStyle name="40% - Accent1 4 3 2 2 4 4" xfId="27162" xr:uid="{00000000-0005-0000-0000-0000C7520000}"/>
    <cellStyle name="40% - Accent1 4 3 2 2 5" xfId="7356" xr:uid="{00000000-0005-0000-0000-0000C8520000}"/>
    <cellStyle name="40% - Accent1 4 3 2 2 5 2" xfId="18657" xr:uid="{00000000-0005-0000-0000-0000C9520000}"/>
    <cellStyle name="40% - Accent1 4 3 2 2 5 2 2" xfId="41259" xr:uid="{00000000-0005-0000-0000-0000CA520000}"/>
    <cellStyle name="40% - Accent1 4 3 2 2 5 3" xfId="29958" xr:uid="{00000000-0005-0000-0000-0000CB520000}"/>
    <cellStyle name="40% - Accent1 4 3 2 2 6" xfId="13007" xr:uid="{00000000-0005-0000-0000-0000CC520000}"/>
    <cellStyle name="40% - Accent1 4 3 2 2 6 2" xfId="35609" xr:uid="{00000000-0005-0000-0000-0000CD520000}"/>
    <cellStyle name="40% - Accent1 4 3 2 2 7" xfId="24308" xr:uid="{00000000-0005-0000-0000-0000CE520000}"/>
    <cellStyle name="40% - Accent1 4 3 2 3" xfId="1075" xr:uid="{00000000-0005-0000-0000-0000CF520000}"/>
    <cellStyle name="40% - Accent1 4 3 2 3 2" xfId="3138" xr:uid="{00000000-0005-0000-0000-0000D0520000}"/>
    <cellStyle name="40% - Accent1 4 3 2 3 2 2" xfId="6110" xr:uid="{00000000-0005-0000-0000-0000D1520000}"/>
    <cellStyle name="40% - Accent1 4 3 2 3 2 2 2" xfId="11760" xr:uid="{00000000-0005-0000-0000-0000D2520000}"/>
    <cellStyle name="40% - Accent1 4 3 2 3 2 2 2 2" xfId="23061" xr:uid="{00000000-0005-0000-0000-0000D3520000}"/>
    <cellStyle name="40% - Accent1 4 3 2 3 2 2 2 2 2" xfId="45663" xr:uid="{00000000-0005-0000-0000-0000D4520000}"/>
    <cellStyle name="40% - Accent1 4 3 2 3 2 2 2 3" xfId="34362" xr:uid="{00000000-0005-0000-0000-0000D5520000}"/>
    <cellStyle name="40% - Accent1 4 3 2 3 2 2 3" xfId="17411" xr:uid="{00000000-0005-0000-0000-0000D6520000}"/>
    <cellStyle name="40% - Accent1 4 3 2 3 2 2 3 2" xfId="40013" xr:uid="{00000000-0005-0000-0000-0000D7520000}"/>
    <cellStyle name="40% - Accent1 4 3 2 3 2 2 4" xfId="28712" xr:uid="{00000000-0005-0000-0000-0000D8520000}"/>
    <cellStyle name="40% - Accent1 4 3 2 3 2 3" xfId="8928" xr:uid="{00000000-0005-0000-0000-0000D9520000}"/>
    <cellStyle name="40% - Accent1 4 3 2 3 2 3 2" xfId="20229" xr:uid="{00000000-0005-0000-0000-0000DA520000}"/>
    <cellStyle name="40% - Accent1 4 3 2 3 2 3 2 2" xfId="42831" xr:uid="{00000000-0005-0000-0000-0000DB520000}"/>
    <cellStyle name="40% - Accent1 4 3 2 3 2 3 3" xfId="31530" xr:uid="{00000000-0005-0000-0000-0000DC520000}"/>
    <cellStyle name="40% - Accent1 4 3 2 3 2 4" xfId="14579" xr:uid="{00000000-0005-0000-0000-0000DD520000}"/>
    <cellStyle name="40% - Accent1 4 3 2 3 2 4 2" xfId="37181" xr:uid="{00000000-0005-0000-0000-0000DE520000}"/>
    <cellStyle name="40% - Accent1 4 3 2 3 2 5" xfId="25880" xr:uid="{00000000-0005-0000-0000-0000DF520000}"/>
    <cellStyle name="40% - Accent1 4 3 2 3 3" xfId="4876" xr:uid="{00000000-0005-0000-0000-0000E0520000}"/>
    <cellStyle name="40% - Accent1 4 3 2 3 3 2" xfId="10526" xr:uid="{00000000-0005-0000-0000-0000E1520000}"/>
    <cellStyle name="40% - Accent1 4 3 2 3 3 2 2" xfId="21827" xr:uid="{00000000-0005-0000-0000-0000E2520000}"/>
    <cellStyle name="40% - Accent1 4 3 2 3 3 2 2 2" xfId="44429" xr:uid="{00000000-0005-0000-0000-0000E3520000}"/>
    <cellStyle name="40% - Accent1 4 3 2 3 3 2 3" xfId="33128" xr:uid="{00000000-0005-0000-0000-0000E4520000}"/>
    <cellStyle name="40% - Accent1 4 3 2 3 3 3" xfId="16177" xr:uid="{00000000-0005-0000-0000-0000E5520000}"/>
    <cellStyle name="40% - Accent1 4 3 2 3 3 3 2" xfId="38779" xr:uid="{00000000-0005-0000-0000-0000E6520000}"/>
    <cellStyle name="40% - Accent1 4 3 2 3 3 4" xfId="27478" xr:uid="{00000000-0005-0000-0000-0000E7520000}"/>
    <cellStyle name="40% - Accent1 4 3 2 3 4" xfId="7063" xr:uid="{00000000-0005-0000-0000-0000E8520000}"/>
    <cellStyle name="40% - Accent1 4 3 2 3 4 2" xfId="18364" xr:uid="{00000000-0005-0000-0000-0000E9520000}"/>
    <cellStyle name="40% - Accent1 4 3 2 3 4 2 2" xfId="40966" xr:uid="{00000000-0005-0000-0000-0000EA520000}"/>
    <cellStyle name="40% - Accent1 4 3 2 3 4 3" xfId="29665" xr:uid="{00000000-0005-0000-0000-0000EB520000}"/>
    <cellStyle name="40% - Accent1 4 3 2 3 5" xfId="12714" xr:uid="{00000000-0005-0000-0000-0000EC520000}"/>
    <cellStyle name="40% - Accent1 4 3 2 3 5 2" xfId="35316" xr:uid="{00000000-0005-0000-0000-0000ED520000}"/>
    <cellStyle name="40% - Accent1 4 3 2 3 6" xfId="24015" xr:uid="{00000000-0005-0000-0000-0000EE520000}"/>
    <cellStyle name="40% - Accent1 4 3 2 4" xfId="1832" xr:uid="{00000000-0005-0000-0000-0000EF520000}"/>
    <cellStyle name="40% - Accent1 4 3 2 4 2" xfId="3716" xr:uid="{00000000-0005-0000-0000-0000F0520000}"/>
    <cellStyle name="40% - Accent1 4 3 2 4 2 2" xfId="9427" xr:uid="{00000000-0005-0000-0000-0000F1520000}"/>
    <cellStyle name="40% - Accent1 4 3 2 4 2 2 2" xfId="20728" xr:uid="{00000000-0005-0000-0000-0000F2520000}"/>
    <cellStyle name="40% - Accent1 4 3 2 4 2 2 2 2" xfId="43330" xr:uid="{00000000-0005-0000-0000-0000F3520000}"/>
    <cellStyle name="40% - Accent1 4 3 2 4 2 2 3" xfId="32029" xr:uid="{00000000-0005-0000-0000-0000F4520000}"/>
    <cellStyle name="40% - Accent1 4 3 2 4 2 3" xfId="15078" xr:uid="{00000000-0005-0000-0000-0000F5520000}"/>
    <cellStyle name="40% - Accent1 4 3 2 4 2 3 2" xfId="37680" xr:uid="{00000000-0005-0000-0000-0000F6520000}"/>
    <cellStyle name="40% - Accent1 4 3 2 4 2 4" xfId="26379" xr:uid="{00000000-0005-0000-0000-0000F7520000}"/>
    <cellStyle name="40% - Accent1 4 3 2 4 3" xfId="5486" xr:uid="{00000000-0005-0000-0000-0000F8520000}"/>
    <cellStyle name="40% - Accent1 4 3 2 4 3 2" xfId="11136" xr:uid="{00000000-0005-0000-0000-0000F9520000}"/>
    <cellStyle name="40% - Accent1 4 3 2 4 3 2 2" xfId="22437" xr:uid="{00000000-0005-0000-0000-0000FA520000}"/>
    <cellStyle name="40% - Accent1 4 3 2 4 3 2 2 2" xfId="45039" xr:uid="{00000000-0005-0000-0000-0000FB520000}"/>
    <cellStyle name="40% - Accent1 4 3 2 4 3 2 3" xfId="33738" xr:uid="{00000000-0005-0000-0000-0000FC520000}"/>
    <cellStyle name="40% - Accent1 4 3 2 4 3 3" xfId="16787" xr:uid="{00000000-0005-0000-0000-0000FD520000}"/>
    <cellStyle name="40% - Accent1 4 3 2 4 3 3 2" xfId="39389" xr:uid="{00000000-0005-0000-0000-0000FE520000}"/>
    <cellStyle name="40% - Accent1 4 3 2 4 3 4" xfId="28088" xr:uid="{00000000-0005-0000-0000-0000FF520000}"/>
    <cellStyle name="40% - Accent1 4 3 2 4 4" xfId="7688" xr:uid="{00000000-0005-0000-0000-000000530000}"/>
    <cellStyle name="40% - Accent1 4 3 2 4 4 2" xfId="18989" xr:uid="{00000000-0005-0000-0000-000001530000}"/>
    <cellStyle name="40% - Accent1 4 3 2 4 4 2 2" xfId="41591" xr:uid="{00000000-0005-0000-0000-000002530000}"/>
    <cellStyle name="40% - Accent1 4 3 2 4 4 3" xfId="30290" xr:uid="{00000000-0005-0000-0000-000003530000}"/>
    <cellStyle name="40% - Accent1 4 3 2 4 5" xfId="13339" xr:uid="{00000000-0005-0000-0000-000004530000}"/>
    <cellStyle name="40% - Accent1 4 3 2 4 5 2" xfId="35941" xr:uid="{00000000-0005-0000-0000-000005530000}"/>
    <cellStyle name="40% - Accent1 4 3 2 4 6" xfId="24640" xr:uid="{00000000-0005-0000-0000-000006530000}"/>
    <cellStyle name="40% - Accent1 4 3 2 5" xfId="2467" xr:uid="{00000000-0005-0000-0000-000007530000}"/>
    <cellStyle name="40% - Accent1 4 3 2 5 2" xfId="8303" xr:uid="{00000000-0005-0000-0000-000008530000}"/>
    <cellStyle name="40% - Accent1 4 3 2 5 2 2" xfId="19604" xr:uid="{00000000-0005-0000-0000-000009530000}"/>
    <cellStyle name="40% - Accent1 4 3 2 5 2 2 2" xfId="42206" xr:uid="{00000000-0005-0000-0000-00000A530000}"/>
    <cellStyle name="40% - Accent1 4 3 2 5 2 3" xfId="30905" xr:uid="{00000000-0005-0000-0000-00000B530000}"/>
    <cellStyle name="40% - Accent1 4 3 2 5 3" xfId="13954" xr:uid="{00000000-0005-0000-0000-00000C530000}"/>
    <cellStyle name="40% - Accent1 4 3 2 5 3 2" xfId="36556" xr:uid="{00000000-0005-0000-0000-00000D530000}"/>
    <cellStyle name="40% - Accent1 4 3 2 5 4" xfId="25255" xr:uid="{00000000-0005-0000-0000-00000E530000}"/>
    <cellStyle name="40% - Accent1 4 3 2 6" xfId="4252" xr:uid="{00000000-0005-0000-0000-00000F530000}"/>
    <cellStyle name="40% - Accent1 4 3 2 6 2" xfId="9902" xr:uid="{00000000-0005-0000-0000-000010530000}"/>
    <cellStyle name="40% - Accent1 4 3 2 6 2 2" xfId="21203" xr:uid="{00000000-0005-0000-0000-000011530000}"/>
    <cellStyle name="40% - Accent1 4 3 2 6 2 2 2" xfId="43805" xr:uid="{00000000-0005-0000-0000-000012530000}"/>
    <cellStyle name="40% - Accent1 4 3 2 6 2 3" xfId="32504" xr:uid="{00000000-0005-0000-0000-000013530000}"/>
    <cellStyle name="40% - Accent1 4 3 2 6 3" xfId="15553" xr:uid="{00000000-0005-0000-0000-000014530000}"/>
    <cellStyle name="40% - Accent1 4 3 2 6 3 2" xfId="38155" xr:uid="{00000000-0005-0000-0000-000015530000}"/>
    <cellStyle name="40% - Accent1 4 3 2 6 4" xfId="26854" xr:uid="{00000000-0005-0000-0000-000016530000}"/>
    <cellStyle name="40% - Accent1 4 3 2 7" xfId="6732" xr:uid="{00000000-0005-0000-0000-000017530000}"/>
    <cellStyle name="40% - Accent1 4 3 2 7 2" xfId="18033" xr:uid="{00000000-0005-0000-0000-000018530000}"/>
    <cellStyle name="40% - Accent1 4 3 2 7 2 2" xfId="40635" xr:uid="{00000000-0005-0000-0000-000019530000}"/>
    <cellStyle name="40% - Accent1 4 3 2 7 3" xfId="29334" xr:uid="{00000000-0005-0000-0000-00001A530000}"/>
    <cellStyle name="40% - Accent1 4 3 2 8" xfId="12383" xr:uid="{00000000-0005-0000-0000-00001B530000}"/>
    <cellStyle name="40% - Accent1 4 3 2 8 2" xfId="34985" xr:uid="{00000000-0005-0000-0000-00001C530000}"/>
    <cellStyle name="40% - Accent1 4 3 2 9" xfId="23684" xr:uid="{00000000-0005-0000-0000-00001D530000}"/>
    <cellStyle name="40% - Accent1 4 3 3" xfId="1239" xr:uid="{00000000-0005-0000-0000-00001E530000}"/>
    <cellStyle name="40% - Accent1 4 3 3 2" xfId="1834" xr:uid="{00000000-0005-0000-0000-00001F530000}"/>
    <cellStyle name="40% - Accent1 4 3 3 2 2" xfId="3307" xr:uid="{00000000-0005-0000-0000-000020530000}"/>
    <cellStyle name="40% - Accent1 4 3 3 2 2 2" xfId="6279" xr:uid="{00000000-0005-0000-0000-000021530000}"/>
    <cellStyle name="40% - Accent1 4 3 3 2 2 2 2" xfId="11929" xr:uid="{00000000-0005-0000-0000-000022530000}"/>
    <cellStyle name="40% - Accent1 4 3 3 2 2 2 2 2" xfId="23230" xr:uid="{00000000-0005-0000-0000-000023530000}"/>
    <cellStyle name="40% - Accent1 4 3 3 2 2 2 2 2 2" xfId="45832" xr:uid="{00000000-0005-0000-0000-000024530000}"/>
    <cellStyle name="40% - Accent1 4 3 3 2 2 2 2 3" xfId="34531" xr:uid="{00000000-0005-0000-0000-000025530000}"/>
    <cellStyle name="40% - Accent1 4 3 3 2 2 2 3" xfId="17580" xr:uid="{00000000-0005-0000-0000-000026530000}"/>
    <cellStyle name="40% - Accent1 4 3 3 2 2 2 3 2" xfId="40182" xr:uid="{00000000-0005-0000-0000-000027530000}"/>
    <cellStyle name="40% - Accent1 4 3 3 2 2 2 4" xfId="28881" xr:uid="{00000000-0005-0000-0000-000028530000}"/>
    <cellStyle name="40% - Accent1 4 3 3 2 2 3" xfId="9097" xr:uid="{00000000-0005-0000-0000-000029530000}"/>
    <cellStyle name="40% - Accent1 4 3 3 2 2 3 2" xfId="20398" xr:uid="{00000000-0005-0000-0000-00002A530000}"/>
    <cellStyle name="40% - Accent1 4 3 3 2 2 3 2 2" xfId="43000" xr:uid="{00000000-0005-0000-0000-00002B530000}"/>
    <cellStyle name="40% - Accent1 4 3 3 2 2 3 3" xfId="31699" xr:uid="{00000000-0005-0000-0000-00002C530000}"/>
    <cellStyle name="40% - Accent1 4 3 3 2 2 4" xfId="14748" xr:uid="{00000000-0005-0000-0000-00002D530000}"/>
    <cellStyle name="40% - Accent1 4 3 3 2 2 4 2" xfId="37350" xr:uid="{00000000-0005-0000-0000-00002E530000}"/>
    <cellStyle name="40% - Accent1 4 3 3 2 2 5" xfId="26049" xr:uid="{00000000-0005-0000-0000-00002F530000}"/>
    <cellStyle name="40% - Accent1 4 3 3 2 3" xfId="5045" xr:uid="{00000000-0005-0000-0000-000030530000}"/>
    <cellStyle name="40% - Accent1 4 3 3 2 3 2" xfId="10695" xr:uid="{00000000-0005-0000-0000-000031530000}"/>
    <cellStyle name="40% - Accent1 4 3 3 2 3 2 2" xfId="21996" xr:uid="{00000000-0005-0000-0000-000032530000}"/>
    <cellStyle name="40% - Accent1 4 3 3 2 3 2 2 2" xfId="44598" xr:uid="{00000000-0005-0000-0000-000033530000}"/>
    <cellStyle name="40% - Accent1 4 3 3 2 3 2 3" xfId="33297" xr:uid="{00000000-0005-0000-0000-000034530000}"/>
    <cellStyle name="40% - Accent1 4 3 3 2 3 3" xfId="16346" xr:uid="{00000000-0005-0000-0000-000035530000}"/>
    <cellStyle name="40% - Accent1 4 3 3 2 3 3 2" xfId="38948" xr:uid="{00000000-0005-0000-0000-000036530000}"/>
    <cellStyle name="40% - Accent1 4 3 3 2 3 4" xfId="27647" xr:uid="{00000000-0005-0000-0000-000037530000}"/>
    <cellStyle name="40% - Accent1 4 3 3 2 4" xfId="7690" xr:uid="{00000000-0005-0000-0000-000038530000}"/>
    <cellStyle name="40% - Accent1 4 3 3 2 4 2" xfId="18991" xr:uid="{00000000-0005-0000-0000-000039530000}"/>
    <cellStyle name="40% - Accent1 4 3 3 2 4 2 2" xfId="41593" xr:uid="{00000000-0005-0000-0000-00003A530000}"/>
    <cellStyle name="40% - Accent1 4 3 3 2 4 3" xfId="30292" xr:uid="{00000000-0005-0000-0000-00003B530000}"/>
    <cellStyle name="40% - Accent1 4 3 3 2 5" xfId="13341" xr:uid="{00000000-0005-0000-0000-00003C530000}"/>
    <cellStyle name="40% - Accent1 4 3 3 2 5 2" xfId="35943" xr:uid="{00000000-0005-0000-0000-00003D530000}"/>
    <cellStyle name="40% - Accent1 4 3 3 2 6" xfId="24642" xr:uid="{00000000-0005-0000-0000-00003E530000}"/>
    <cellStyle name="40% - Accent1 4 3 3 3" xfId="2636" xr:uid="{00000000-0005-0000-0000-00003F530000}"/>
    <cellStyle name="40% - Accent1 4 3 3 3 2" xfId="5655" xr:uid="{00000000-0005-0000-0000-000040530000}"/>
    <cellStyle name="40% - Accent1 4 3 3 3 2 2" xfId="11305" xr:uid="{00000000-0005-0000-0000-000041530000}"/>
    <cellStyle name="40% - Accent1 4 3 3 3 2 2 2" xfId="22606" xr:uid="{00000000-0005-0000-0000-000042530000}"/>
    <cellStyle name="40% - Accent1 4 3 3 3 2 2 2 2" xfId="45208" xr:uid="{00000000-0005-0000-0000-000043530000}"/>
    <cellStyle name="40% - Accent1 4 3 3 3 2 2 3" xfId="33907" xr:uid="{00000000-0005-0000-0000-000044530000}"/>
    <cellStyle name="40% - Accent1 4 3 3 3 2 3" xfId="16956" xr:uid="{00000000-0005-0000-0000-000045530000}"/>
    <cellStyle name="40% - Accent1 4 3 3 3 2 3 2" xfId="39558" xr:uid="{00000000-0005-0000-0000-000046530000}"/>
    <cellStyle name="40% - Accent1 4 3 3 3 2 4" xfId="28257" xr:uid="{00000000-0005-0000-0000-000047530000}"/>
    <cellStyle name="40% - Accent1 4 3 3 3 3" xfId="8472" xr:uid="{00000000-0005-0000-0000-000048530000}"/>
    <cellStyle name="40% - Accent1 4 3 3 3 3 2" xfId="19773" xr:uid="{00000000-0005-0000-0000-000049530000}"/>
    <cellStyle name="40% - Accent1 4 3 3 3 3 2 2" xfId="42375" xr:uid="{00000000-0005-0000-0000-00004A530000}"/>
    <cellStyle name="40% - Accent1 4 3 3 3 3 3" xfId="31074" xr:uid="{00000000-0005-0000-0000-00004B530000}"/>
    <cellStyle name="40% - Accent1 4 3 3 3 4" xfId="14123" xr:uid="{00000000-0005-0000-0000-00004C530000}"/>
    <cellStyle name="40% - Accent1 4 3 3 3 4 2" xfId="36725" xr:uid="{00000000-0005-0000-0000-00004D530000}"/>
    <cellStyle name="40% - Accent1 4 3 3 3 5" xfId="25424" xr:uid="{00000000-0005-0000-0000-00004E530000}"/>
    <cellStyle name="40% - Accent1 4 3 3 4" xfId="4421" xr:uid="{00000000-0005-0000-0000-00004F530000}"/>
    <cellStyle name="40% - Accent1 4 3 3 4 2" xfId="10071" xr:uid="{00000000-0005-0000-0000-000050530000}"/>
    <cellStyle name="40% - Accent1 4 3 3 4 2 2" xfId="21372" xr:uid="{00000000-0005-0000-0000-000051530000}"/>
    <cellStyle name="40% - Accent1 4 3 3 4 2 2 2" xfId="43974" xr:uid="{00000000-0005-0000-0000-000052530000}"/>
    <cellStyle name="40% - Accent1 4 3 3 4 2 3" xfId="32673" xr:uid="{00000000-0005-0000-0000-000053530000}"/>
    <cellStyle name="40% - Accent1 4 3 3 4 3" xfId="15722" xr:uid="{00000000-0005-0000-0000-000054530000}"/>
    <cellStyle name="40% - Accent1 4 3 3 4 3 2" xfId="38324" xr:uid="{00000000-0005-0000-0000-000055530000}"/>
    <cellStyle name="40% - Accent1 4 3 3 4 4" xfId="27023" xr:uid="{00000000-0005-0000-0000-000056530000}"/>
    <cellStyle name="40% - Accent1 4 3 3 5" xfId="7218" xr:uid="{00000000-0005-0000-0000-000057530000}"/>
    <cellStyle name="40% - Accent1 4 3 3 5 2" xfId="18519" xr:uid="{00000000-0005-0000-0000-000058530000}"/>
    <cellStyle name="40% - Accent1 4 3 3 5 2 2" xfId="41121" xr:uid="{00000000-0005-0000-0000-000059530000}"/>
    <cellStyle name="40% - Accent1 4 3 3 5 3" xfId="29820" xr:uid="{00000000-0005-0000-0000-00005A530000}"/>
    <cellStyle name="40% - Accent1 4 3 3 6" xfId="12869" xr:uid="{00000000-0005-0000-0000-00005B530000}"/>
    <cellStyle name="40% - Accent1 4 3 3 6 2" xfId="35471" xr:uid="{00000000-0005-0000-0000-00005C530000}"/>
    <cellStyle name="40% - Accent1 4 3 3 7" xfId="24170" xr:uid="{00000000-0005-0000-0000-00005D530000}"/>
    <cellStyle name="40% - Accent1 4 3 4" xfId="930" xr:uid="{00000000-0005-0000-0000-00005E530000}"/>
    <cellStyle name="40% - Accent1 4 3 4 2" xfId="3000" xr:uid="{00000000-0005-0000-0000-00005F530000}"/>
    <cellStyle name="40% - Accent1 4 3 4 2 2" xfId="5972" xr:uid="{00000000-0005-0000-0000-000060530000}"/>
    <cellStyle name="40% - Accent1 4 3 4 2 2 2" xfId="11622" xr:uid="{00000000-0005-0000-0000-000061530000}"/>
    <cellStyle name="40% - Accent1 4 3 4 2 2 2 2" xfId="22923" xr:uid="{00000000-0005-0000-0000-000062530000}"/>
    <cellStyle name="40% - Accent1 4 3 4 2 2 2 2 2" xfId="45525" xr:uid="{00000000-0005-0000-0000-000063530000}"/>
    <cellStyle name="40% - Accent1 4 3 4 2 2 2 3" xfId="34224" xr:uid="{00000000-0005-0000-0000-000064530000}"/>
    <cellStyle name="40% - Accent1 4 3 4 2 2 3" xfId="17273" xr:uid="{00000000-0005-0000-0000-000065530000}"/>
    <cellStyle name="40% - Accent1 4 3 4 2 2 3 2" xfId="39875" xr:uid="{00000000-0005-0000-0000-000066530000}"/>
    <cellStyle name="40% - Accent1 4 3 4 2 2 4" xfId="28574" xr:uid="{00000000-0005-0000-0000-000067530000}"/>
    <cellStyle name="40% - Accent1 4 3 4 2 3" xfId="8790" xr:uid="{00000000-0005-0000-0000-000068530000}"/>
    <cellStyle name="40% - Accent1 4 3 4 2 3 2" xfId="20091" xr:uid="{00000000-0005-0000-0000-000069530000}"/>
    <cellStyle name="40% - Accent1 4 3 4 2 3 2 2" xfId="42693" xr:uid="{00000000-0005-0000-0000-00006A530000}"/>
    <cellStyle name="40% - Accent1 4 3 4 2 3 3" xfId="31392" xr:uid="{00000000-0005-0000-0000-00006B530000}"/>
    <cellStyle name="40% - Accent1 4 3 4 2 4" xfId="14441" xr:uid="{00000000-0005-0000-0000-00006C530000}"/>
    <cellStyle name="40% - Accent1 4 3 4 2 4 2" xfId="37043" xr:uid="{00000000-0005-0000-0000-00006D530000}"/>
    <cellStyle name="40% - Accent1 4 3 4 2 5" xfId="25742" xr:uid="{00000000-0005-0000-0000-00006E530000}"/>
    <cellStyle name="40% - Accent1 4 3 4 3" xfId="4738" xr:uid="{00000000-0005-0000-0000-00006F530000}"/>
    <cellStyle name="40% - Accent1 4 3 4 3 2" xfId="10388" xr:uid="{00000000-0005-0000-0000-000070530000}"/>
    <cellStyle name="40% - Accent1 4 3 4 3 2 2" xfId="21689" xr:uid="{00000000-0005-0000-0000-000071530000}"/>
    <cellStyle name="40% - Accent1 4 3 4 3 2 2 2" xfId="44291" xr:uid="{00000000-0005-0000-0000-000072530000}"/>
    <cellStyle name="40% - Accent1 4 3 4 3 2 3" xfId="32990" xr:uid="{00000000-0005-0000-0000-000073530000}"/>
    <cellStyle name="40% - Accent1 4 3 4 3 3" xfId="16039" xr:uid="{00000000-0005-0000-0000-000074530000}"/>
    <cellStyle name="40% - Accent1 4 3 4 3 3 2" xfId="38641" xr:uid="{00000000-0005-0000-0000-000075530000}"/>
    <cellStyle name="40% - Accent1 4 3 4 3 4" xfId="27340" xr:uid="{00000000-0005-0000-0000-000076530000}"/>
    <cellStyle name="40% - Accent1 4 3 4 4" xfId="6925" xr:uid="{00000000-0005-0000-0000-000077530000}"/>
    <cellStyle name="40% - Accent1 4 3 4 4 2" xfId="18226" xr:uid="{00000000-0005-0000-0000-000078530000}"/>
    <cellStyle name="40% - Accent1 4 3 4 4 2 2" xfId="40828" xr:uid="{00000000-0005-0000-0000-000079530000}"/>
    <cellStyle name="40% - Accent1 4 3 4 4 3" xfId="29527" xr:uid="{00000000-0005-0000-0000-00007A530000}"/>
    <cellStyle name="40% - Accent1 4 3 4 5" xfId="12576" xr:uid="{00000000-0005-0000-0000-00007B530000}"/>
    <cellStyle name="40% - Accent1 4 3 4 5 2" xfId="35178" xr:uid="{00000000-0005-0000-0000-00007C530000}"/>
    <cellStyle name="40% - Accent1 4 3 4 6" xfId="23877" xr:uid="{00000000-0005-0000-0000-00007D530000}"/>
    <cellStyle name="40% - Accent1 4 3 5" xfId="1831" xr:uid="{00000000-0005-0000-0000-00007E530000}"/>
    <cellStyle name="40% - Accent1 4 3 5 2" xfId="3715" xr:uid="{00000000-0005-0000-0000-00007F530000}"/>
    <cellStyle name="40% - Accent1 4 3 5 2 2" xfId="9426" xr:uid="{00000000-0005-0000-0000-000080530000}"/>
    <cellStyle name="40% - Accent1 4 3 5 2 2 2" xfId="20727" xr:uid="{00000000-0005-0000-0000-000081530000}"/>
    <cellStyle name="40% - Accent1 4 3 5 2 2 2 2" xfId="43329" xr:uid="{00000000-0005-0000-0000-000082530000}"/>
    <cellStyle name="40% - Accent1 4 3 5 2 2 3" xfId="32028" xr:uid="{00000000-0005-0000-0000-000083530000}"/>
    <cellStyle name="40% - Accent1 4 3 5 2 3" xfId="15077" xr:uid="{00000000-0005-0000-0000-000084530000}"/>
    <cellStyle name="40% - Accent1 4 3 5 2 3 2" xfId="37679" xr:uid="{00000000-0005-0000-0000-000085530000}"/>
    <cellStyle name="40% - Accent1 4 3 5 2 4" xfId="26378" xr:uid="{00000000-0005-0000-0000-000086530000}"/>
    <cellStyle name="40% - Accent1 4 3 5 3" xfId="5348" xr:uid="{00000000-0005-0000-0000-000087530000}"/>
    <cellStyle name="40% - Accent1 4 3 5 3 2" xfId="10998" xr:uid="{00000000-0005-0000-0000-000088530000}"/>
    <cellStyle name="40% - Accent1 4 3 5 3 2 2" xfId="22299" xr:uid="{00000000-0005-0000-0000-000089530000}"/>
    <cellStyle name="40% - Accent1 4 3 5 3 2 2 2" xfId="44901" xr:uid="{00000000-0005-0000-0000-00008A530000}"/>
    <cellStyle name="40% - Accent1 4 3 5 3 2 3" xfId="33600" xr:uid="{00000000-0005-0000-0000-00008B530000}"/>
    <cellStyle name="40% - Accent1 4 3 5 3 3" xfId="16649" xr:uid="{00000000-0005-0000-0000-00008C530000}"/>
    <cellStyle name="40% - Accent1 4 3 5 3 3 2" xfId="39251" xr:uid="{00000000-0005-0000-0000-00008D530000}"/>
    <cellStyle name="40% - Accent1 4 3 5 3 4" xfId="27950" xr:uid="{00000000-0005-0000-0000-00008E530000}"/>
    <cellStyle name="40% - Accent1 4 3 5 4" xfId="7687" xr:uid="{00000000-0005-0000-0000-00008F530000}"/>
    <cellStyle name="40% - Accent1 4 3 5 4 2" xfId="18988" xr:uid="{00000000-0005-0000-0000-000090530000}"/>
    <cellStyle name="40% - Accent1 4 3 5 4 2 2" xfId="41590" xr:uid="{00000000-0005-0000-0000-000091530000}"/>
    <cellStyle name="40% - Accent1 4 3 5 4 3" xfId="30289" xr:uid="{00000000-0005-0000-0000-000092530000}"/>
    <cellStyle name="40% - Accent1 4 3 5 5" xfId="13338" xr:uid="{00000000-0005-0000-0000-000093530000}"/>
    <cellStyle name="40% - Accent1 4 3 5 5 2" xfId="35940" xr:uid="{00000000-0005-0000-0000-000094530000}"/>
    <cellStyle name="40% - Accent1 4 3 5 6" xfId="24639" xr:uid="{00000000-0005-0000-0000-000095530000}"/>
    <cellStyle name="40% - Accent1 4 3 6" xfId="2327" xr:uid="{00000000-0005-0000-0000-000096530000}"/>
    <cellStyle name="40% - Accent1 4 3 6 2" xfId="8163" xr:uid="{00000000-0005-0000-0000-000097530000}"/>
    <cellStyle name="40% - Accent1 4 3 6 2 2" xfId="19464" xr:uid="{00000000-0005-0000-0000-000098530000}"/>
    <cellStyle name="40% - Accent1 4 3 6 2 2 2" xfId="42066" xr:uid="{00000000-0005-0000-0000-000099530000}"/>
    <cellStyle name="40% - Accent1 4 3 6 2 3" xfId="30765" xr:uid="{00000000-0005-0000-0000-00009A530000}"/>
    <cellStyle name="40% - Accent1 4 3 6 3" xfId="13814" xr:uid="{00000000-0005-0000-0000-00009B530000}"/>
    <cellStyle name="40% - Accent1 4 3 6 3 2" xfId="36416" xr:uid="{00000000-0005-0000-0000-00009C530000}"/>
    <cellStyle name="40% - Accent1 4 3 6 4" xfId="25115" xr:uid="{00000000-0005-0000-0000-00009D530000}"/>
    <cellStyle name="40% - Accent1 4 3 7" xfId="4114" xr:uid="{00000000-0005-0000-0000-00009E530000}"/>
    <cellStyle name="40% - Accent1 4 3 7 2" xfId="9764" xr:uid="{00000000-0005-0000-0000-00009F530000}"/>
    <cellStyle name="40% - Accent1 4 3 7 2 2" xfId="21065" xr:uid="{00000000-0005-0000-0000-0000A0530000}"/>
    <cellStyle name="40% - Accent1 4 3 7 2 2 2" xfId="43667" xr:uid="{00000000-0005-0000-0000-0000A1530000}"/>
    <cellStyle name="40% - Accent1 4 3 7 2 3" xfId="32366" xr:uid="{00000000-0005-0000-0000-0000A2530000}"/>
    <cellStyle name="40% - Accent1 4 3 7 3" xfId="15415" xr:uid="{00000000-0005-0000-0000-0000A3530000}"/>
    <cellStyle name="40% - Accent1 4 3 7 3 2" xfId="38017" xr:uid="{00000000-0005-0000-0000-0000A4530000}"/>
    <cellStyle name="40% - Accent1 4 3 7 4" xfId="26716" xr:uid="{00000000-0005-0000-0000-0000A5530000}"/>
    <cellStyle name="40% - Accent1 4 3 8" xfId="6565" xr:uid="{00000000-0005-0000-0000-0000A6530000}"/>
    <cellStyle name="40% - Accent1 4 3 8 2" xfId="17866" xr:uid="{00000000-0005-0000-0000-0000A7530000}"/>
    <cellStyle name="40% - Accent1 4 3 8 2 2" xfId="40468" xr:uid="{00000000-0005-0000-0000-0000A8530000}"/>
    <cellStyle name="40% - Accent1 4 3 8 3" xfId="29167" xr:uid="{00000000-0005-0000-0000-0000A9530000}"/>
    <cellStyle name="40% - Accent1 4 3 9" xfId="12216" xr:uid="{00000000-0005-0000-0000-0000AA530000}"/>
    <cellStyle name="40% - Accent1 4 3 9 2" xfId="34818" xr:uid="{00000000-0005-0000-0000-0000AB530000}"/>
    <cellStyle name="40% - Accent1 4 4" xfId="569" xr:uid="{00000000-0005-0000-0000-0000AC530000}"/>
    <cellStyle name="40% - Accent1 4 4 2" xfId="1143" xr:uid="{00000000-0005-0000-0000-0000AD530000}"/>
    <cellStyle name="40% - Accent1 4 4 2 2" xfId="1836" xr:uid="{00000000-0005-0000-0000-0000AE530000}"/>
    <cellStyle name="40% - Accent1 4 4 2 2 2" xfId="3211" xr:uid="{00000000-0005-0000-0000-0000AF530000}"/>
    <cellStyle name="40% - Accent1 4 4 2 2 2 2" xfId="6183" xr:uid="{00000000-0005-0000-0000-0000B0530000}"/>
    <cellStyle name="40% - Accent1 4 4 2 2 2 2 2" xfId="11833" xr:uid="{00000000-0005-0000-0000-0000B1530000}"/>
    <cellStyle name="40% - Accent1 4 4 2 2 2 2 2 2" xfId="23134" xr:uid="{00000000-0005-0000-0000-0000B2530000}"/>
    <cellStyle name="40% - Accent1 4 4 2 2 2 2 2 2 2" xfId="45736" xr:uid="{00000000-0005-0000-0000-0000B3530000}"/>
    <cellStyle name="40% - Accent1 4 4 2 2 2 2 2 3" xfId="34435" xr:uid="{00000000-0005-0000-0000-0000B4530000}"/>
    <cellStyle name="40% - Accent1 4 4 2 2 2 2 3" xfId="17484" xr:uid="{00000000-0005-0000-0000-0000B5530000}"/>
    <cellStyle name="40% - Accent1 4 4 2 2 2 2 3 2" xfId="40086" xr:uid="{00000000-0005-0000-0000-0000B6530000}"/>
    <cellStyle name="40% - Accent1 4 4 2 2 2 2 4" xfId="28785" xr:uid="{00000000-0005-0000-0000-0000B7530000}"/>
    <cellStyle name="40% - Accent1 4 4 2 2 2 3" xfId="9001" xr:uid="{00000000-0005-0000-0000-0000B8530000}"/>
    <cellStyle name="40% - Accent1 4 4 2 2 2 3 2" xfId="20302" xr:uid="{00000000-0005-0000-0000-0000B9530000}"/>
    <cellStyle name="40% - Accent1 4 4 2 2 2 3 2 2" xfId="42904" xr:uid="{00000000-0005-0000-0000-0000BA530000}"/>
    <cellStyle name="40% - Accent1 4 4 2 2 2 3 3" xfId="31603" xr:uid="{00000000-0005-0000-0000-0000BB530000}"/>
    <cellStyle name="40% - Accent1 4 4 2 2 2 4" xfId="14652" xr:uid="{00000000-0005-0000-0000-0000BC530000}"/>
    <cellStyle name="40% - Accent1 4 4 2 2 2 4 2" xfId="37254" xr:uid="{00000000-0005-0000-0000-0000BD530000}"/>
    <cellStyle name="40% - Accent1 4 4 2 2 2 5" xfId="25953" xr:uid="{00000000-0005-0000-0000-0000BE530000}"/>
    <cellStyle name="40% - Accent1 4 4 2 2 3" xfId="4949" xr:uid="{00000000-0005-0000-0000-0000BF530000}"/>
    <cellStyle name="40% - Accent1 4 4 2 2 3 2" xfId="10599" xr:uid="{00000000-0005-0000-0000-0000C0530000}"/>
    <cellStyle name="40% - Accent1 4 4 2 2 3 2 2" xfId="21900" xr:uid="{00000000-0005-0000-0000-0000C1530000}"/>
    <cellStyle name="40% - Accent1 4 4 2 2 3 2 2 2" xfId="44502" xr:uid="{00000000-0005-0000-0000-0000C2530000}"/>
    <cellStyle name="40% - Accent1 4 4 2 2 3 2 3" xfId="33201" xr:uid="{00000000-0005-0000-0000-0000C3530000}"/>
    <cellStyle name="40% - Accent1 4 4 2 2 3 3" xfId="16250" xr:uid="{00000000-0005-0000-0000-0000C4530000}"/>
    <cellStyle name="40% - Accent1 4 4 2 2 3 3 2" xfId="38852" xr:uid="{00000000-0005-0000-0000-0000C5530000}"/>
    <cellStyle name="40% - Accent1 4 4 2 2 3 4" xfId="27551" xr:uid="{00000000-0005-0000-0000-0000C6530000}"/>
    <cellStyle name="40% - Accent1 4 4 2 2 4" xfId="7692" xr:uid="{00000000-0005-0000-0000-0000C7530000}"/>
    <cellStyle name="40% - Accent1 4 4 2 2 4 2" xfId="18993" xr:uid="{00000000-0005-0000-0000-0000C8530000}"/>
    <cellStyle name="40% - Accent1 4 4 2 2 4 2 2" xfId="41595" xr:uid="{00000000-0005-0000-0000-0000C9530000}"/>
    <cellStyle name="40% - Accent1 4 4 2 2 4 3" xfId="30294" xr:uid="{00000000-0005-0000-0000-0000CA530000}"/>
    <cellStyle name="40% - Accent1 4 4 2 2 5" xfId="13343" xr:uid="{00000000-0005-0000-0000-0000CB530000}"/>
    <cellStyle name="40% - Accent1 4 4 2 2 5 2" xfId="35945" xr:uid="{00000000-0005-0000-0000-0000CC530000}"/>
    <cellStyle name="40% - Accent1 4 4 2 2 6" xfId="24644" xr:uid="{00000000-0005-0000-0000-0000CD530000}"/>
    <cellStyle name="40% - Accent1 4 4 2 3" xfId="2540" xr:uid="{00000000-0005-0000-0000-0000CE530000}"/>
    <cellStyle name="40% - Accent1 4 4 2 3 2" xfId="5559" xr:uid="{00000000-0005-0000-0000-0000CF530000}"/>
    <cellStyle name="40% - Accent1 4 4 2 3 2 2" xfId="11209" xr:uid="{00000000-0005-0000-0000-0000D0530000}"/>
    <cellStyle name="40% - Accent1 4 4 2 3 2 2 2" xfId="22510" xr:uid="{00000000-0005-0000-0000-0000D1530000}"/>
    <cellStyle name="40% - Accent1 4 4 2 3 2 2 2 2" xfId="45112" xr:uid="{00000000-0005-0000-0000-0000D2530000}"/>
    <cellStyle name="40% - Accent1 4 4 2 3 2 2 3" xfId="33811" xr:uid="{00000000-0005-0000-0000-0000D3530000}"/>
    <cellStyle name="40% - Accent1 4 4 2 3 2 3" xfId="16860" xr:uid="{00000000-0005-0000-0000-0000D4530000}"/>
    <cellStyle name="40% - Accent1 4 4 2 3 2 3 2" xfId="39462" xr:uid="{00000000-0005-0000-0000-0000D5530000}"/>
    <cellStyle name="40% - Accent1 4 4 2 3 2 4" xfId="28161" xr:uid="{00000000-0005-0000-0000-0000D6530000}"/>
    <cellStyle name="40% - Accent1 4 4 2 3 3" xfId="8376" xr:uid="{00000000-0005-0000-0000-0000D7530000}"/>
    <cellStyle name="40% - Accent1 4 4 2 3 3 2" xfId="19677" xr:uid="{00000000-0005-0000-0000-0000D8530000}"/>
    <cellStyle name="40% - Accent1 4 4 2 3 3 2 2" xfId="42279" xr:uid="{00000000-0005-0000-0000-0000D9530000}"/>
    <cellStyle name="40% - Accent1 4 4 2 3 3 3" xfId="30978" xr:uid="{00000000-0005-0000-0000-0000DA530000}"/>
    <cellStyle name="40% - Accent1 4 4 2 3 4" xfId="14027" xr:uid="{00000000-0005-0000-0000-0000DB530000}"/>
    <cellStyle name="40% - Accent1 4 4 2 3 4 2" xfId="36629" xr:uid="{00000000-0005-0000-0000-0000DC530000}"/>
    <cellStyle name="40% - Accent1 4 4 2 3 5" xfId="25328" xr:uid="{00000000-0005-0000-0000-0000DD530000}"/>
    <cellStyle name="40% - Accent1 4 4 2 4" xfId="4325" xr:uid="{00000000-0005-0000-0000-0000DE530000}"/>
    <cellStyle name="40% - Accent1 4 4 2 4 2" xfId="9975" xr:uid="{00000000-0005-0000-0000-0000DF530000}"/>
    <cellStyle name="40% - Accent1 4 4 2 4 2 2" xfId="21276" xr:uid="{00000000-0005-0000-0000-0000E0530000}"/>
    <cellStyle name="40% - Accent1 4 4 2 4 2 2 2" xfId="43878" xr:uid="{00000000-0005-0000-0000-0000E1530000}"/>
    <cellStyle name="40% - Accent1 4 4 2 4 2 3" xfId="32577" xr:uid="{00000000-0005-0000-0000-0000E2530000}"/>
    <cellStyle name="40% - Accent1 4 4 2 4 3" xfId="15626" xr:uid="{00000000-0005-0000-0000-0000E3530000}"/>
    <cellStyle name="40% - Accent1 4 4 2 4 3 2" xfId="38228" xr:uid="{00000000-0005-0000-0000-0000E4530000}"/>
    <cellStyle name="40% - Accent1 4 4 2 4 4" xfId="26927" xr:uid="{00000000-0005-0000-0000-0000E5530000}"/>
    <cellStyle name="40% - Accent1 4 4 2 5" xfId="7122" xr:uid="{00000000-0005-0000-0000-0000E6530000}"/>
    <cellStyle name="40% - Accent1 4 4 2 5 2" xfId="18423" xr:uid="{00000000-0005-0000-0000-0000E7530000}"/>
    <cellStyle name="40% - Accent1 4 4 2 5 2 2" xfId="41025" xr:uid="{00000000-0005-0000-0000-0000E8530000}"/>
    <cellStyle name="40% - Accent1 4 4 2 5 3" xfId="29724" xr:uid="{00000000-0005-0000-0000-0000E9530000}"/>
    <cellStyle name="40% - Accent1 4 4 2 6" xfId="12773" xr:uid="{00000000-0005-0000-0000-0000EA530000}"/>
    <cellStyle name="40% - Accent1 4 4 2 6 2" xfId="35375" xr:uid="{00000000-0005-0000-0000-0000EB530000}"/>
    <cellStyle name="40% - Accent1 4 4 2 7" xfId="24074" xr:uid="{00000000-0005-0000-0000-0000EC530000}"/>
    <cellStyle name="40% - Accent1 4 4 3" xfId="817" xr:uid="{00000000-0005-0000-0000-0000ED530000}"/>
    <cellStyle name="40% - Accent1 4 4 3 2" xfId="2904" xr:uid="{00000000-0005-0000-0000-0000EE530000}"/>
    <cellStyle name="40% - Accent1 4 4 3 2 2" xfId="5876" xr:uid="{00000000-0005-0000-0000-0000EF530000}"/>
    <cellStyle name="40% - Accent1 4 4 3 2 2 2" xfId="11526" xr:uid="{00000000-0005-0000-0000-0000F0530000}"/>
    <cellStyle name="40% - Accent1 4 4 3 2 2 2 2" xfId="22827" xr:uid="{00000000-0005-0000-0000-0000F1530000}"/>
    <cellStyle name="40% - Accent1 4 4 3 2 2 2 2 2" xfId="45429" xr:uid="{00000000-0005-0000-0000-0000F2530000}"/>
    <cellStyle name="40% - Accent1 4 4 3 2 2 2 3" xfId="34128" xr:uid="{00000000-0005-0000-0000-0000F3530000}"/>
    <cellStyle name="40% - Accent1 4 4 3 2 2 3" xfId="17177" xr:uid="{00000000-0005-0000-0000-0000F4530000}"/>
    <cellStyle name="40% - Accent1 4 4 3 2 2 3 2" xfId="39779" xr:uid="{00000000-0005-0000-0000-0000F5530000}"/>
    <cellStyle name="40% - Accent1 4 4 3 2 2 4" xfId="28478" xr:uid="{00000000-0005-0000-0000-0000F6530000}"/>
    <cellStyle name="40% - Accent1 4 4 3 2 3" xfId="8694" xr:uid="{00000000-0005-0000-0000-0000F7530000}"/>
    <cellStyle name="40% - Accent1 4 4 3 2 3 2" xfId="19995" xr:uid="{00000000-0005-0000-0000-0000F8530000}"/>
    <cellStyle name="40% - Accent1 4 4 3 2 3 2 2" xfId="42597" xr:uid="{00000000-0005-0000-0000-0000F9530000}"/>
    <cellStyle name="40% - Accent1 4 4 3 2 3 3" xfId="31296" xr:uid="{00000000-0005-0000-0000-0000FA530000}"/>
    <cellStyle name="40% - Accent1 4 4 3 2 4" xfId="14345" xr:uid="{00000000-0005-0000-0000-0000FB530000}"/>
    <cellStyle name="40% - Accent1 4 4 3 2 4 2" xfId="36947" xr:uid="{00000000-0005-0000-0000-0000FC530000}"/>
    <cellStyle name="40% - Accent1 4 4 3 2 5" xfId="25646" xr:uid="{00000000-0005-0000-0000-0000FD530000}"/>
    <cellStyle name="40% - Accent1 4 4 3 3" xfId="4642" xr:uid="{00000000-0005-0000-0000-0000FE530000}"/>
    <cellStyle name="40% - Accent1 4 4 3 3 2" xfId="10292" xr:uid="{00000000-0005-0000-0000-0000FF530000}"/>
    <cellStyle name="40% - Accent1 4 4 3 3 2 2" xfId="21593" xr:uid="{00000000-0005-0000-0000-000000540000}"/>
    <cellStyle name="40% - Accent1 4 4 3 3 2 2 2" xfId="44195" xr:uid="{00000000-0005-0000-0000-000001540000}"/>
    <cellStyle name="40% - Accent1 4 4 3 3 2 3" xfId="32894" xr:uid="{00000000-0005-0000-0000-000002540000}"/>
    <cellStyle name="40% - Accent1 4 4 3 3 3" xfId="15943" xr:uid="{00000000-0005-0000-0000-000003540000}"/>
    <cellStyle name="40% - Accent1 4 4 3 3 3 2" xfId="38545" xr:uid="{00000000-0005-0000-0000-000004540000}"/>
    <cellStyle name="40% - Accent1 4 4 3 3 4" xfId="27244" xr:uid="{00000000-0005-0000-0000-000005540000}"/>
    <cellStyle name="40% - Accent1 4 4 3 4" xfId="6825" xr:uid="{00000000-0005-0000-0000-000006540000}"/>
    <cellStyle name="40% - Accent1 4 4 3 4 2" xfId="18126" xr:uid="{00000000-0005-0000-0000-000007540000}"/>
    <cellStyle name="40% - Accent1 4 4 3 4 2 2" xfId="40728" xr:uid="{00000000-0005-0000-0000-000008540000}"/>
    <cellStyle name="40% - Accent1 4 4 3 4 3" xfId="29427" xr:uid="{00000000-0005-0000-0000-000009540000}"/>
    <cellStyle name="40% - Accent1 4 4 3 5" xfId="12476" xr:uid="{00000000-0005-0000-0000-00000A540000}"/>
    <cellStyle name="40% - Accent1 4 4 3 5 2" xfId="35078" xr:uid="{00000000-0005-0000-0000-00000B540000}"/>
    <cellStyle name="40% - Accent1 4 4 3 6" xfId="23777" xr:uid="{00000000-0005-0000-0000-00000C540000}"/>
    <cellStyle name="40% - Accent1 4 4 4" xfId="1835" xr:uid="{00000000-0005-0000-0000-00000D540000}"/>
    <cellStyle name="40% - Accent1 4 4 4 2" xfId="3717" xr:uid="{00000000-0005-0000-0000-00000E540000}"/>
    <cellStyle name="40% - Accent1 4 4 4 2 2" xfId="9428" xr:uid="{00000000-0005-0000-0000-00000F540000}"/>
    <cellStyle name="40% - Accent1 4 4 4 2 2 2" xfId="20729" xr:uid="{00000000-0005-0000-0000-000010540000}"/>
    <cellStyle name="40% - Accent1 4 4 4 2 2 2 2" xfId="43331" xr:uid="{00000000-0005-0000-0000-000011540000}"/>
    <cellStyle name="40% - Accent1 4 4 4 2 2 3" xfId="32030" xr:uid="{00000000-0005-0000-0000-000012540000}"/>
    <cellStyle name="40% - Accent1 4 4 4 2 3" xfId="15079" xr:uid="{00000000-0005-0000-0000-000013540000}"/>
    <cellStyle name="40% - Accent1 4 4 4 2 3 2" xfId="37681" xr:uid="{00000000-0005-0000-0000-000014540000}"/>
    <cellStyle name="40% - Accent1 4 4 4 2 4" xfId="26380" xr:uid="{00000000-0005-0000-0000-000015540000}"/>
    <cellStyle name="40% - Accent1 4 4 4 3" xfId="5252" xr:uid="{00000000-0005-0000-0000-000016540000}"/>
    <cellStyle name="40% - Accent1 4 4 4 3 2" xfId="10902" xr:uid="{00000000-0005-0000-0000-000017540000}"/>
    <cellStyle name="40% - Accent1 4 4 4 3 2 2" xfId="22203" xr:uid="{00000000-0005-0000-0000-000018540000}"/>
    <cellStyle name="40% - Accent1 4 4 4 3 2 2 2" xfId="44805" xr:uid="{00000000-0005-0000-0000-000019540000}"/>
    <cellStyle name="40% - Accent1 4 4 4 3 2 3" xfId="33504" xr:uid="{00000000-0005-0000-0000-00001A540000}"/>
    <cellStyle name="40% - Accent1 4 4 4 3 3" xfId="16553" xr:uid="{00000000-0005-0000-0000-00001B540000}"/>
    <cellStyle name="40% - Accent1 4 4 4 3 3 2" xfId="39155" xr:uid="{00000000-0005-0000-0000-00001C540000}"/>
    <cellStyle name="40% - Accent1 4 4 4 3 4" xfId="27854" xr:uid="{00000000-0005-0000-0000-00001D540000}"/>
    <cellStyle name="40% - Accent1 4 4 4 4" xfId="7691" xr:uid="{00000000-0005-0000-0000-00001E540000}"/>
    <cellStyle name="40% - Accent1 4 4 4 4 2" xfId="18992" xr:uid="{00000000-0005-0000-0000-00001F540000}"/>
    <cellStyle name="40% - Accent1 4 4 4 4 2 2" xfId="41594" xr:uid="{00000000-0005-0000-0000-000020540000}"/>
    <cellStyle name="40% - Accent1 4 4 4 4 3" xfId="30293" xr:uid="{00000000-0005-0000-0000-000021540000}"/>
    <cellStyle name="40% - Accent1 4 4 4 5" xfId="13342" xr:uid="{00000000-0005-0000-0000-000022540000}"/>
    <cellStyle name="40% - Accent1 4 4 4 5 2" xfId="35944" xr:uid="{00000000-0005-0000-0000-000023540000}"/>
    <cellStyle name="40% - Accent1 4 4 4 6" xfId="24643" xr:uid="{00000000-0005-0000-0000-000024540000}"/>
    <cellStyle name="40% - Accent1 4 4 5" xfId="2224" xr:uid="{00000000-0005-0000-0000-000025540000}"/>
    <cellStyle name="40% - Accent1 4 4 5 2" xfId="8066" xr:uid="{00000000-0005-0000-0000-000026540000}"/>
    <cellStyle name="40% - Accent1 4 4 5 2 2" xfId="19367" xr:uid="{00000000-0005-0000-0000-000027540000}"/>
    <cellStyle name="40% - Accent1 4 4 5 2 2 2" xfId="41969" xr:uid="{00000000-0005-0000-0000-000028540000}"/>
    <cellStyle name="40% - Accent1 4 4 5 2 3" xfId="30668" xr:uid="{00000000-0005-0000-0000-000029540000}"/>
    <cellStyle name="40% - Accent1 4 4 5 3" xfId="13717" xr:uid="{00000000-0005-0000-0000-00002A540000}"/>
    <cellStyle name="40% - Accent1 4 4 5 3 2" xfId="36319" xr:uid="{00000000-0005-0000-0000-00002B540000}"/>
    <cellStyle name="40% - Accent1 4 4 5 4" xfId="25018" xr:uid="{00000000-0005-0000-0000-00002C540000}"/>
    <cellStyle name="40% - Accent1 4 4 6" xfId="4018" xr:uid="{00000000-0005-0000-0000-00002D540000}"/>
    <cellStyle name="40% - Accent1 4 4 6 2" xfId="9668" xr:uid="{00000000-0005-0000-0000-00002E540000}"/>
    <cellStyle name="40% - Accent1 4 4 6 2 2" xfId="20969" xr:uid="{00000000-0005-0000-0000-00002F540000}"/>
    <cellStyle name="40% - Accent1 4 4 6 2 2 2" xfId="43571" xr:uid="{00000000-0005-0000-0000-000030540000}"/>
    <cellStyle name="40% - Accent1 4 4 6 2 3" xfId="32270" xr:uid="{00000000-0005-0000-0000-000031540000}"/>
    <cellStyle name="40% - Accent1 4 4 6 3" xfId="15319" xr:uid="{00000000-0005-0000-0000-000032540000}"/>
    <cellStyle name="40% - Accent1 4 4 6 3 2" xfId="37921" xr:uid="{00000000-0005-0000-0000-000033540000}"/>
    <cellStyle name="40% - Accent1 4 4 6 4" xfId="26620" xr:uid="{00000000-0005-0000-0000-000034540000}"/>
    <cellStyle name="40% - Accent1 4 4 7" xfId="6636" xr:uid="{00000000-0005-0000-0000-000035540000}"/>
    <cellStyle name="40% - Accent1 4 4 7 2" xfId="17937" xr:uid="{00000000-0005-0000-0000-000036540000}"/>
    <cellStyle name="40% - Accent1 4 4 7 2 2" xfId="40539" xr:uid="{00000000-0005-0000-0000-000037540000}"/>
    <cellStyle name="40% - Accent1 4 4 7 3" xfId="29238" xr:uid="{00000000-0005-0000-0000-000038540000}"/>
    <cellStyle name="40% - Accent1 4 4 8" xfId="12287" xr:uid="{00000000-0005-0000-0000-000039540000}"/>
    <cellStyle name="40% - Accent1 4 4 8 2" xfId="34889" xr:uid="{00000000-0005-0000-0000-00003A540000}"/>
    <cellStyle name="40% - Accent1 4 4 9" xfId="23588" xr:uid="{00000000-0005-0000-0000-00003B540000}"/>
    <cellStyle name="40% - Accent1 4 5" xfId="513" xr:uid="{00000000-0005-0000-0000-00003C540000}"/>
    <cellStyle name="40% - Accent1 4 5 2" xfId="1282" xr:uid="{00000000-0005-0000-0000-00003D540000}"/>
    <cellStyle name="40% - Accent1 4 5 2 2" xfId="1838" xr:uid="{00000000-0005-0000-0000-00003E540000}"/>
    <cellStyle name="40% - Accent1 4 5 2 2 2" xfId="3351" xr:uid="{00000000-0005-0000-0000-00003F540000}"/>
    <cellStyle name="40% - Accent1 4 5 2 2 2 2" xfId="6323" xr:uid="{00000000-0005-0000-0000-000040540000}"/>
    <cellStyle name="40% - Accent1 4 5 2 2 2 2 2" xfId="11973" xr:uid="{00000000-0005-0000-0000-000041540000}"/>
    <cellStyle name="40% - Accent1 4 5 2 2 2 2 2 2" xfId="23274" xr:uid="{00000000-0005-0000-0000-000042540000}"/>
    <cellStyle name="40% - Accent1 4 5 2 2 2 2 2 2 2" xfId="45876" xr:uid="{00000000-0005-0000-0000-000043540000}"/>
    <cellStyle name="40% - Accent1 4 5 2 2 2 2 2 3" xfId="34575" xr:uid="{00000000-0005-0000-0000-000044540000}"/>
    <cellStyle name="40% - Accent1 4 5 2 2 2 2 3" xfId="17624" xr:uid="{00000000-0005-0000-0000-000045540000}"/>
    <cellStyle name="40% - Accent1 4 5 2 2 2 2 3 2" xfId="40226" xr:uid="{00000000-0005-0000-0000-000046540000}"/>
    <cellStyle name="40% - Accent1 4 5 2 2 2 2 4" xfId="28925" xr:uid="{00000000-0005-0000-0000-000047540000}"/>
    <cellStyle name="40% - Accent1 4 5 2 2 2 3" xfId="9141" xr:uid="{00000000-0005-0000-0000-000048540000}"/>
    <cellStyle name="40% - Accent1 4 5 2 2 2 3 2" xfId="20442" xr:uid="{00000000-0005-0000-0000-000049540000}"/>
    <cellStyle name="40% - Accent1 4 5 2 2 2 3 2 2" xfId="43044" xr:uid="{00000000-0005-0000-0000-00004A540000}"/>
    <cellStyle name="40% - Accent1 4 5 2 2 2 3 3" xfId="31743" xr:uid="{00000000-0005-0000-0000-00004B540000}"/>
    <cellStyle name="40% - Accent1 4 5 2 2 2 4" xfId="14792" xr:uid="{00000000-0005-0000-0000-00004C540000}"/>
    <cellStyle name="40% - Accent1 4 5 2 2 2 4 2" xfId="37394" xr:uid="{00000000-0005-0000-0000-00004D540000}"/>
    <cellStyle name="40% - Accent1 4 5 2 2 2 5" xfId="26093" xr:uid="{00000000-0005-0000-0000-00004E540000}"/>
    <cellStyle name="40% - Accent1 4 5 2 2 3" xfId="5089" xr:uid="{00000000-0005-0000-0000-00004F540000}"/>
    <cellStyle name="40% - Accent1 4 5 2 2 3 2" xfId="10739" xr:uid="{00000000-0005-0000-0000-000050540000}"/>
    <cellStyle name="40% - Accent1 4 5 2 2 3 2 2" xfId="22040" xr:uid="{00000000-0005-0000-0000-000051540000}"/>
    <cellStyle name="40% - Accent1 4 5 2 2 3 2 2 2" xfId="44642" xr:uid="{00000000-0005-0000-0000-000052540000}"/>
    <cellStyle name="40% - Accent1 4 5 2 2 3 2 3" xfId="33341" xr:uid="{00000000-0005-0000-0000-000053540000}"/>
    <cellStyle name="40% - Accent1 4 5 2 2 3 3" xfId="16390" xr:uid="{00000000-0005-0000-0000-000054540000}"/>
    <cellStyle name="40% - Accent1 4 5 2 2 3 3 2" xfId="38992" xr:uid="{00000000-0005-0000-0000-000055540000}"/>
    <cellStyle name="40% - Accent1 4 5 2 2 3 4" xfId="27691" xr:uid="{00000000-0005-0000-0000-000056540000}"/>
    <cellStyle name="40% - Accent1 4 5 2 2 4" xfId="7694" xr:uid="{00000000-0005-0000-0000-000057540000}"/>
    <cellStyle name="40% - Accent1 4 5 2 2 4 2" xfId="18995" xr:uid="{00000000-0005-0000-0000-000058540000}"/>
    <cellStyle name="40% - Accent1 4 5 2 2 4 2 2" xfId="41597" xr:uid="{00000000-0005-0000-0000-000059540000}"/>
    <cellStyle name="40% - Accent1 4 5 2 2 4 3" xfId="30296" xr:uid="{00000000-0005-0000-0000-00005A540000}"/>
    <cellStyle name="40% - Accent1 4 5 2 2 5" xfId="13345" xr:uid="{00000000-0005-0000-0000-00005B540000}"/>
    <cellStyle name="40% - Accent1 4 5 2 2 5 2" xfId="35947" xr:uid="{00000000-0005-0000-0000-00005C540000}"/>
    <cellStyle name="40% - Accent1 4 5 2 2 6" xfId="24646" xr:uid="{00000000-0005-0000-0000-00005D540000}"/>
    <cellStyle name="40% - Accent1 4 5 2 3" xfId="2680" xr:uid="{00000000-0005-0000-0000-00005E540000}"/>
    <cellStyle name="40% - Accent1 4 5 2 3 2" xfId="5699" xr:uid="{00000000-0005-0000-0000-00005F540000}"/>
    <cellStyle name="40% - Accent1 4 5 2 3 2 2" xfId="11349" xr:uid="{00000000-0005-0000-0000-000060540000}"/>
    <cellStyle name="40% - Accent1 4 5 2 3 2 2 2" xfId="22650" xr:uid="{00000000-0005-0000-0000-000061540000}"/>
    <cellStyle name="40% - Accent1 4 5 2 3 2 2 2 2" xfId="45252" xr:uid="{00000000-0005-0000-0000-000062540000}"/>
    <cellStyle name="40% - Accent1 4 5 2 3 2 2 3" xfId="33951" xr:uid="{00000000-0005-0000-0000-000063540000}"/>
    <cellStyle name="40% - Accent1 4 5 2 3 2 3" xfId="17000" xr:uid="{00000000-0005-0000-0000-000064540000}"/>
    <cellStyle name="40% - Accent1 4 5 2 3 2 3 2" xfId="39602" xr:uid="{00000000-0005-0000-0000-000065540000}"/>
    <cellStyle name="40% - Accent1 4 5 2 3 2 4" xfId="28301" xr:uid="{00000000-0005-0000-0000-000066540000}"/>
    <cellStyle name="40% - Accent1 4 5 2 3 3" xfId="8516" xr:uid="{00000000-0005-0000-0000-000067540000}"/>
    <cellStyle name="40% - Accent1 4 5 2 3 3 2" xfId="19817" xr:uid="{00000000-0005-0000-0000-000068540000}"/>
    <cellStyle name="40% - Accent1 4 5 2 3 3 2 2" xfId="42419" xr:uid="{00000000-0005-0000-0000-000069540000}"/>
    <cellStyle name="40% - Accent1 4 5 2 3 3 3" xfId="31118" xr:uid="{00000000-0005-0000-0000-00006A540000}"/>
    <cellStyle name="40% - Accent1 4 5 2 3 4" xfId="14167" xr:uid="{00000000-0005-0000-0000-00006B540000}"/>
    <cellStyle name="40% - Accent1 4 5 2 3 4 2" xfId="36769" xr:uid="{00000000-0005-0000-0000-00006C540000}"/>
    <cellStyle name="40% - Accent1 4 5 2 3 5" xfId="25468" xr:uid="{00000000-0005-0000-0000-00006D540000}"/>
    <cellStyle name="40% - Accent1 4 5 2 4" xfId="4465" xr:uid="{00000000-0005-0000-0000-00006E540000}"/>
    <cellStyle name="40% - Accent1 4 5 2 4 2" xfId="10115" xr:uid="{00000000-0005-0000-0000-00006F540000}"/>
    <cellStyle name="40% - Accent1 4 5 2 4 2 2" xfId="21416" xr:uid="{00000000-0005-0000-0000-000070540000}"/>
    <cellStyle name="40% - Accent1 4 5 2 4 2 2 2" xfId="44018" xr:uid="{00000000-0005-0000-0000-000071540000}"/>
    <cellStyle name="40% - Accent1 4 5 2 4 2 3" xfId="32717" xr:uid="{00000000-0005-0000-0000-000072540000}"/>
    <cellStyle name="40% - Accent1 4 5 2 4 3" xfId="15766" xr:uid="{00000000-0005-0000-0000-000073540000}"/>
    <cellStyle name="40% - Accent1 4 5 2 4 3 2" xfId="38368" xr:uid="{00000000-0005-0000-0000-000074540000}"/>
    <cellStyle name="40% - Accent1 4 5 2 4 4" xfId="27067" xr:uid="{00000000-0005-0000-0000-000075540000}"/>
    <cellStyle name="40% - Accent1 4 5 2 5" xfId="7261" xr:uid="{00000000-0005-0000-0000-000076540000}"/>
    <cellStyle name="40% - Accent1 4 5 2 5 2" xfId="18562" xr:uid="{00000000-0005-0000-0000-000077540000}"/>
    <cellStyle name="40% - Accent1 4 5 2 5 2 2" xfId="41164" xr:uid="{00000000-0005-0000-0000-000078540000}"/>
    <cellStyle name="40% - Accent1 4 5 2 5 3" xfId="29863" xr:uid="{00000000-0005-0000-0000-000079540000}"/>
    <cellStyle name="40% - Accent1 4 5 2 6" xfId="12912" xr:uid="{00000000-0005-0000-0000-00007A540000}"/>
    <cellStyle name="40% - Accent1 4 5 2 6 2" xfId="35514" xr:uid="{00000000-0005-0000-0000-00007B540000}"/>
    <cellStyle name="40% - Accent1 4 5 2 7" xfId="24213" xr:uid="{00000000-0005-0000-0000-00007C540000}"/>
    <cellStyle name="40% - Accent1 4 5 3" xfId="980" xr:uid="{00000000-0005-0000-0000-00007D540000}"/>
    <cellStyle name="40% - Accent1 4 5 3 2" xfId="3043" xr:uid="{00000000-0005-0000-0000-00007E540000}"/>
    <cellStyle name="40% - Accent1 4 5 3 2 2" xfId="6015" xr:uid="{00000000-0005-0000-0000-00007F540000}"/>
    <cellStyle name="40% - Accent1 4 5 3 2 2 2" xfId="11665" xr:uid="{00000000-0005-0000-0000-000080540000}"/>
    <cellStyle name="40% - Accent1 4 5 3 2 2 2 2" xfId="22966" xr:uid="{00000000-0005-0000-0000-000081540000}"/>
    <cellStyle name="40% - Accent1 4 5 3 2 2 2 2 2" xfId="45568" xr:uid="{00000000-0005-0000-0000-000082540000}"/>
    <cellStyle name="40% - Accent1 4 5 3 2 2 2 3" xfId="34267" xr:uid="{00000000-0005-0000-0000-000083540000}"/>
    <cellStyle name="40% - Accent1 4 5 3 2 2 3" xfId="17316" xr:uid="{00000000-0005-0000-0000-000084540000}"/>
    <cellStyle name="40% - Accent1 4 5 3 2 2 3 2" xfId="39918" xr:uid="{00000000-0005-0000-0000-000085540000}"/>
    <cellStyle name="40% - Accent1 4 5 3 2 2 4" xfId="28617" xr:uid="{00000000-0005-0000-0000-000086540000}"/>
    <cellStyle name="40% - Accent1 4 5 3 2 3" xfId="8833" xr:uid="{00000000-0005-0000-0000-000087540000}"/>
    <cellStyle name="40% - Accent1 4 5 3 2 3 2" xfId="20134" xr:uid="{00000000-0005-0000-0000-000088540000}"/>
    <cellStyle name="40% - Accent1 4 5 3 2 3 2 2" xfId="42736" xr:uid="{00000000-0005-0000-0000-000089540000}"/>
    <cellStyle name="40% - Accent1 4 5 3 2 3 3" xfId="31435" xr:uid="{00000000-0005-0000-0000-00008A540000}"/>
    <cellStyle name="40% - Accent1 4 5 3 2 4" xfId="14484" xr:uid="{00000000-0005-0000-0000-00008B540000}"/>
    <cellStyle name="40% - Accent1 4 5 3 2 4 2" xfId="37086" xr:uid="{00000000-0005-0000-0000-00008C540000}"/>
    <cellStyle name="40% - Accent1 4 5 3 2 5" xfId="25785" xr:uid="{00000000-0005-0000-0000-00008D540000}"/>
    <cellStyle name="40% - Accent1 4 5 3 3" xfId="4781" xr:uid="{00000000-0005-0000-0000-00008E540000}"/>
    <cellStyle name="40% - Accent1 4 5 3 3 2" xfId="10431" xr:uid="{00000000-0005-0000-0000-00008F540000}"/>
    <cellStyle name="40% - Accent1 4 5 3 3 2 2" xfId="21732" xr:uid="{00000000-0005-0000-0000-000090540000}"/>
    <cellStyle name="40% - Accent1 4 5 3 3 2 2 2" xfId="44334" xr:uid="{00000000-0005-0000-0000-000091540000}"/>
    <cellStyle name="40% - Accent1 4 5 3 3 2 3" xfId="33033" xr:uid="{00000000-0005-0000-0000-000092540000}"/>
    <cellStyle name="40% - Accent1 4 5 3 3 3" xfId="16082" xr:uid="{00000000-0005-0000-0000-000093540000}"/>
    <cellStyle name="40% - Accent1 4 5 3 3 3 2" xfId="38684" xr:uid="{00000000-0005-0000-0000-000094540000}"/>
    <cellStyle name="40% - Accent1 4 5 3 3 4" xfId="27383" xr:uid="{00000000-0005-0000-0000-000095540000}"/>
    <cellStyle name="40% - Accent1 4 5 3 4" xfId="6968" xr:uid="{00000000-0005-0000-0000-000096540000}"/>
    <cellStyle name="40% - Accent1 4 5 3 4 2" xfId="18269" xr:uid="{00000000-0005-0000-0000-000097540000}"/>
    <cellStyle name="40% - Accent1 4 5 3 4 2 2" xfId="40871" xr:uid="{00000000-0005-0000-0000-000098540000}"/>
    <cellStyle name="40% - Accent1 4 5 3 4 3" xfId="29570" xr:uid="{00000000-0005-0000-0000-000099540000}"/>
    <cellStyle name="40% - Accent1 4 5 3 5" xfId="12619" xr:uid="{00000000-0005-0000-0000-00009A540000}"/>
    <cellStyle name="40% - Accent1 4 5 3 5 2" xfId="35221" xr:uid="{00000000-0005-0000-0000-00009B540000}"/>
    <cellStyle name="40% - Accent1 4 5 3 6" xfId="23920" xr:uid="{00000000-0005-0000-0000-00009C540000}"/>
    <cellStyle name="40% - Accent1 4 5 4" xfId="1837" xr:uid="{00000000-0005-0000-0000-00009D540000}"/>
    <cellStyle name="40% - Accent1 4 5 4 2" xfId="3718" xr:uid="{00000000-0005-0000-0000-00009E540000}"/>
    <cellStyle name="40% - Accent1 4 5 4 2 2" xfId="9429" xr:uid="{00000000-0005-0000-0000-00009F540000}"/>
    <cellStyle name="40% - Accent1 4 5 4 2 2 2" xfId="20730" xr:uid="{00000000-0005-0000-0000-0000A0540000}"/>
    <cellStyle name="40% - Accent1 4 5 4 2 2 2 2" xfId="43332" xr:uid="{00000000-0005-0000-0000-0000A1540000}"/>
    <cellStyle name="40% - Accent1 4 5 4 2 2 3" xfId="32031" xr:uid="{00000000-0005-0000-0000-0000A2540000}"/>
    <cellStyle name="40% - Accent1 4 5 4 2 3" xfId="15080" xr:uid="{00000000-0005-0000-0000-0000A3540000}"/>
    <cellStyle name="40% - Accent1 4 5 4 2 3 2" xfId="37682" xr:uid="{00000000-0005-0000-0000-0000A4540000}"/>
    <cellStyle name="40% - Accent1 4 5 4 2 4" xfId="26381" xr:uid="{00000000-0005-0000-0000-0000A5540000}"/>
    <cellStyle name="40% - Accent1 4 5 4 3" xfId="5391" xr:uid="{00000000-0005-0000-0000-0000A6540000}"/>
    <cellStyle name="40% - Accent1 4 5 4 3 2" xfId="11041" xr:uid="{00000000-0005-0000-0000-0000A7540000}"/>
    <cellStyle name="40% - Accent1 4 5 4 3 2 2" xfId="22342" xr:uid="{00000000-0005-0000-0000-0000A8540000}"/>
    <cellStyle name="40% - Accent1 4 5 4 3 2 2 2" xfId="44944" xr:uid="{00000000-0005-0000-0000-0000A9540000}"/>
    <cellStyle name="40% - Accent1 4 5 4 3 2 3" xfId="33643" xr:uid="{00000000-0005-0000-0000-0000AA540000}"/>
    <cellStyle name="40% - Accent1 4 5 4 3 3" xfId="16692" xr:uid="{00000000-0005-0000-0000-0000AB540000}"/>
    <cellStyle name="40% - Accent1 4 5 4 3 3 2" xfId="39294" xr:uid="{00000000-0005-0000-0000-0000AC540000}"/>
    <cellStyle name="40% - Accent1 4 5 4 3 4" xfId="27993" xr:uid="{00000000-0005-0000-0000-0000AD540000}"/>
    <cellStyle name="40% - Accent1 4 5 4 4" xfId="7693" xr:uid="{00000000-0005-0000-0000-0000AE540000}"/>
    <cellStyle name="40% - Accent1 4 5 4 4 2" xfId="18994" xr:uid="{00000000-0005-0000-0000-0000AF540000}"/>
    <cellStyle name="40% - Accent1 4 5 4 4 2 2" xfId="41596" xr:uid="{00000000-0005-0000-0000-0000B0540000}"/>
    <cellStyle name="40% - Accent1 4 5 4 4 3" xfId="30295" xr:uid="{00000000-0005-0000-0000-0000B1540000}"/>
    <cellStyle name="40% - Accent1 4 5 4 5" xfId="13344" xr:uid="{00000000-0005-0000-0000-0000B2540000}"/>
    <cellStyle name="40% - Accent1 4 5 4 5 2" xfId="35946" xr:uid="{00000000-0005-0000-0000-0000B3540000}"/>
    <cellStyle name="40% - Accent1 4 5 4 6" xfId="24645" xr:uid="{00000000-0005-0000-0000-0000B4540000}"/>
    <cellStyle name="40% - Accent1 4 5 5" xfId="2372" xr:uid="{00000000-0005-0000-0000-0000B5540000}"/>
    <cellStyle name="40% - Accent1 4 5 5 2" xfId="8208" xr:uid="{00000000-0005-0000-0000-0000B6540000}"/>
    <cellStyle name="40% - Accent1 4 5 5 2 2" xfId="19509" xr:uid="{00000000-0005-0000-0000-0000B7540000}"/>
    <cellStyle name="40% - Accent1 4 5 5 2 2 2" xfId="42111" xr:uid="{00000000-0005-0000-0000-0000B8540000}"/>
    <cellStyle name="40% - Accent1 4 5 5 2 3" xfId="30810" xr:uid="{00000000-0005-0000-0000-0000B9540000}"/>
    <cellStyle name="40% - Accent1 4 5 5 3" xfId="13859" xr:uid="{00000000-0005-0000-0000-0000BA540000}"/>
    <cellStyle name="40% - Accent1 4 5 5 3 2" xfId="36461" xr:uid="{00000000-0005-0000-0000-0000BB540000}"/>
    <cellStyle name="40% - Accent1 4 5 5 4" xfId="25160" xr:uid="{00000000-0005-0000-0000-0000BC540000}"/>
    <cellStyle name="40% - Accent1 4 5 6" xfId="4157" xr:uid="{00000000-0005-0000-0000-0000BD540000}"/>
    <cellStyle name="40% - Accent1 4 5 6 2" xfId="9807" xr:uid="{00000000-0005-0000-0000-0000BE540000}"/>
    <cellStyle name="40% - Accent1 4 5 6 2 2" xfId="21108" xr:uid="{00000000-0005-0000-0000-0000BF540000}"/>
    <cellStyle name="40% - Accent1 4 5 6 2 2 2" xfId="43710" xr:uid="{00000000-0005-0000-0000-0000C0540000}"/>
    <cellStyle name="40% - Accent1 4 5 6 2 3" xfId="32409" xr:uid="{00000000-0005-0000-0000-0000C1540000}"/>
    <cellStyle name="40% - Accent1 4 5 6 3" xfId="15458" xr:uid="{00000000-0005-0000-0000-0000C2540000}"/>
    <cellStyle name="40% - Accent1 4 5 6 3 2" xfId="38060" xr:uid="{00000000-0005-0000-0000-0000C3540000}"/>
    <cellStyle name="40% - Accent1 4 5 6 4" xfId="26759" xr:uid="{00000000-0005-0000-0000-0000C4540000}"/>
    <cellStyle name="40% - Accent1 4 5 7" xfId="6608" xr:uid="{00000000-0005-0000-0000-0000C5540000}"/>
    <cellStyle name="40% - Accent1 4 5 7 2" xfId="17909" xr:uid="{00000000-0005-0000-0000-0000C6540000}"/>
    <cellStyle name="40% - Accent1 4 5 7 2 2" xfId="40511" xr:uid="{00000000-0005-0000-0000-0000C7540000}"/>
    <cellStyle name="40% - Accent1 4 5 7 3" xfId="29210" xr:uid="{00000000-0005-0000-0000-0000C8540000}"/>
    <cellStyle name="40% - Accent1 4 5 8" xfId="12259" xr:uid="{00000000-0005-0000-0000-0000C9540000}"/>
    <cellStyle name="40% - Accent1 4 5 8 2" xfId="34861" xr:uid="{00000000-0005-0000-0000-0000CA540000}"/>
    <cellStyle name="40% - Accent1 4 5 9" xfId="23560" xr:uid="{00000000-0005-0000-0000-0000CB540000}"/>
    <cellStyle name="40% - Accent1 4 6" xfId="1115" xr:uid="{00000000-0005-0000-0000-0000CC540000}"/>
    <cellStyle name="40% - Accent1 4 6 2" xfId="1839" xr:uid="{00000000-0005-0000-0000-0000CD540000}"/>
    <cellStyle name="40% - Accent1 4 6 2 2" xfId="3182" xr:uid="{00000000-0005-0000-0000-0000CE540000}"/>
    <cellStyle name="40% - Accent1 4 6 2 2 2" xfId="6154" xr:uid="{00000000-0005-0000-0000-0000CF540000}"/>
    <cellStyle name="40% - Accent1 4 6 2 2 2 2" xfId="11804" xr:uid="{00000000-0005-0000-0000-0000D0540000}"/>
    <cellStyle name="40% - Accent1 4 6 2 2 2 2 2" xfId="23105" xr:uid="{00000000-0005-0000-0000-0000D1540000}"/>
    <cellStyle name="40% - Accent1 4 6 2 2 2 2 2 2" xfId="45707" xr:uid="{00000000-0005-0000-0000-0000D2540000}"/>
    <cellStyle name="40% - Accent1 4 6 2 2 2 2 3" xfId="34406" xr:uid="{00000000-0005-0000-0000-0000D3540000}"/>
    <cellStyle name="40% - Accent1 4 6 2 2 2 3" xfId="17455" xr:uid="{00000000-0005-0000-0000-0000D4540000}"/>
    <cellStyle name="40% - Accent1 4 6 2 2 2 3 2" xfId="40057" xr:uid="{00000000-0005-0000-0000-0000D5540000}"/>
    <cellStyle name="40% - Accent1 4 6 2 2 2 4" xfId="28756" xr:uid="{00000000-0005-0000-0000-0000D6540000}"/>
    <cellStyle name="40% - Accent1 4 6 2 2 3" xfId="8972" xr:uid="{00000000-0005-0000-0000-0000D7540000}"/>
    <cellStyle name="40% - Accent1 4 6 2 2 3 2" xfId="20273" xr:uid="{00000000-0005-0000-0000-0000D8540000}"/>
    <cellStyle name="40% - Accent1 4 6 2 2 3 2 2" xfId="42875" xr:uid="{00000000-0005-0000-0000-0000D9540000}"/>
    <cellStyle name="40% - Accent1 4 6 2 2 3 3" xfId="31574" xr:uid="{00000000-0005-0000-0000-0000DA540000}"/>
    <cellStyle name="40% - Accent1 4 6 2 2 4" xfId="14623" xr:uid="{00000000-0005-0000-0000-0000DB540000}"/>
    <cellStyle name="40% - Accent1 4 6 2 2 4 2" xfId="37225" xr:uid="{00000000-0005-0000-0000-0000DC540000}"/>
    <cellStyle name="40% - Accent1 4 6 2 2 5" xfId="25924" xr:uid="{00000000-0005-0000-0000-0000DD540000}"/>
    <cellStyle name="40% - Accent1 4 6 2 3" xfId="4920" xr:uid="{00000000-0005-0000-0000-0000DE540000}"/>
    <cellStyle name="40% - Accent1 4 6 2 3 2" xfId="10570" xr:uid="{00000000-0005-0000-0000-0000DF540000}"/>
    <cellStyle name="40% - Accent1 4 6 2 3 2 2" xfId="21871" xr:uid="{00000000-0005-0000-0000-0000E0540000}"/>
    <cellStyle name="40% - Accent1 4 6 2 3 2 2 2" xfId="44473" xr:uid="{00000000-0005-0000-0000-0000E1540000}"/>
    <cellStyle name="40% - Accent1 4 6 2 3 2 3" xfId="33172" xr:uid="{00000000-0005-0000-0000-0000E2540000}"/>
    <cellStyle name="40% - Accent1 4 6 2 3 3" xfId="16221" xr:uid="{00000000-0005-0000-0000-0000E3540000}"/>
    <cellStyle name="40% - Accent1 4 6 2 3 3 2" xfId="38823" xr:uid="{00000000-0005-0000-0000-0000E4540000}"/>
    <cellStyle name="40% - Accent1 4 6 2 3 4" xfId="27522" xr:uid="{00000000-0005-0000-0000-0000E5540000}"/>
    <cellStyle name="40% - Accent1 4 6 2 4" xfId="7695" xr:uid="{00000000-0005-0000-0000-0000E6540000}"/>
    <cellStyle name="40% - Accent1 4 6 2 4 2" xfId="18996" xr:uid="{00000000-0005-0000-0000-0000E7540000}"/>
    <cellStyle name="40% - Accent1 4 6 2 4 2 2" xfId="41598" xr:uid="{00000000-0005-0000-0000-0000E8540000}"/>
    <cellStyle name="40% - Accent1 4 6 2 4 3" xfId="30297" xr:uid="{00000000-0005-0000-0000-0000E9540000}"/>
    <cellStyle name="40% - Accent1 4 6 2 5" xfId="13346" xr:uid="{00000000-0005-0000-0000-0000EA540000}"/>
    <cellStyle name="40% - Accent1 4 6 2 5 2" xfId="35948" xr:uid="{00000000-0005-0000-0000-0000EB540000}"/>
    <cellStyle name="40% - Accent1 4 6 2 6" xfId="24647" xr:uid="{00000000-0005-0000-0000-0000EC540000}"/>
    <cellStyle name="40% - Accent1 4 6 3" xfId="2511" xr:uid="{00000000-0005-0000-0000-0000ED540000}"/>
    <cellStyle name="40% - Accent1 4 6 3 2" xfId="5530" xr:uid="{00000000-0005-0000-0000-0000EE540000}"/>
    <cellStyle name="40% - Accent1 4 6 3 2 2" xfId="11180" xr:uid="{00000000-0005-0000-0000-0000EF540000}"/>
    <cellStyle name="40% - Accent1 4 6 3 2 2 2" xfId="22481" xr:uid="{00000000-0005-0000-0000-0000F0540000}"/>
    <cellStyle name="40% - Accent1 4 6 3 2 2 2 2" xfId="45083" xr:uid="{00000000-0005-0000-0000-0000F1540000}"/>
    <cellStyle name="40% - Accent1 4 6 3 2 2 3" xfId="33782" xr:uid="{00000000-0005-0000-0000-0000F2540000}"/>
    <cellStyle name="40% - Accent1 4 6 3 2 3" xfId="16831" xr:uid="{00000000-0005-0000-0000-0000F3540000}"/>
    <cellStyle name="40% - Accent1 4 6 3 2 3 2" xfId="39433" xr:uid="{00000000-0005-0000-0000-0000F4540000}"/>
    <cellStyle name="40% - Accent1 4 6 3 2 4" xfId="28132" xr:uid="{00000000-0005-0000-0000-0000F5540000}"/>
    <cellStyle name="40% - Accent1 4 6 3 3" xfId="8347" xr:uid="{00000000-0005-0000-0000-0000F6540000}"/>
    <cellStyle name="40% - Accent1 4 6 3 3 2" xfId="19648" xr:uid="{00000000-0005-0000-0000-0000F7540000}"/>
    <cellStyle name="40% - Accent1 4 6 3 3 2 2" xfId="42250" xr:uid="{00000000-0005-0000-0000-0000F8540000}"/>
    <cellStyle name="40% - Accent1 4 6 3 3 3" xfId="30949" xr:uid="{00000000-0005-0000-0000-0000F9540000}"/>
    <cellStyle name="40% - Accent1 4 6 3 4" xfId="13998" xr:uid="{00000000-0005-0000-0000-0000FA540000}"/>
    <cellStyle name="40% - Accent1 4 6 3 4 2" xfId="36600" xr:uid="{00000000-0005-0000-0000-0000FB540000}"/>
    <cellStyle name="40% - Accent1 4 6 3 5" xfId="25299" xr:uid="{00000000-0005-0000-0000-0000FC540000}"/>
    <cellStyle name="40% - Accent1 4 6 4" xfId="4296" xr:uid="{00000000-0005-0000-0000-0000FD540000}"/>
    <cellStyle name="40% - Accent1 4 6 4 2" xfId="9946" xr:uid="{00000000-0005-0000-0000-0000FE540000}"/>
    <cellStyle name="40% - Accent1 4 6 4 2 2" xfId="21247" xr:uid="{00000000-0005-0000-0000-0000FF540000}"/>
    <cellStyle name="40% - Accent1 4 6 4 2 2 2" xfId="43849" xr:uid="{00000000-0005-0000-0000-000000550000}"/>
    <cellStyle name="40% - Accent1 4 6 4 2 3" xfId="32548" xr:uid="{00000000-0005-0000-0000-000001550000}"/>
    <cellStyle name="40% - Accent1 4 6 4 3" xfId="15597" xr:uid="{00000000-0005-0000-0000-000002550000}"/>
    <cellStyle name="40% - Accent1 4 6 4 3 2" xfId="38199" xr:uid="{00000000-0005-0000-0000-000003550000}"/>
    <cellStyle name="40% - Accent1 4 6 4 4" xfId="26898" xr:uid="{00000000-0005-0000-0000-000004550000}"/>
    <cellStyle name="40% - Accent1 4 6 5" xfId="7094" xr:uid="{00000000-0005-0000-0000-000005550000}"/>
    <cellStyle name="40% - Accent1 4 6 5 2" xfId="18395" xr:uid="{00000000-0005-0000-0000-000006550000}"/>
    <cellStyle name="40% - Accent1 4 6 5 2 2" xfId="40997" xr:uid="{00000000-0005-0000-0000-000007550000}"/>
    <cellStyle name="40% - Accent1 4 6 5 3" xfId="29696" xr:uid="{00000000-0005-0000-0000-000008550000}"/>
    <cellStyle name="40% - Accent1 4 6 6" xfId="12745" xr:uid="{00000000-0005-0000-0000-000009550000}"/>
    <cellStyle name="40% - Accent1 4 6 6 2" xfId="35347" xr:uid="{00000000-0005-0000-0000-00000A550000}"/>
    <cellStyle name="40% - Accent1 4 6 7" xfId="24046" xr:uid="{00000000-0005-0000-0000-00000B550000}"/>
    <cellStyle name="40% - Accent1 4 7" xfId="779" xr:uid="{00000000-0005-0000-0000-00000C550000}"/>
    <cellStyle name="40% - Accent1 4 7 2" xfId="2876" xr:uid="{00000000-0005-0000-0000-00000D550000}"/>
    <cellStyle name="40% - Accent1 4 7 2 2" xfId="5848" xr:uid="{00000000-0005-0000-0000-00000E550000}"/>
    <cellStyle name="40% - Accent1 4 7 2 2 2" xfId="11498" xr:uid="{00000000-0005-0000-0000-00000F550000}"/>
    <cellStyle name="40% - Accent1 4 7 2 2 2 2" xfId="22799" xr:uid="{00000000-0005-0000-0000-000010550000}"/>
    <cellStyle name="40% - Accent1 4 7 2 2 2 2 2" xfId="45401" xr:uid="{00000000-0005-0000-0000-000011550000}"/>
    <cellStyle name="40% - Accent1 4 7 2 2 2 3" xfId="34100" xr:uid="{00000000-0005-0000-0000-000012550000}"/>
    <cellStyle name="40% - Accent1 4 7 2 2 3" xfId="17149" xr:uid="{00000000-0005-0000-0000-000013550000}"/>
    <cellStyle name="40% - Accent1 4 7 2 2 3 2" xfId="39751" xr:uid="{00000000-0005-0000-0000-000014550000}"/>
    <cellStyle name="40% - Accent1 4 7 2 2 4" xfId="28450" xr:uid="{00000000-0005-0000-0000-000015550000}"/>
    <cellStyle name="40% - Accent1 4 7 2 3" xfId="8666" xr:uid="{00000000-0005-0000-0000-000016550000}"/>
    <cellStyle name="40% - Accent1 4 7 2 3 2" xfId="19967" xr:uid="{00000000-0005-0000-0000-000017550000}"/>
    <cellStyle name="40% - Accent1 4 7 2 3 2 2" xfId="42569" xr:uid="{00000000-0005-0000-0000-000018550000}"/>
    <cellStyle name="40% - Accent1 4 7 2 3 3" xfId="31268" xr:uid="{00000000-0005-0000-0000-000019550000}"/>
    <cellStyle name="40% - Accent1 4 7 2 4" xfId="14317" xr:uid="{00000000-0005-0000-0000-00001A550000}"/>
    <cellStyle name="40% - Accent1 4 7 2 4 2" xfId="36919" xr:uid="{00000000-0005-0000-0000-00001B550000}"/>
    <cellStyle name="40% - Accent1 4 7 2 5" xfId="25618" xr:uid="{00000000-0005-0000-0000-00001C550000}"/>
    <cellStyle name="40% - Accent1 4 7 3" xfId="4614" xr:uid="{00000000-0005-0000-0000-00001D550000}"/>
    <cellStyle name="40% - Accent1 4 7 3 2" xfId="10264" xr:uid="{00000000-0005-0000-0000-00001E550000}"/>
    <cellStyle name="40% - Accent1 4 7 3 2 2" xfId="21565" xr:uid="{00000000-0005-0000-0000-00001F550000}"/>
    <cellStyle name="40% - Accent1 4 7 3 2 2 2" xfId="44167" xr:uid="{00000000-0005-0000-0000-000020550000}"/>
    <cellStyle name="40% - Accent1 4 7 3 2 3" xfId="32866" xr:uid="{00000000-0005-0000-0000-000021550000}"/>
    <cellStyle name="40% - Accent1 4 7 3 3" xfId="15915" xr:uid="{00000000-0005-0000-0000-000022550000}"/>
    <cellStyle name="40% - Accent1 4 7 3 3 2" xfId="38517" xr:uid="{00000000-0005-0000-0000-000023550000}"/>
    <cellStyle name="40% - Accent1 4 7 3 4" xfId="27216" xr:uid="{00000000-0005-0000-0000-000024550000}"/>
    <cellStyle name="40% - Accent1 4 7 4" xfId="6796" xr:uid="{00000000-0005-0000-0000-000025550000}"/>
    <cellStyle name="40% - Accent1 4 7 4 2" xfId="18097" xr:uid="{00000000-0005-0000-0000-000026550000}"/>
    <cellStyle name="40% - Accent1 4 7 4 2 2" xfId="40699" xr:uid="{00000000-0005-0000-0000-000027550000}"/>
    <cellStyle name="40% - Accent1 4 7 4 3" xfId="29398" xr:uid="{00000000-0005-0000-0000-000028550000}"/>
    <cellStyle name="40% - Accent1 4 7 5" xfId="12447" xr:uid="{00000000-0005-0000-0000-000029550000}"/>
    <cellStyle name="40% - Accent1 4 7 5 2" xfId="35049" xr:uid="{00000000-0005-0000-0000-00002A550000}"/>
    <cellStyle name="40% - Accent1 4 7 6" xfId="23748" xr:uid="{00000000-0005-0000-0000-00002B550000}"/>
    <cellStyle name="40% - Accent1 4 8" xfId="1826" xr:uid="{00000000-0005-0000-0000-00002C550000}"/>
    <cellStyle name="40% - Accent1 4 8 2" xfId="3712" xr:uid="{00000000-0005-0000-0000-00002D550000}"/>
    <cellStyle name="40% - Accent1 4 8 2 2" xfId="9423" xr:uid="{00000000-0005-0000-0000-00002E550000}"/>
    <cellStyle name="40% - Accent1 4 8 2 2 2" xfId="20724" xr:uid="{00000000-0005-0000-0000-00002F550000}"/>
    <cellStyle name="40% - Accent1 4 8 2 2 2 2" xfId="43326" xr:uid="{00000000-0005-0000-0000-000030550000}"/>
    <cellStyle name="40% - Accent1 4 8 2 2 3" xfId="32025" xr:uid="{00000000-0005-0000-0000-000031550000}"/>
    <cellStyle name="40% - Accent1 4 8 2 3" xfId="15074" xr:uid="{00000000-0005-0000-0000-000032550000}"/>
    <cellStyle name="40% - Accent1 4 8 2 3 2" xfId="37676" xr:uid="{00000000-0005-0000-0000-000033550000}"/>
    <cellStyle name="40% - Accent1 4 8 2 4" xfId="26375" xr:uid="{00000000-0005-0000-0000-000034550000}"/>
    <cellStyle name="40% - Accent1 4 8 3" xfId="5224" xr:uid="{00000000-0005-0000-0000-000035550000}"/>
    <cellStyle name="40% - Accent1 4 8 3 2" xfId="10874" xr:uid="{00000000-0005-0000-0000-000036550000}"/>
    <cellStyle name="40% - Accent1 4 8 3 2 2" xfId="22175" xr:uid="{00000000-0005-0000-0000-000037550000}"/>
    <cellStyle name="40% - Accent1 4 8 3 2 2 2" xfId="44777" xr:uid="{00000000-0005-0000-0000-000038550000}"/>
    <cellStyle name="40% - Accent1 4 8 3 2 3" xfId="33476" xr:uid="{00000000-0005-0000-0000-000039550000}"/>
    <cellStyle name="40% - Accent1 4 8 3 3" xfId="16525" xr:uid="{00000000-0005-0000-0000-00003A550000}"/>
    <cellStyle name="40% - Accent1 4 8 3 3 2" xfId="39127" xr:uid="{00000000-0005-0000-0000-00003B550000}"/>
    <cellStyle name="40% - Accent1 4 8 3 4" xfId="27826" xr:uid="{00000000-0005-0000-0000-00003C550000}"/>
    <cellStyle name="40% - Accent1 4 8 4" xfId="7682" xr:uid="{00000000-0005-0000-0000-00003D550000}"/>
    <cellStyle name="40% - Accent1 4 8 4 2" xfId="18983" xr:uid="{00000000-0005-0000-0000-00003E550000}"/>
    <cellStyle name="40% - Accent1 4 8 4 2 2" xfId="41585" xr:uid="{00000000-0005-0000-0000-00003F550000}"/>
    <cellStyle name="40% - Accent1 4 8 4 3" xfId="30284" xr:uid="{00000000-0005-0000-0000-000040550000}"/>
    <cellStyle name="40% - Accent1 4 8 5" xfId="13333" xr:uid="{00000000-0005-0000-0000-000041550000}"/>
    <cellStyle name="40% - Accent1 4 8 5 2" xfId="35935" xr:uid="{00000000-0005-0000-0000-000042550000}"/>
    <cellStyle name="40% - Accent1 4 8 6" xfId="24634" xr:uid="{00000000-0005-0000-0000-000043550000}"/>
    <cellStyle name="40% - Accent1 4 9" xfId="2195" xr:uid="{00000000-0005-0000-0000-000044550000}"/>
    <cellStyle name="40% - Accent1 4 9 2" xfId="8038" xr:uid="{00000000-0005-0000-0000-000045550000}"/>
    <cellStyle name="40% - Accent1 4 9 2 2" xfId="19339" xr:uid="{00000000-0005-0000-0000-000046550000}"/>
    <cellStyle name="40% - Accent1 4 9 2 2 2" xfId="41941" xr:uid="{00000000-0005-0000-0000-000047550000}"/>
    <cellStyle name="40% - Accent1 4 9 2 3" xfId="30640" xr:uid="{00000000-0005-0000-0000-000048550000}"/>
    <cellStyle name="40% - Accent1 4 9 3" xfId="13689" xr:uid="{00000000-0005-0000-0000-000049550000}"/>
    <cellStyle name="40% - Accent1 4 9 3 2" xfId="36291" xr:uid="{00000000-0005-0000-0000-00004A550000}"/>
    <cellStyle name="40% - Accent1 4 9 4" xfId="24990" xr:uid="{00000000-0005-0000-0000-00004B550000}"/>
    <cellStyle name="40% - Accent1 5" xfId="266" xr:uid="{00000000-0005-0000-0000-00004C550000}"/>
    <cellStyle name="40% - Accent1 5 10" xfId="12132" xr:uid="{00000000-0005-0000-0000-00004D550000}"/>
    <cellStyle name="40% - Accent1 5 10 2" xfId="34734" xr:uid="{00000000-0005-0000-0000-00004E550000}"/>
    <cellStyle name="40% - Accent1 5 11" xfId="23433" xr:uid="{00000000-0005-0000-0000-00004F550000}"/>
    <cellStyle name="40% - Accent1 5 2" xfId="434" xr:uid="{00000000-0005-0000-0000-000050550000}"/>
    <cellStyle name="40% - Accent1 5 2 10" xfId="23529" xr:uid="{00000000-0005-0000-0000-000051550000}"/>
    <cellStyle name="40% - Accent1 5 2 2" xfId="679" xr:uid="{00000000-0005-0000-0000-000052550000}"/>
    <cellStyle name="40% - Accent1 5 2 2 2" xfId="1389" xr:uid="{00000000-0005-0000-0000-000053550000}"/>
    <cellStyle name="40% - Accent1 5 2 2 2 2" xfId="1843" xr:uid="{00000000-0005-0000-0000-000054550000}"/>
    <cellStyle name="40% - Accent1 5 2 2 2 2 2" xfId="3458" xr:uid="{00000000-0005-0000-0000-000055550000}"/>
    <cellStyle name="40% - Accent1 5 2 2 2 2 2 2" xfId="6430" xr:uid="{00000000-0005-0000-0000-000056550000}"/>
    <cellStyle name="40% - Accent1 5 2 2 2 2 2 2 2" xfId="12080" xr:uid="{00000000-0005-0000-0000-000057550000}"/>
    <cellStyle name="40% - Accent1 5 2 2 2 2 2 2 2 2" xfId="23381" xr:uid="{00000000-0005-0000-0000-000058550000}"/>
    <cellStyle name="40% - Accent1 5 2 2 2 2 2 2 2 2 2" xfId="45983" xr:uid="{00000000-0005-0000-0000-000059550000}"/>
    <cellStyle name="40% - Accent1 5 2 2 2 2 2 2 2 3" xfId="34682" xr:uid="{00000000-0005-0000-0000-00005A550000}"/>
    <cellStyle name="40% - Accent1 5 2 2 2 2 2 2 3" xfId="17731" xr:uid="{00000000-0005-0000-0000-00005B550000}"/>
    <cellStyle name="40% - Accent1 5 2 2 2 2 2 2 3 2" xfId="40333" xr:uid="{00000000-0005-0000-0000-00005C550000}"/>
    <cellStyle name="40% - Accent1 5 2 2 2 2 2 2 4" xfId="29032" xr:uid="{00000000-0005-0000-0000-00005D550000}"/>
    <cellStyle name="40% - Accent1 5 2 2 2 2 2 3" xfId="9248" xr:uid="{00000000-0005-0000-0000-00005E550000}"/>
    <cellStyle name="40% - Accent1 5 2 2 2 2 2 3 2" xfId="20549" xr:uid="{00000000-0005-0000-0000-00005F550000}"/>
    <cellStyle name="40% - Accent1 5 2 2 2 2 2 3 2 2" xfId="43151" xr:uid="{00000000-0005-0000-0000-000060550000}"/>
    <cellStyle name="40% - Accent1 5 2 2 2 2 2 3 3" xfId="31850" xr:uid="{00000000-0005-0000-0000-000061550000}"/>
    <cellStyle name="40% - Accent1 5 2 2 2 2 2 4" xfId="14899" xr:uid="{00000000-0005-0000-0000-000062550000}"/>
    <cellStyle name="40% - Accent1 5 2 2 2 2 2 4 2" xfId="37501" xr:uid="{00000000-0005-0000-0000-000063550000}"/>
    <cellStyle name="40% - Accent1 5 2 2 2 2 2 5" xfId="26200" xr:uid="{00000000-0005-0000-0000-000064550000}"/>
    <cellStyle name="40% - Accent1 5 2 2 2 2 3" xfId="5196" xr:uid="{00000000-0005-0000-0000-000065550000}"/>
    <cellStyle name="40% - Accent1 5 2 2 2 2 3 2" xfId="10846" xr:uid="{00000000-0005-0000-0000-000066550000}"/>
    <cellStyle name="40% - Accent1 5 2 2 2 2 3 2 2" xfId="22147" xr:uid="{00000000-0005-0000-0000-000067550000}"/>
    <cellStyle name="40% - Accent1 5 2 2 2 2 3 2 2 2" xfId="44749" xr:uid="{00000000-0005-0000-0000-000068550000}"/>
    <cellStyle name="40% - Accent1 5 2 2 2 2 3 2 3" xfId="33448" xr:uid="{00000000-0005-0000-0000-000069550000}"/>
    <cellStyle name="40% - Accent1 5 2 2 2 2 3 3" xfId="16497" xr:uid="{00000000-0005-0000-0000-00006A550000}"/>
    <cellStyle name="40% - Accent1 5 2 2 2 2 3 3 2" xfId="39099" xr:uid="{00000000-0005-0000-0000-00006B550000}"/>
    <cellStyle name="40% - Accent1 5 2 2 2 2 3 4" xfId="27798" xr:uid="{00000000-0005-0000-0000-00006C550000}"/>
    <cellStyle name="40% - Accent1 5 2 2 2 2 4" xfId="7699" xr:uid="{00000000-0005-0000-0000-00006D550000}"/>
    <cellStyle name="40% - Accent1 5 2 2 2 2 4 2" xfId="19000" xr:uid="{00000000-0005-0000-0000-00006E550000}"/>
    <cellStyle name="40% - Accent1 5 2 2 2 2 4 2 2" xfId="41602" xr:uid="{00000000-0005-0000-0000-00006F550000}"/>
    <cellStyle name="40% - Accent1 5 2 2 2 2 4 3" xfId="30301" xr:uid="{00000000-0005-0000-0000-000070550000}"/>
    <cellStyle name="40% - Accent1 5 2 2 2 2 5" xfId="13350" xr:uid="{00000000-0005-0000-0000-000071550000}"/>
    <cellStyle name="40% - Accent1 5 2 2 2 2 5 2" xfId="35952" xr:uid="{00000000-0005-0000-0000-000072550000}"/>
    <cellStyle name="40% - Accent1 5 2 2 2 2 6" xfId="24651" xr:uid="{00000000-0005-0000-0000-000073550000}"/>
    <cellStyle name="40% - Accent1 5 2 2 2 3" xfId="2787" xr:uid="{00000000-0005-0000-0000-000074550000}"/>
    <cellStyle name="40% - Accent1 5 2 2 2 3 2" xfId="5806" xr:uid="{00000000-0005-0000-0000-000075550000}"/>
    <cellStyle name="40% - Accent1 5 2 2 2 3 2 2" xfId="11456" xr:uid="{00000000-0005-0000-0000-000076550000}"/>
    <cellStyle name="40% - Accent1 5 2 2 2 3 2 2 2" xfId="22757" xr:uid="{00000000-0005-0000-0000-000077550000}"/>
    <cellStyle name="40% - Accent1 5 2 2 2 3 2 2 2 2" xfId="45359" xr:uid="{00000000-0005-0000-0000-000078550000}"/>
    <cellStyle name="40% - Accent1 5 2 2 2 3 2 2 3" xfId="34058" xr:uid="{00000000-0005-0000-0000-000079550000}"/>
    <cellStyle name="40% - Accent1 5 2 2 2 3 2 3" xfId="17107" xr:uid="{00000000-0005-0000-0000-00007A550000}"/>
    <cellStyle name="40% - Accent1 5 2 2 2 3 2 3 2" xfId="39709" xr:uid="{00000000-0005-0000-0000-00007B550000}"/>
    <cellStyle name="40% - Accent1 5 2 2 2 3 2 4" xfId="28408" xr:uid="{00000000-0005-0000-0000-00007C550000}"/>
    <cellStyle name="40% - Accent1 5 2 2 2 3 3" xfId="8623" xr:uid="{00000000-0005-0000-0000-00007D550000}"/>
    <cellStyle name="40% - Accent1 5 2 2 2 3 3 2" xfId="19924" xr:uid="{00000000-0005-0000-0000-00007E550000}"/>
    <cellStyle name="40% - Accent1 5 2 2 2 3 3 2 2" xfId="42526" xr:uid="{00000000-0005-0000-0000-00007F550000}"/>
    <cellStyle name="40% - Accent1 5 2 2 2 3 3 3" xfId="31225" xr:uid="{00000000-0005-0000-0000-000080550000}"/>
    <cellStyle name="40% - Accent1 5 2 2 2 3 4" xfId="14274" xr:uid="{00000000-0005-0000-0000-000081550000}"/>
    <cellStyle name="40% - Accent1 5 2 2 2 3 4 2" xfId="36876" xr:uid="{00000000-0005-0000-0000-000082550000}"/>
    <cellStyle name="40% - Accent1 5 2 2 2 3 5" xfId="25575" xr:uid="{00000000-0005-0000-0000-000083550000}"/>
    <cellStyle name="40% - Accent1 5 2 2 2 4" xfId="4572" xr:uid="{00000000-0005-0000-0000-000084550000}"/>
    <cellStyle name="40% - Accent1 5 2 2 2 4 2" xfId="10222" xr:uid="{00000000-0005-0000-0000-000085550000}"/>
    <cellStyle name="40% - Accent1 5 2 2 2 4 2 2" xfId="21523" xr:uid="{00000000-0005-0000-0000-000086550000}"/>
    <cellStyle name="40% - Accent1 5 2 2 2 4 2 2 2" xfId="44125" xr:uid="{00000000-0005-0000-0000-000087550000}"/>
    <cellStyle name="40% - Accent1 5 2 2 2 4 2 3" xfId="32824" xr:uid="{00000000-0005-0000-0000-000088550000}"/>
    <cellStyle name="40% - Accent1 5 2 2 2 4 3" xfId="15873" xr:uid="{00000000-0005-0000-0000-000089550000}"/>
    <cellStyle name="40% - Accent1 5 2 2 2 4 3 2" xfId="38475" xr:uid="{00000000-0005-0000-0000-00008A550000}"/>
    <cellStyle name="40% - Accent1 5 2 2 2 4 4" xfId="27174" xr:uid="{00000000-0005-0000-0000-00008B550000}"/>
    <cellStyle name="40% - Accent1 5 2 2 2 5" xfId="7368" xr:uid="{00000000-0005-0000-0000-00008C550000}"/>
    <cellStyle name="40% - Accent1 5 2 2 2 5 2" xfId="18669" xr:uid="{00000000-0005-0000-0000-00008D550000}"/>
    <cellStyle name="40% - Accent1 5 2 2 2 5 2 2" xfId="41271" xr:uid="{00000000-0005-0000-0000-00008E550000}"/>
    <cellStyle name="40% - Accent1 5 2 2 2 5 3" xfId="29970" xr:uid="{00000000-0005-0000-0000-00008F550000}"/>
    <cellStyle name="40% - Accent1 5 2 2 2 6" xfId="13019" xr:uid="{00000000-0005-0000-0000-000090550000}"/>
    <cellStyle name="40% - Accent1 5 2 2 2 6 2" xfId="35621" xr:uid="{00000000-0005-0000-0000-000091550000}"/>
    <cellStyle name="40% - Accent1 5 2 2 2 7" xfId="24320" xr:uid="{00000000-0005-0000-0000-000092550000}"/>
    <cellStyle name="40% - Accent1 5 2 2 3" xfId="1087" xr:uid="{00000000-0005-0000-0000-000093550000}"/>
    <cellStyle name="40% - Accent1 5 2 2 3 2" xfId="3150" xr:uid="{00000000-0005-0000-0000-000094550000}"/>
    <cellStyle name="40% - Accent1 5 2 2 3 2 2" xfId="6122" xr:uid="{00000000-0005-0000-0000-000095550000}"/>
    <cellStyle name="40% - Accent1 5 2 2 3 2 2 2" xfId="11772" xr:uid="{00000000-0005-0000-0000-000096550000}"/>
    <cellStyle name="40% - Accent1 5 2 2 3 2 2 2 2" xfId="23073" xr:uid="{00000000-0005-0000-0000-000097550000}"/>
    <cellStyle name="40% - Accent1 5 2 2 3 2 2 2 2 2" xfId="45675" xr:uid="{00000000-0005-0000-0000-000098550000}"/>
    <cellStyle name="40% - Accent1 5 2 2 3 2 2 2 3" xfId="34374" xr:uid="{00000000-0005-0000-0000-000099550000}"/>
    <cellStyle name="40% - Accent1 5 2 2 3 2 2 3" xfId="17423" xr:uid="{00000000-0005-0000-0000-00009A550000}"/>
    <cellStyle name="40% - Accent1 5 2 2 3 2 2 3 2" xfId="40025" xr:uid="{00000000-0005-0000-0000-00009B550000}"/>
    <cellStyle name="40% - Accent1 5 2 2 3 2 2 4" xfId="28724" xr:uid="{00000000-0005-0000-0000-00009C550000}"/>
    <cellStyle name="40% - Accent1 5 2 2 3 2 3" xfId="8940" xr:uid="{00000000-0005-0000-0000-00009D550000}"/>
    <cellStyle name="40% - Accent1 5 2 2 3 2 3 2" xfId="20241" xr:uid="{00000000-0005-0000-0000-00009E550000}"/>
    <cellStyle name="40% - Accent1 5 2 2 3 2 3 2 2" xfId="42843" xr:uid="{00000000-0005-0000-0000-00009F550000}"/>
    <cellStyle name="40% - Accent1 5 2 2 3 2 3 3" xfId="31542" xr:uid="{00000000-0005-0000-0000-0000A0550000}"/>
    <cellStyle name="40% - Accent1 5 2 2 3 2 4" xfId="14591" xr:uid="{00000000-0005-0000-0000-0000A1550000}"/>
    <cellStyle name="40% - Accent1 5 2 2 3 2 4 2" xfId="37193" xr:uid="{00000000-0005-0000-0000-0000A2550000}"/>
    <cellStyle name="40% - Accent1 5 2 2 3 2 5" xfId="25892" xr:uid="{00000000-0005-0000-0000-0000A3550000}"/>
    <cellStyle name="40% - Accent1 5 2 2 3 3" xfId="4888" xr:uid="{00000000-0005-0000-0000-0000A4550000}"/>
    <cellStyle name="40% - Accent1 5 2 2 3 3 2" xfId="10538" xr:uid="{00000000-0005-0000-0000-0000A5550000}"/>
    <cellStyle name="40% - Accent1 5 2 2 3 3 2 2" xfId="21839" xr:uid="{00000000-0005-0000-0000-0000A6550000}"/>
    <cellStyle name="40% - Accent1 5 2 2 3 3 2 2 2" xfId="44441" xr:uid="{00000000-0005-0000-0000-0000A7550000}"/>
    <cellStyle name="40% - Accent1 5 2 2 3 3 2 3" xfId="33140" xr:uid="{00000000-0005-0000-0000-0000A8550000}"/>
    <cellStyle name="40% - Accent1 5 2 2 3 3 3" xfId="16189" xr:uid="{00000000-0005-0000-0000-0000A9550000}"/>
    <cellStyle name="40% - Accent1 5 2 2 3 3 3 2" xfId="38791" xr:uid="{00000000-0005-0000-0000-0000AA550000}"/>
    <cellStyle name="40% - Accent1 5 2 2 3 3 4" xfId="27490" xr:uid="{00000000-0005-0000-0000-0000AB550000}"/>
    <cellStyle name="40% - Accent1 5 2 2 3 4" xfId="7075" xr:uid="{00000000-0005-0000-0000-0000AC550000}"/>
    <cellStyle name="40% - Accent1 5 2 2 3 4 2" xfId="18376" xr:uid="{00000000-0005-0000-0000-0000AD550000}"/>
    <cellStyle name="40% - Accent1 5 2 2 3 4 2 2" xfId="40978" xr:uid="{00000000-0005-0000-0000-0000AE550000}"/>
    <cellStyle name="40% - Accent1 5 2 2 3 4 3" xfId="29677" xr:uid="{00000000-0005-0000-0000-0000AF550000}"/>
    <cellStyle name="40% - Accent1 5 2 2 3 5" xfId="12726" xr:uid="{00000000-0005-0000-0000-0000B0550000}"/>
    <cellStyle name="40% - Accent1 5 2 2 3 5 2" xfId="35328" xr:uid="{00000000-0005-0000-0000-0000B1550000}"/>
    <cellStyle name="40% - Accent1 5 2 2 3 6" xfId="24027" xr:uid="{00000000-0005-0000-0000-0000B2550000}"/>
    <cellStyle name="40% - Accent1 5 2 2 4" xfId="1842" xr:uid="{00000000-0005-0000-0000-0000B3550000}"/>
    <cellStyle name="40% - Accent1 5 2 2 4 2" xfId="3722" xr:uid="{00000000-0005-0000-0000-0000B4550000}"/>
    <cellStyle name="40% - Accent1 5 2 2 4 2 2" xfId="9432" xr:uid="{00000000-0005-0000-0000-0000B5550000}"/>
    <cellStyle name="40% - Accent1 5 2 2 4 2 2 2" xfId="20733" xr:uid="{00000000-0005-0000-0000-0000B6550000}"/>
    <cellStyle name="40% - Accent1 5 2 2 4 2 2 2 2" xfId="43335" xr:uid="{00000000-0005-0000-0000-0000B7550000}"/>
    <cellStyle name="40% - Accent1 5 2 2 4 2 2 3" xfId="32034" xr:uid="{00000000-0005-0000-0000-0000B8550000}"/>
    <cellStyle name="40% - Accent1 5 2 2 4 2 3" xfId="15083" xr:uid="{00000000-0005-0000-0000-0000B9550000}"/>
    <cellStyle name="40% - Accent1 5 2 2 4 2 3 2" xfId="37685" xr:uid="{00000000-0005-0000-0000-0000BA550000}"/>
    <cellStyle name="40% - Accent1 5 2 2 4 2 4" xfId="26384" xr:uid="{00000000-0005-0000-0000-0000BB550000}"/>
    <cellStyle name="40% - Accent1 5 2 2 4 3" xfId="5498" xr:uid="{00000000-0005-0000-0000-0000BC550000}"/>
    <cellStyle name="40% - Accent1 5 2 2 4 3 2" xfId="11148" xr:uid="{00000000-0005-0000-0000-0000BD550000}"/>
    <cellStyle name="40% - Accent1 5 2 2 4 3 2 2" xfId="22449" xr:uid="{00000000-0005-0000-0000-0000BE550000}"/>
    <cellStyle name="40% - Accent1 5 2 2 4 3 2 2 2" xfId="45051" xr:uid="{00000000-0005-0000-0000-0000BF550000}"/>
    <cellStyle name="40% - Accent1 5 2 2 4 3 2 3" xfId="33750" xr:uid="{00000000-0005-0000-0000-0000C0550000}"/>
    <cellStyle name="40% - Accent1 5 2 2 4 3 3" xfId="16799" xr:uid="{00000000-0005-0000-0000-0000C1550000}"/>
    <cellStyle name="40% - Accent1 5 2 2 4 3 3 2" xfId="39401" xr:uid="{00000000-0005-0000-0000-0000C2550000}"/>
    <cellStyle name="40% - Accent1 5 2 2 4 3 4" xfId="28100" xr:uid="{00000000-0005-0000-0000-0000C3550000}"/>
    <cellStyle name="40% - Accent1 5 2 2 4 4" xfId="7698" xr:uid="{00000000-0005-0000-0000-0000C4550000}"/>
    <cellStyle name="40% - Accent1 5 2 2 4 4 2" xfId="18999" xr:uid="{00000000-0005-0000-0000-0000C5550000}"/>
    <cellStyle name="40% - Accent1 5 2 2 4 4 2 2" xfId="41601" xr:uid="{00000000-0005-0000-0000-0000C6550000}"/>
    <cellStyle name="40% - Accent1 5 2 2 4 4 3" xfId="30300" xr:uid="{00000000-0005-0000-0000-0000C7550000}"/>
    <cellStyle name="40% - Accent1 5 2 2 4 5" xfId="13349" xr:uid="{00000000-0005-0000-0000-0000C8550000}"/>
    <cellStyle name="40% - Accent1 5 2 2 4 5 2" xfId="35951" xr:uid="{00000000-0005-0000-0000-0000C9550000}"/>
    <cellStyle name="40% - Accent1 5 2 2 4 6" xfId="24650" xr:uid="{00000000-0005-0000-0000-0000CA550000}"/>
    <cellStyle name="40% - Accent1 5 2 2 5" xfId="2479" xr:uid="{00000000-0005-0000-0000-0000CB550000}"/>
    <cellStyle name="40% - Accent1 5 2 2 5 2" xfId="8315" xr:uid="{00000000-0005-0000-0000-0000CC550000}"/>
    <cellStyle name="40% - Accent1 5 2 2 5 2 2" xfId="19616" xr:uid="{00000000-0005-0000-0000-0000CD550000}"/>
    <cellStyle name="40% - Accent1 5 2 2 5 2 2 2" xfId="42218" xr:uid="{00000000-0005-0000-0000-0000CE550000}"/>
    <cellStyle name="40% - Accent1 5 2 2 5 2 3" xfId="30917" xr:uid="{00000000-0005-0000-0000-0000CF550000}"/>
    <cellStyle name="40% - Accent1 5 2 2 5 3" xfId="13966" xr:uid="{00000000-0005-0000-0000-0000D0550000}"/>
    <cellStyle name="40% - Accent1 5 2 2 5 3 2" xfId="36568" xr:uid="{00000000-0005-0000-0000-0000D1550000}"/>
    <cellStyle name="40% - Accent1 5 2 2 5 4" xfId="25267" xr:uid="{00000000-0005-0000-0000-0000D2550000}"/>
    <cellStyle name="40% - Accent1 5 2 2 6" xfId="4264" xr:uid="{00000000-0005-0000-0000-0000D3550000}"/>
    <cellStyle name="40% - Accent1 5 2 2 6 2" xfId="9914" xr:uid="{00000000-0005-0000-0000-0000D4550000}"/>
    <cellStyle name="40% - Accent1 5 2 2 6 2 2" xfId="21215" xr:uid="{00000000-0005-0000-0000-0000D5550000}"/>
    <cellStyle name="40% - Accent1 5 2 2 6 2 2 2" xfId="43817" xr:uid="{00000000-0005-0000-0000-0000D6550000}"/>
    <cellStyle name="40% - Accent1 5 2 2 6 2 3" xfId="32516" xr:uid="{00000000-0005-0000-0000-0000D7550000}"/>
    <cellStyle name="40% - Accent1 5 2 2 6 3" xfId="15565" xr:uid="{00000000-0005-0000-0000-0000D8550000}"/>
    <cellStyle name="40% - Accent1 5 2 2 6 3 2" xfId="38167" xr:uid="{00000000-0005-0000-0000-0000D9550000}"/>
    <cellStyle name="40% - Accent1 5 2 2 6 4" xfId="26866" xr:uid="{00000000-0005-0000-0000-0000DA550000}"/>
    <cellStyle name="40% - Accent1 5 2 2 7" xfId="6744" xr:uid="{00000000-0005-0000-0000-0000DB550000}"/>
    <cellStyle name="40% - Accent1 5 2 2 7 2" xfId="18045" xr:uid="{00000000-0005-0000-0000-0000DC550000}"/>
    <cellStyle name="40% - Accent1 5 2 2 7 2 2" xfId="40647" xr:uid="{00000000-0005-0000-0000-0000DD550000}"/>
    <cellStyle name="40% - Accent1 5 2 2 7 3" xfId="29346" xr:uid="{00000000-0005-0000-0000-0000DE550000}"/>
    <cellStyle name="40% - Accent1 5 2 2 8" xfId="12395" xr:uid="{00000000-0005-0000-0000-0000DF550000}"/>
    <cellStyle name="40% - Accent1 5 2 2 8 2" xfId="34997" xr:uid="{00000000-0005-0000-0000-0000E0550000}"/>
    <cellStyle name="40% - Accent1 5 2 2 9" xfId="23696" xr:uid="{00000000-0005-0000-0000-0000E1550000}"/>
    <cellStyle name="40% - Accent1 5 2 3" xfId="1251" xr:uid="{00000000-0005-0000-0000-0000E2550000}"/>
    <cellStyle name="40% - Accent1 5 2 3 2" xfId="1844" xr:uid="{00000000-0005-0000-0000-0000E3550000}"/>
    <cellStyle name="40% - Accent1 5 2 3 2 2" xfId="3319" xr:uid="{00000000-0005-0000-0000-0000E4550000}"/>
    <cellStyle name="40% - Accent1 5 2 3 2 2 2" xfId="6291" xr:uid="{00000000-0005-0000-0000-0000E5550000}"/>
    <cellStyle name="40% - Accent1 5 2 3 2 2 2 2" xfId="11941" xr:uid="{00000000-0005-0000-0000-0000E6550000}"/>
    <cellStyle name="40% - Accent1 5 2 3 2 2 2 2 2" xfId="23242" xr:uid="{00000000-0005-0000-0000-0000E7550000}"/>
    <cellStyle name="40% - Accent1 5 2 3 2 2 2 2 2 2" xfId="45844" xr:uid="{00000000-0005-0000-0000-0000E8550000}"/>
    <cellStyle name="40% - Accent1 5 2 3 2 2 2 2 3" xfId="34543" xr:uid="{00000000-0005-0000-0000-0000E9550000}"/>
    <cellStyle name="40% - Accent1 5 2 3 2 2 2 3" xfId="17592" xr:uid="{00000000-0005-0000-0000-0000EA550000}"/>
    <cellStyle name="40% - Accent1 5 2 3 2 2 2 3 2" xfId="40194" xr:uid="{00000000-0005-0000-0000-0000EB550000}"/>
    <cellStyle name="40% - Accent1 5 2 3 2 2 2 4" xfId="28893" xr:uid="{00000000-0005-0000-0000-0000EC550000}"/>
    <cellStyle name="40% - Accent1 5 2 3 2 2 3" xfId="9109" xr:uid="{00000000-0005-0000-0000-0000ED550000}"/>
    <cellStyle name="40% - Accent1 5 2 3 2 2 3 2" xfId="20410" xr:uid="{00000000-0005-0000-0000-0000EE550000}"/>
    <cellStyle name="40% - Accent1 5 2 3 2 2 3 2 2" xfId="43012" xr:uid="{00000000-0005-0000-0000-0000EF550000}"/>
    <cellStyle name="40% - Accent1 5 2 3 2 2 3 3" xfId="31711" xr:uid="{00000000-0005-0000-0000-0000F0550000}"/>
    <cellStyle name="40% - Accent1 5 2 3 2 2 4" xfId="14760" xr:uid="{00000000-0005-0000-0000-0000F1550000}"/>
    <cellStyle name="40% - Accent1 5 2 3 2 2 4 2" xfId="37362" xr:uid="{00000000-0005-0000-0000-0000F2550000}"/>
    <cellStyle name="40% - Accent1 5 2 3 2 2 5" xfId="26061" xr:uid="{00000000-0005-0000-0000-0000F3550000}"/>
    <cellStyle name="40% - Accent1 5 2 3 2 3" xfId="5057" xr:uid="{00000000-0005-0000-0000-0000F4550000}"/>
    <cellStyle name="40% - Accent1 5 2 3 2 3 2" xfId="10707" xr:uid="{00000000-0005-0000-0000-0000F5550000}"/>
    <cellStyle name="40% - Accent1 5 2 3 2 3 2 2" xfId="22008" xr:uid="{00000000-0005-0000-0000-0000F6550000}"/>
    <cellStyle name="40% - Accent1 5 2 3 2 3 2 2 2" xfId="44610" xr:uid="{00000000-0005-0000-0000-0000F7550000}"/>
    <cellStyle name="40% - Accent1 5 2 3 2 3 2 3" xfId="33309" xr:uid="{00000000-0005-0000-0000-0000F8550000}"/>
    <cellStyle name="40% - Accent1 5 2 3 2 3 3" xfId="16358" xr:uid="{00000000-0005-0000-0000-0000F9550000}"/>
    <cellStyle name="40% - Accent1 5 2 3 2 3 3 2" xfId="38960" xr:uid="{00000000-0005-0000-0000-0000FA550000}"/>
    <cellStyle name="40% - Accent1 5 2 3 2 3 4" xfId="27659" xr:uid="{00000000-0005-0000-0000-0000FB550000}"/>
    <cellStyle name="40% - Accent1 5 2 3 2 4" xfId="7700" xr:uid="{00000000-0005-0000-0000-0000FC550000}"/>
    <cellStyle name="40% - Accent1 5 2 3 2 4 2" xfId="19001" xr:uid="{00000000-0005-0000-0000-0000FD550000}"/>
    <cellStyle name="40% - Accent1 5 2 3 2 4 2 2" xfId="41603" xr:uid="{00000000-0005-0000-0000-0000FE550000}"/>
    <cellStyle name="40% - Accent1 5 2 3 2 4 3" xfId="30302" xr:uid="{00000000-0005-0000-0000-0000FF550000}"/>
    <cellStyle name="40% - Accent1 5 2 3 2 5" xfId="13351" xr:uid="{00000000-0005-0000-0000-000000560000}"/>
    <cellStyle name="40% - Accent1 5 2 3 2 5 2" xfId="35953" xr:uid="{00000000-0005-0000-0000-000001560000}"/>
    <cellStyle name="40% - Accent1 5 2 3 2 6" xfId="24652" xr:uid="{00000000-0005-0000-0000-000002560000}"/>
    <cellStyle name="40% - Accent1 5 2 3 3" xfId="2648" xr:uid="{00000000-0005-0000-0000-000003560000}"/>
    <cellStyle name="40% - Accent1 5 2 3 3 2" xfId="5667" xr:uid="{00000000-0005-0000-0000-000004560000}"/>
    <cellStyle name="40% - Accent1 5 2 3 3 2 2" xfId="11317" xr:uid="{00000000-0005-0000-0000-000005560000}"/>
    <cellStyle name="40% - Accent1 5 2 3 3 2 2 2" xfId="22618" xr:uid="{00000000-0005-0000-0000-000006560000}"/>
    <cellStyle name="40% - Accent1 5 2 3 3 2 2 2 2" xfId="45220" xr:uid="{00000000-0005-0000-0000-000007560000}"/>
    <cellStyle name="40% - Accent1 5 2 3 3 2 2 3" xfId="33919" xr:uid="{00000000-0005-0000-0000-000008560000}"/>
    <cellStyle name="40% - Accent1 5 2 3 3 2 3" xfId="16968" xr:uid="{00000000-0005-0000-0000-000009560000}"/>
    <cellStyle name="40% - Accent1 5 2 3 3 2 3 2" xfId="39570" xr:uid="{00000000-0005-0000-0000-00000A560000}"/>
    <cellStyle name="40% - Accent1 5 2 3 3 2 4" xfId="28269" xr:uid="{00000000-0005-0000-0000-00000B560000}"/>
    <cellStyle name="40% - Accent1 5 2 3 3 3" xfId="8484" xr:uid="{00000000-0005-0000-0000-00000C560000}"/>
    <cellStyle name="40% - Accent1 5 2 3 3 3 2" xfId="19785" xr:uid="{00000000-0005-0000-0000-00000D560000}"/>
    <cellStyle name="40% - Accent1 5 2 3 3 3 2 2" xfId="42387" xr:uid="{00000000-0005-0000-0000-00000E560000}"/>
    <cellStyle name="40% - Accent1 5 2 3 3 3 3" xfId="31086" xr:uid="{00000000-0005-0000-0000-00000F560000}"/>
    <cellStyle name="40% - Accent1 5 2 3 3 4" xfId="14135" xr:uid="{00000000-0005-0000-0000-000010560000}"/>
    <cellStyle name="40% - Accent1 5 2 3 3 4 2" xfId="36737" xr:uid="{00000000-0005-0000-0000-000011560000}"/>
    <cellStyle name="40% - Accent1 5 2 3 3 5" xfId="25436" xr:uid="{00000000-0005-0000-0000-000012560000}"/>
    <cellStyle name="40% - Accent1 5 2 3 4" xfId="4433" xr:uid="{00000000-0005-0000-0000-000013560000}"/>
    <cellStyle name="40% - Accent1 5 2 3 4 2" xfId="10083" xr:uid="{00000000-0005-0000-0000-000014560000}"/>
    <cellStyle name="40% - Accent1 5 2 3 4 2 2" xfId="21384" xr:uid="{00000000-0005-0000-0000-000015560000}"/>
    <cellStyle name="40% - Accent1 5 2 3 4 2 2 2" xfId="43986" xr:uid="{00000000-0005-0000-0000-000016560000}"/>
    <cellStyle name="40% - Accent1 5 2 3 4 2 3" xfId="32685" xr:uid="{00000000-0005-0000-0000-000017560000}"/>
    <cellStyle name="40% - Accent1 5 2 3 4 3" xfId="15734" xr:uid="{00000000-0005-0000-0000-000018560000}"/>
    <cellStyle name="40% - Accent1 5 2 3 4 3 2" xfId="38336" xr:uid="{00000000-0005-0000-0000-000019560000}"/>
    <cellStyle name="40% - Accent1 5 2 3 4 4" xfId="27035" xr:uid="{00000000-0005-0000-0000-00001A560000}"/>
    <cellStyle name="40% - Accent1 5 2 3 5" xfId="7230" xr:uid="{00000000-0005-0000-0000-00001B560000}"/>
    <cellStyle name="40% - Accent1 5 2 3 5 2" xfId="18531" xr:uid="{00000000-0005-0000-0000-00001C560000}"/>
    <cellStyle name="40% - Accent1 5 2 3 5 2 2" xfId="41133" xr:uid="{00000000-0005-0000-0000-00001D560000}"/>
    <cellStyle name="40% - Accent1 5 2 3 5 3" xfId="29832" xr:uid="{00000000-0005-0000-0000-00001E560000}"/>
    <cellStyle name="40% - Accent1 5 2 3 6" xfId="12881" xr:uid="{00000000-0005-0000-0000-00001F560000}"/>
    <cellStyle name="40% - Accent1 5 2 3 6 2" xfId="35483" xr:uid="{00000000-0005-0000-0000-000020560000}"/>
    <cellStyle name="40% - Accent1 5 2 3 7" xfId="24182" xr:uid="{00000000-0005-0000-0000-000021560000}"/>
    <cellStyle name="40% - Accent1 5 2 4" xfId="942" xr:uid="{00000000-0005-0000-0000-000022560000}"/>
    <cellStyle name="40% - Accent1 5 2 4 2" xfId="3012" xr:uid="{00000000-0005-0000-0000-000023560000}"/>
    <cellStyle name="40% - Accent1 5 2 4 2 2" xfId="5984" xr:uid="{00000000-0005-0000-0000-000024560000}"/>
    <cellStyle name="40% - Accent1 5 2 4 2 2 2" xfId="11634" xr:uid="{00000000-0005-0000-0000-000025560000}"/>
    <cellStyle name="40% - Accent1 5 2 4 2 2 2 2" xfId="22935" xr:uid="{00000000-0005-0000-0000-000026560000}"/>
    <cellStyle name="40% - Accent1 5 2 4 2 2 2 2 2" xfId="45537" xr:uid="{00000000-0005-0000-0000-000027560000}"/>
    <cellStyle name="40% - Accent1 5 2 4 2 2 2 3" xfId="34236" xr:uid="{00000000-0005-0000-0000-000028560000}"/>
    <cellStyle name="40% - Accent1 5 2 4 2 2 3" xfId="17285" xr:uid="{00000000-0005-0000-0000-000029560000}"/>
    <cellStyle name="40% - Accent1 5 2 4 2 2 3 2" xfId="39887" xr:uid="{00000000-0005-0000-0000-00002A560000}"/>
    <cellStyle name="40% - Accent1 5 2 4 2 2 4" xfId="28586" xr:uid="{00000000-0005-0000-0000-00002B560000}"/>
    <cellStyle name="40% - Accent1 5 2 4 2 3" xfId="8802" xr:uid="{00000000-0005-0000-0000-00002C560000}"/>
    <cellStyle name="40% - Accent1 5 2 4 2 3 2" xfId="20103" xr:uid="{00000000-0005-0000-0000-00002D560000}"/>
    <cellStyle name="40% - Accent1 5 2 4 2 3 2 2" xfId="42705" xr:uid="{00000000-0005-0000-0000-00002E560000}"/>
    <cellStyle name="40% - Accent1 5 2 4 2 3 3" xfId="31404" xr:uid="{00000000-0005-0000-0000-00002F560000}"/>
    <cellStyle name="40% - Accent1 5 2 4 2 4" xfId="14453" xr:uid="{00000000-0005-0000-0000-000030560000}"/>
    <cellStyle name="40% - Accent1 5 2 4 2 4 2" xfId="37055" xr:uid="{00000000-0005-0000-0000-000031560000}"/>
    <cellStyle name="40% - Accent1 5 2 4 2 5" xfId="25754" xr:uid="{00000000-0005-0000-0000-000032560000}"/>
    <cellStyle name="40% - Accent1 5 2 4 3" xfId="4750" xr:uid="{00000000-0005-0000-0000-000033560000}"/>
    <cellStyle name="40% - Accent1 5 2 4 3 2" xfId="10400" xr:uid="{00000000-0005-0000-0000-000034560000}"/>
    <cellStyle name="40% - Accent1 5 2 4 3 2 2" xfId="21701" xr:uid="{00000000-0005-0000-0000-000035560000}"/>
    <cellStyle name="40% - Accent1 5 2 4 3 2 2 2" xfId="44303" xr:uid="{00000000-0005-0000-0000-000036560000}"/>
    <cellStyle name="40% - Accent1 5 2 4 3 2 3" xfId="33002" xr:uid="{00000000-0005-0000-0000-000037560000}"/>
    <cellStyle name="40% - Accent1 5 2 4 3 3" xfId="16051" xr:uid="{00000000-0005-0000-0000-000038560000}"/>
    <cellStyle name="40% - Accent1 5 2 4 3 3 2" xfId="38653" xr:uid="{00000000-0005-0000-0000-000039560000}"/>
    <cellStyle name="40% - Accent1 5 2 4 3 4" xfId="27352" xr:uid="{00000000-0005-0000-0000-00003A560000}"/>
    <cellStyle name="40% - Accent1 5 2 4 4" xfId="6937" xr:uid="{00000000-0005-0000-0000-00003B560000}"/>
    <cellStyle name="40% - Accent1 5 2 4 4 2" xfId="18238" xr:uid="{00000000-0005-0000-0000-00003C560000}"/>
    <cellStyle name="40% - Accent1 5 2 4 4 2 2" xfId="40840" xr:uid="{00000000-0005-0000-0000-00003D560000}"/>
    <cellStyle name="40% - Accent1 5 2 4 4 3" xfId="29539" xr:uid="{00000000-0005-0000-0000-00003E560000}"/>
    <cellStyle name="40% - Accent1 5 2 4 5" xfId="12588" xr:uid="{00000000-0005-0000-0000-00003F560000}"/>
    <cellStyle name="40% - Accent1 5 2 4 5 2" xfId="35190" xr:uid="{00000000-0005-0000-0000-000040560000}"/>
    <cellStyle name="40% - Accent1 5 2 4 6" xfId="23889" xr:uid="{00000000-0005-0000-0000-000041560000}"/>
    <cellStyle name="40% - Accent1 5 2 5" xfId="1841" xr:uid="{00000000-0005-0000-0000-000042560000}"/>
    <cellStyle name="40% - Accent1 5 2 5 2" xfId="3721" xr:uid="{00000000-0005-0000-0000-000043560000}"/>
    <cellStyle name="40% - Accent1 5 2 5 2 2" xfId="9431" xr:uid="{00000000-0005-0000-0000-000044560000}"/>
    <cellStyle name="40% - Accent1 5 2 5 2 2 2" xfId="20732" xr:uid="{00000000-0005-0000-0000-000045560000}"/>
    <cellStyle name="40% - Accent1 5 2 5 2 2 2 2" xfId="43334" xr:uid="{00000000-0005-0000-0000-000046560000}"/>
    <cellStyle name="40% - Accent1 5 2 5 2 2 3" xfId="32033" xr:uid="{00000000-0005-0000-0000-000047560000}"/>
    <cellStyle name="40% - Accent1 5 2 5 2 3" xfId="15082" xr:uid="{00000000-0005-0000-0000-000048560000}"/>
    <cellStyle name="40% - Accent1 5 2 5 2 3 2" xfId="37684" xr:uid="{00000000-0005-0000-0000-000049560000}"/>
    <cellStyle name="40% - Accent1 5 2 5 2 4" xfId="26383" xr:uid="{00000000-0005-0000-0000-00004A560000}"/>
    <cellStyle name="40% - Accent1 5 2 5 3" xfId="5360" xr:uid="{00000000-0005-0000-0000-00004B560000}"/>
    <cellStyle name="40% - Accent1 5 2 5 3 2" xfId="11010" xr:uid="{00000000-0005-0000-0000-00004C560000}"/>
    <cellStyle name="40% - Accent1 5 2 5 3 2 2" xfId="22311" xr:uid="{00000000-0005-0000-0000-00004D560000}"/>
    <cellStyle name="40% - Accent1 5 2 5 3 2 2 2" xfId="44913" xr:uid="{00000000-0005-0000-0000-00004E560000}"/>
    <cellStyle name="40% - Accent1 5 2 5 3 2 3" xfId="33612" xr:uid="{00000000-0005-0000-0000-00004F560000}"/>
    <cellStyle name="40% - Accent1 5 2 5 3 3" xfId="16661" xr:uid="{00000000-0005-0000-0000-000050560000}"/>
    <cellStyle name="40% - Accent1 5 2 5 3 3 2" xfId="39263" xr:uid="{00000000-0005-0000-0000-000051560000}"/>
    <cellStyle name="40% - Accent1 5 2 5 3 4" xfId="27962" xr:uid="{00000000-0005-0000-0000-000052560000}"/>
    <cellStyle name="40% - Accent1 5 2 5 4" xfId="7697" xr:uid="{00000000-0005-0000-0000-000053560000}"/>
    <cellStyle name="40% - Accent1 5 2 5 4 2" xfId="18998" xr:uid="{00000000-0005-0000-0000-000054560000}"/>
    <cellStyle name="40% - Accent1 5 2 5 4 2 2" xfId="41600" xr:uid="{00000000-0005-0000-0000-000055560000}"/>
    <cellStyle name="40% - Accent1 5 2 5 4 3" xfId="30299" xr:uid="{00000000-0005-0000-0000-000056560000}"/>
    <cellStyle name="40% - Accent1 5 2 5 5" xfId="13348" xr:uid="{00000000-0005-0000-0000-000057560000}"/>
    <cellStyle name="40% - Accent1 5 2 5 5 2" xfId="35950" xr:uid="{00000000-0005-0000-0000-000058560000}"/>
    <cellStyle name="40% - Accent1 5 2 5 6" xfId="24649" xr:uid="{00000000-0005-0000-0000-000059560000}"/>
    <cellStyle name="40% - Accent1 5 2 6" xfId="2339" xr:uid="{00000000-0005-0000-0000-00005A560000}"/>
    <cellStyle name="40% - Accent1 5 2 6 2" xfId="8175" xr:uid="{00000000-0005-0000-0000-00005B560000}"/>
    <cellStyle name="40% - Accent1 5 2 6 2 2" xfId="19476" xr:uid="{00000000-0005-0000-0000-00005C560000}"/>
    <cellStyle name="40% - Accent1 5 2 6 2 2 2" xfId="42078" xr:uid="{00000000-0005-0000-0000-00005D560000}"/>
    <cellStyle name="40% - Accent1 5 2 6 2 3" xfId="30777" xr:uid="{00000000-0005-0000-0000-00005E560000}"/>
    <cellStyle name="40% - Accent1 5 2 6 3" xfId="13826" xr:uid="{00000000-0005-0000-0000-00005F560000}"/>
    <cellStyle name="40% - Accent1 5 2 6 3 2" xfId="36428" xr:uid="{00000000-0005-0000-0000-000060560000}"/>
    <cellStyle name="40% - Accent1 5 2 6 4" xfId="25127" xr:uid="{00000000-0005-0000-0000-000061560000}"/>
    <cellStyle name="40% - Accent1 5 2 7" xfId="4126" xr:uid="{00000000-0005-0000-0000-000062560000}"/>
    <cellStyle name="40% - Accent1 5 2 7 2" xfId="9776" xr:uid="{00000000-0005-0000-0000-000063560000}"/>
    <cellStyle name="40% - Accent1 5 2 7 2 2" xfId="21077" xr:uid="{00000000-0005-0000-0000-000064560000}"/>
    <cellStyle name="40% - Accent1 5 2 7 2 2 2" xfId="43679" xr:uid="{00000000-0005-0000-0000-000065560000}"/>
    <cellStyle name="40% - Accent1 5 2 7 2 3" xfId="32378" xr:uid="{00000000-0005-0000-0000-000066560000}"/>
    <cellStyle name="40% - Accent1 5 2 7 3" xfId="15427" xr:uid="{00000000-0005-0000-0000-000067560000}"/>
    <cellStyle name="40% - Accent1 5 2 7 3 2" xfId="38029" xr:uid="{00000000-0005-0000-0000-000068560000}"/>
    <cellStyle name="40% - Accent1 5 2 7 4" xfId="26728" xr:uid="{00000000-0005-0000-0000-000069560000}"/>
    <cellStyle name="40% - Accent1 5 2 8" xfId="6577" xr:uid="{00000000-0005-0000-0000-00006A560000}"/>
    <cellStyle name="40% - Accent1 5 2 8 2" xfId="17878" xr:uid="{00000000-0005-0000-0000-00006B560000}"/>
    <cellStyle name="40% - Accent1 5 2 8 2 2" xfId="40480" xr:uid="{00000000-0005-0000-0000-00006C560000}"/>
    <cellStyle name="40% - Accent1 5 2 8 3" xfId="29179" xr:uid="{00000000-0005-0000-0000-00006D560000}"/>
    <cellStyle name="40% - Accent1 5 2 9" xfId="12228" xr:uid="{00000000-0005-0000-0000-00006E560000}"/>
    <cellStyle name="40% - Accent1 5 2 9 2" xfId="34830" xr:uid="{00000000-0005-0000-0000-00006F560000}"/>
    <cellStyle name="40% - Accent1 5 3" xfId="582" xr:uid="{00000000-0005-0000-0000-000070560000}"/>
    <cellStyle name="40% - Accent1 5 3 2" xfId="1295" xr:uid="{00000000-0005-0000-0000-000071560000}"/>
    <cellStyle name="40% - Accent1 5 3 2 2" xfId="1846" xr:uid="{00000000-0005-0000-0000-000072560000}"/>
    <cellStyle name="40% - Accent1 5 3 2 2 2" xfId="3364" xr:uid="{00000000-0005-0000-0000-000073560000}"/>
    <cellStyle name="40% - Accent1 5 3 2 2 2 2" xfId="6336" xr:uid="{00000000-0005-0000-0000-000074560000}"/>
    <cellStyle name="40% - Accent1 5 3 2 2 2 2 2" xfId="11986" xr:uid="{00000000-0005-0000-0000-000075560000}"/>
    <cellStyle name="40% - Accent1 5 3 2 2 2 2 2 2" xfId="23287" xr:uid="{00000000-0005-0000-0000-000076560000}"/>
    <cellStyle name="40% - Accent1 5 3 2 2 2 2 2 2 2" xfId="45889" xr:uid="{00000000-0005-0000-0000-000077560000}"/>
    <cellStyle name="40% - Accent1 5 3 2 2 2 2 2 3" xfId="34588" xr:uid="{00000000-0005-0000-0000-000078560000}"/>
    <cellStyle name="40% - Accent1 5 3 2 2 2 2 3" xfId="17637" xr:uid="{00000000-0005-0000-0000-000079560000}"/>
    <cellStyle name="40% - Accent1 5 3 2 2 2 2 3 2" xfId="40239" xr:uid="{00000000-0005-0000-0000-00007A560000}"/>
    <cellStyle name="40% - Accent1 5 3 2 2 2 2 4" xfId="28938" xr:uid="{00000000-0005-0000-0000-00007B560000}"/>
    <cellStyle name="40% - Accent1 5 3 2 2 2 3" xfId="9154" xr:uid="{00000000-0005-0000-0000-00007C560000}"/>
    <cellStyle name="40% - Accent1 5 3 2 2 2 3 2" xfId="20455" xr:uid="{00000000-0005-0000-0000-00007D560000}"/>
    <cellStyle name="40% - Accent1 5 3 2 2 2 3 2 2" xfId="43057" xr:uid="{00000000-0005-0000-0000-00007E560000}"/>
    <cellStyle name="40% - Accent1 5 3 2 2 2 3 3" xfId="31756" xr:uid="{00000000-0005-0000-0000-00007F560000}"/>
    <cellStyle name="40% - Accent1 5 3 2 2 2 4" xfId="14805" xr:uid="{00000000-0005-0000-0000-000080560000}"/>
    <cellStyle name="40% - Accent1 5 3 2 2 2 4 2" xfId="37407" xr:uid="{00000000-0005-0000-0000-000081560000}"/>
    <cellStyle name="40% - Accent1 5 3 2 2 2 5" xfId="26106" xr:uid="{00000000-0005-0000-0000-000082560000}"/>
    <cellStyle name="40% - Accent1 5 3 2 2 3" xfId="5102" xr:uid="{00000000-0005-0000-0000-000083560000}"/>
    <cellStyle name="40% - Accent1 5 3 2 2 3 2" xfId="10752" xr:uid="{00000000-0005-0000-0000-000084560000}"/>
    <cellStyle name="40% - Accent1 5 3 2 2 3 2 2" xfId="22053" xr:uid="{00000000-0005-0000-0000-000085560000}"/>
    <cellStyle name="40% - Accent1 5 3 2 2 3 2 2 2" xfId="44655" xr:uid="{00000000-0005-0000-0000-000086560000}"/>
    <cellStyle name="40% - Accent1 5 3 2 2 3 2 3" xfId="33354" xr:uid="{00000000-0005-0000-0000-000087560000}"/>
    <cellStyle name="40% - Accent1 5 3 2 2 3 3" xfId="16403" xr:uid="{00000000-0005-0000-0000-000088560000}"/>
    <cellStyle name="40% - Accent1 5 3 2 2 3 3 2" xfId="39005" xr:uid="{00000000-0005-0000-0000-000089560000}"/>
    <cellStyle name="40% - Accent1 5 3 2 2 3 4" xfId="27704" xr:uid="{00000000-0005-0000-0000-00008A560000}"/>
    <cellStyle name="40% - Accent1 5 3 2 2 4" xfId="7702" xr:uid="{00000000-0005-0000-0000-00008B560000}"/>
    <cellStyle name="40% - Accent1 5 3 2 2 4 2" xfId="19003" xr:uid="{00000000-0005-0000-0000-00008C560000}"/>
    <cellStyle name="40% - Accent1 5 3 2 2 4 2 2" xfId="41605" xr:uid="{00000000-0005-0000-0000-00008D560000}"/>
    <cellStyle name="40% - Accent1 5 3 2 2 4 3" xfId="30304" xr:uid="{00000000-0005-0000-0000-00008E560000}"/>
    <cellStyle name="40% - Accent1 5 3 2 2 5" xfId="13353" xr:uid="{00000000-0005-0000-0000-00008F560000}"/>
    <cellStyle name="40% - Accent1 5 3 2 2 5 2" xfId="35955" xr:uid="{00000000-0005-0000-0000-000090560000}"/>
    <cellStyle name="40% - Accent1 5 3 2 2 6" xfId="24654" xr:uid="{00000000-0005-0000-0000-000091560000}"/>
    <cellStyle name="40% - Accent1 5 3 2 3" xfId="2693" xr:uid="{00000000-0005-0000-0000-000092560000}"/>
    <cellStyle name="40% - Accent1 5 3 2 3 2" xfId="5712" xr:uid="{00000000-0005-0000-0000-000093560000}"/>
    <cellStyle name="40% - Accent1 5 3 2 3 2 2" xfId="11362" xr:uid="{00000000-0005-0000-0000-000094560000}"/>
    <cellStyle name="40% - Accent1 5 3 2 3 2 2 2" xfId="22663" xr:uid="{00000000-0005-0000-0000-000095560000}"/>
    <cellStyle name="40% - Accent1 5 3 2 3 2 2 2 2" xfId="45265" xr:uid="{00000000-0005-0000-0000-000096560000}"/>
    <cellStyle name="40% - Accent1 5 3 2 3 2 2 3" xfId="33964" xr:uid="{00000000-0005-0000-0000-000097560000}"/>
    <cellStyle name="40% - Accent1 5 3 2 3 2 3" xfId="17013" xr:uid="{00000000-0005-0000-0000-000098560000}"/>
    <cellStyle name="40% - Accent1 5 3 2 3 2 3 2" xfId="39615" xr:uid="{00000000-0005-0000-0000-000099560000}"/>
    <cellStyle name="40% - Accent1 5 3 2 3 2 4" xfId="28314" xr:uid="{00000000-0005-0000-0000-00009A560000}"/>
    <cellStyle name="40% - Accent1 5 3 2 3 3" xfId="8529" xr:uid="{00000000-0005-0000-0000-00009B560000}"/>
    <cellStyle name="40% - Accent1 5 3 2 3 3 2" xfId="19830" xr:uid="{00000000-0005-0000-0000-00009C560000}"/>
    <cellStyle name="40% - Accent1 5 3 2 3 3 2 2" xfId="42432" xr:uid="{00000000-0005-0000-0000-00009D560000}"/>
    <cellStyle name="40% - Accent1 5 3 2 3 3 3" xfId="31131" xr:uid="{00000000-0005-0000-0000-00009E560000}"/>
    <cellStyle name="40% - Accent1 5 3 2 3 4" xfId="14180" xr:uid="{00000000-0005-0000-0000-00009F560000}"/>
    <cellStyle name="40% - Accent1 5 3 2 3 4 2" xfId="36782" xr:uid="{00000000-0005-0000-0000-0000A0560000}"/>
    <cellStyle name="40% - Accent1 5 3 2 3 5" xfId="25481" xr:uid="{00000000-0005-0000-0000-0000A1560000}"/>
    <cellStyle name="40% - Accent1 5 3 2 4" xfId="4478" xr:uid="{00000000-0005-0000-0000-0000A2560000}"/>
    <cellStyle name="40% - Accent1 5 3 2 4 2" xfId="10128" xr:uid="{00000000-0005-0000-0000-0000A3560000}"/>
    <cellStyle name="40% - Accent1 5 3 2 4 2 2" xfId="21429" xr:uid="{00000000-0005-0000-0000-0000A4560000}"/>
    <cellStyle name="40% - Accent1 5 3 2 4 2 2 2" xfId="44031" xr:uid="{00000000-0005-0000-0000-0000A5560000}"/>
    <cellStyle name="40% - Accent1 5 3 2 4 2 3" xfId="32730" xr:uid="{00000000-0005-0000-0000-0000A6560000}"/>
    <cellStyle name="40% - Accent1 5 3 2 4 3" xfId="15779" xr:uid="{00000000-0005-0000-0000-0000A7560000}"/>
    <cellStyle name="40% - Accent1 5 3 2 4 3 2" xfId="38381" xr:uid="{00000000-0005-0000-0000-0000A8560000}"/>
    <cellStyle name="40% - Accent1 5 3 2 4 4" xfId="27080" xr:uid="{00000000-0005-0000-0000-0000A9560000}"/>
    <cellStyle name="40% - Accent1 5 3 2 5" xfId="7274" xr:uid="{00000000-0005-0000-0000-0000AA560000}"/>
    <cellStyle name="40% - Accent1 5 3 2 5 2" xfId="18575" xr:uid="{00000000-0005-0000-0000-0000AB560000}"/>
    <cellStyle name="40% - Accent1 5 3 2 5 2 2" xfId="41177" xr:uid="{00000000-0005-0000-0000-0000AC560000}"/>
    <cellStyle name="40% - Accent1 5 3 2 5 3" xfId="29876" xr:uid="{00000000-0005-0000-0000-0000AD560000}"/>
    <cellStyle name="40% - Accent1 5 3 2 6" xfId="12925" xr:uid="{00000000-0005-0000-0000-0000AE560000}"/>
    <cellStyle name="40% - Accent1 5 3 2 6 2" xfId="35527" xr:uid="{00000000-0005-0000-0000-0000AF560000}"/>
    <cellStyle name="40% - Accent1 5 3 2 7" xfId="24226" xr:uid="{00000000-0005-0000-0000-0000B0560000}"/>
    <cellStyle name="40% - Accent1 5 3 3" xfId="993" xr:uid="{00000000-0005-0000-0000-0000B1560000}"/>
    <cellStyle name="40% - Accent1 5 3 3 2" xfId="3056" xr:uid="{00000000-0005-0000-0000-0000B2560000}"/>
    <cellStyle name="40% - Accent1 5 3 3 2 2" xfId="6028" xr:uid="{00000000-0005-0000-0000-0000B3560000}"/>
    <cellStyle name="40% - Accent1 5 3 3 2 2 2" xfId="11678" xr:uid="{00000000-0005-0000-0000-0000B4560000}"/>
    <cellStyle name="40% - Accent1 5 3 3 2 2 2 2" xfId="22979" xr:uid="{00000000-0005-0000-0000-0000B5560000}"/>
    <cellStyle name="40% - Accent1 5 3 3 2 2 2 2 2" xfId="45581" xr:uid="{00000000-0005-0000-0000-0000B6560000}"/>
    <cellStyle name="40% - Accent1 5 3 3 2 2 2 3" xfId="34280" xr:uid="{00000000-0005-0000-0000-0000B7560000}"/>
    <cellStyle name="40% - Accent1 5 3 3 2 2 3" xfId="17329" xr:uid="{00000000-0005-0000-0000-0000B8560000}"/>
    <cellStyle name="40% - Accent1 5 3 3 2 2 3 2" xfId="39931" xr:uid="{00000000-0005-0000-0000-0000B9560000}"/>
    <cellStyle name="40% - Accent1 5 3 3 2 2 4" xfId="28630" xr:uid="{00000000-0005-0000-0000-0000BA560000}"/>
    <cellStyle name="40% - Accent1 5 3 3 2 3" xfId="8846" xr:uid="{00000000-0005-0000-0000-0000BB560000}"/>
    <cellStyle name="40% - Accent1 5 3 3 2 3 2" xfId="20147" xr:uid="{00000000-0005-0000-0000-0000BC560000}"/>
    <cellStyle name="40% - Accent1 5 3 3 2 3 2 2" xfId="42749" xr:uid="{00000000-0005-0000-0000-0000BD560000}"/>
    <cellStyle name="40% - Accent1 5 3 3 2 3 3" xfId="31448" xr:uid="{00000000-0005-0000-0000-0000BE560000}"/>
    <cellStyle name="40% - Accent1 5 3 3 2 4" xfId="14497" xr:uid="{00000000-0005-0000-0000-0000BF560000}"/>
    <cellStyle name="40% - Accent1 5 3 3 2 4 2" xfId="37099" xr:uid="{00000000-0005-0000-0000-0000C0560000}"/>
    <cellStyle name="40% - Accent1 5 3 3 2 5" xfId="25798" xr:uid="{00000000-0005-0000-0000-0000C1560000}"/>
    <cellStyle name="40% - Accent1 5 3 3 3" xfId="4794" xr:uid="{00000000-0005-0000-0000-0000C2560000}"/>
    <cellStyle name="40% - Accent1 5 3 3 3 2" xfId="10444" xr:uid="{00000000-0005-0000-0000-0000C3560000}"/>
    <cellStyle name="40% - Accent1 5 3 3 3 2 2" xfId="21745" xr:uid="{00000000-0005-0000-0000-0000C4560000}"/>
    <cellStyle name="40% - Accent1 5 3 3 3 2 2 2" xfId="44347" xr:uid="{00000000-0005-0000-0000-0000C5560000}"/>
    <cellStyle name="40% - Accent1 5 3 3 3 2 3" xfId="33046" xr:uid="{00000000-0005-0000-0000-0000C6560000}"/>
    <cellStyle name="40% - Accent1 5 3 3 3 3" xfId="16095" xr:uid="{00000000-0005-0000-0000-0000C7560000}"/>
    <cellStyle name="40% - Accent1 5 3 3 3 3 2" xfId="38697" xr:uid="{00000000-0005-0000-0000-0000C8560000}"/>
    <cellStyle name="40% - Accent1 5 3 3 3 4" xfId="27396" xr:uid="{00000000-0005-0000-0000-0000C9560000}"/>
    <cellStyle name="40% - Accent1 5 3 3 4" xfId="6981" xr:uid="{00000000-0005-0000-0000-0000CA560000}"/>
    <cellStyle name="40% - Accent1 5 3 3 4 2" xfId="18282" xr:uid="{00000000-0005-0000-0000-0000CB560000}"/>
    <cellStyle name="40% - Accent1 5 3 3 4 2 2" xfId="40884" xr:uid="{00000000-0005-0000-0000-0000CC560000}"/>
    <cellStyle name="40% - Accent1 5 3 3 4 3" xfId="29583" xr:uid="{00000000-0005-0000-0000-0000CD560000}"/>
    <cellStyle name="40% - Accent1 5 3 3 5" xfId="12632" xr:uid="{00000000-0005-0000-0000-0000CE560000}"/>
    <cellStyle name="40% - Accent1 5 3 3 5 2" xfId="35234" xr:uid="{00000000-0005-0000-0000-0000CF560000}"/>
    <cellStyle name="40% - Accent1 5 3 3 6" xfId="23933" xr:uid="{00000000-0005-0000-0000-0000D0560000}"/>
    <cellStyle name="40% - Accent1 5 3 4" xfId="1845" xr:uid="{00000000-0005-0000-0000-0000D1560000}"/>
    <cellStyle name="40% - Accent1 5 3 4 2" xfId="3723" xr:uid="{00000000-0005-0000-0000-0000D2560000}"/>
    <cellStyle name="40% - Accent1 5 3 4 2 2" xfId="9433" xr:uid="{00000000-0005-0000-0000-0000D3560000}"/>
    <cellStyle name="40% - Accent1 5 3 4 2 2 2" xfId="20734" xr:uid="{00000000-0005-0000-0000-0000D4560000}"/>
    <cellStyle name="40% - Accent1 5 3 4 2 2 2 2" xfId="43336" xr:uid="{00000000-0005-0000-0000-0000D5560000}"/>
    <cellStyle name="40% - Accent1 5 3 4 2 2 3" xfId="32035" xr:uid="{00000000-0005-0000-0000-0000D6560000}"/>
    <cellStyle name="40% - Accent1 5 3 4 2 3" xfId="15084" xr:uid="{00000000-0005-0000-0000-0000D7560000}"/>
    <cellStyle name="40% - Accent1 5 3 4 2 3 2" xfId="37686" xr:uid="{00000000-0005-0000-0000-0000D8560000}"/>
    <cellStyle name="40% - Accent1 5 3 4 2 4" xfId="26385" xr:uid="{00000000-0005-0000-0000-0000D9560000}"/>
    <cellStyle name="40% - Accent1 5 3 4 3" xfId="5404" xr:uid="{00000000-0005-0000-0000-0000DA560000}"/>
    <cellStyle name="40% - Accent1 5 3 4 3 2" xfId="11054" xr:uid="{00000000-0005-0000-0000-0000DB560000}"/>
    <cellStyle name="40% - Accent1 5 3 4 3 2 2" xfId="22355" xr:uid="{00000000-0005-0000-0000-0000DC560000}"/>
    <cellStyle name="40% - Accent1 5 3 4 3 2 2 2" xfId="44957" xr:uid="{00000000-0005-0000-0000-0000DD560000}"/>
    <cellStyle name="40% - Accent1 5 3 4 3 2 3" xfId="33656" xr:uid="{00000000-0005-0000-0000-0000DE560000}"/>
    <cellStyle name="40% - Accent1 5 3 4 3 3" xfId="16705" xr:uid="{00000000-0005-0000-0000-0000DF560000}"/>
    <cellStyle name="40% - Accent1 5 3 4 3 3 2" xfId="39307" xr:uid="{00000000-0005-0000-0000-0000E0560000}"/>
    <cellStyle name="40% - Accent1 5 3 4 3 4" xfId="28006" xr:uid="{00000000-0005-0000-0000-0000E1560000}"/>
    <cellStyle name="40% - Accent1 5 3 4 4" xfId="7701" xr:uid="{00000000-0005-0000-0000-0000E2560000}"/>
    <cellStyle name="40% - Accent1 5 3 4 4 2" xfId="19002" xr:uid="{00000000-0005-0000-0000-0000E3560000}"/>
    <cellStyle name="40% - Accent1 5 3 4 4 2 2" xfId="41604" xr:uid="{00000000-0005-0000-0000-0000E4560000}"/>
    <cellStyle name="40% - Accent1 5 3 4 4 3" xfId="30303" xr:uid="{00000000-0005-0000-0000-0000E5560000}"/>
    <cellStyle name="40% - Accent1 5 3 4 5" xfId="13352" xr:uid="{00000000-0005-0000-0000-0000E6560000}"/>
    <cellStyle name="40% - Accent1 5 3 4 5 2" xfId="35954" xr:uid="{00000000-0005-0000-0000-0000E7560000}"/>
    <cellStyle name="40% - Accent1 5 3 4 6" xfId="24653" xr:uid="{00000000-0005-0000-0000-0000E8560000}"/>
    <cellStyle name="40% - Accent1 5 3 5" xfId="2385" xr:uid="{00000000-0005-0000-0000-0000E9560000}"/>
    <cellStyle name="40% - Accent1 5 3 5 2" xfId="8221" xr:uid="{00000000-0005-0000-0000-0000EA560000}"/>
    <cellStyle name="40% - Accent1 5 3 5 2 2" xfId="19522" xr:uid="{00000000-0005-0000-0000-0000EB560000}"/>
    <cellStyle name="40% - Accent1 5 3 5 2 2 2" xfId="42124" xr:uid="{00000000-0005-0000-0000-0000EC560000}"/>
    <cellStyle name="40% - Accent1 5 3 5 2 3" xfId="30823" xr:uid="{00000000-0005-0000-0000-0000ED560000}"/>
    <cellStyle name="40% - Accent1 5 3 5 3" xfId="13872" xr:uid="{00000000-0005-0000-0000-0000EE560000}"/>
    <cellStyle name="40% - Accent1 5 3 5 3 2" xfId="36474" xr:uid="{00000000-0005-0000-0000-0000EF560000}"/>
    <cellStyle name="40% - Accent1 5 3 5 4" xfId="25173" xr:uid="{00000000-0005-0000-0000-0000F0560000}"/>
    <cellStyle name="40% - Accent1 5 3 6" xfId="4170" xr:uid="{00000000-0005-0000-0000-0000F1560000}"/>
    <cellStyle name="40% - Accent1 5 3 6 2" xfId="9820" xr:uid="{00000000-0005-0000-0000-0000F2560000}"/>
    <cellStyle name="40% - Accent1 5 3 6 2 2" xfId="21121" xr:uid="{00000000-0005-0000-0000-0000F3560000}"/>
    <cellStyle name="40% - Accent1 5 3 6 2 2 2" xfId="43723" xr:uid="{00000000-0005-0000-0000-0000F4560000}"/>
    <cellStyle name="40% - Accent1 5 3 6 2 3" xfId="32422" xr:uid="{00000000-0005-0000-0000-0000F5560000}"/>
    <cellStyle name="40% - Accent1 5 3 6 3" xfId="15471" xr:uid="{00000000-0005-0000-0000-0000F6560000}"/>
    <cellStyle name="40% - Accent1 5 3 6 3 2" xfId="38073" xr:uid="{00000000-0005-0000-0000-0000F7560000}"/>
    <cellStyle name="40% - Accent1 5 3 6 4" xfId="26772" xr:uid="{00000000-0005-0000-0000-0000F8560000}"/>
    <cellStyle name="40% - Accent1 5 3 7" xfId="6648" xr:uid="{00000000-0005-0000-0000-0000F9560000}"/>
    <cellStyle name="40% - Accent1 5 3 7 2" xfId="17949" xr:uid="{00000000-0005-0000-0000-0000FA560000}"/>
    <cellStyle name="40% - Accent1 5 3 7 2 2" xfId="40551" xr:uid="{00000000-0005-0000-0000-0000FB560000}"/>
    <cellStyle name="40% - Accent1 5 3 7 3" xfId="29250" xr:uid="{00000000-0005-0000-0000-0000FC560000}"/>
    <cellStyle name="40% - Accent1 5 3 8" xfId="12299" xr:uid="{00000000-0005-0000-0000-0000FD560000}"/>
    <cellStyle name="40% - Accent1 5 3 8 2" xfId="34901" xr:uid="{00000000-0005-0000-0000-0000FE560000}"/>
    <cellStyle name="40% - Accent1 5 3 9" xfId="23600" xr:uid="{00000000-0005-0000-0000-0000FF560000}"/>
    <cellStyle name="40% - Accent1 5 4" xfId="1155" xr:uid="{00000000-0005-0000-0000-000000570000}"/>
    <cellStyle name="40% - Accent1 5 4 2" xfId="1847" xr:uid="{00000000-0005-0000-0000-000001570000}"/>
    <cellStyle name="40% - Accent1 5 4 2 2" xfId="3223" xr:uid="{00000000-0005-0000-0000-000002570000}"/>
    <cellStyle name="40% - Accent1 5 4 2 2 2" xfId="6195" xr:uid="{00000000-0005-0000-0000-000003570000}"/>
    <cellStyle name="40% - Accent1 5 4 2 2 2 2" xfId="11845" xr:uid="{00000000-0005-0000-0000-000004570000}"/>
    <cellStyle name="40% - Accent1 5 4 2 2 2 2 2" xfId="23146" xr:uid="{00000000-0005-0000-0000-000005570000}"/>
    <cellStyle name="40% - Accent1 5 4 2 2 2 2 2 2" xfId="45748" xr:uid="{00000000-0005-0000-0000-000006570000}"/>
    <cellStyle name="40% - Accent1 5 4 2 2 2 2 3" xfId="34447" xr:uid="{00000000-0005-0000-0000-000007570000}"/>
    <cellStyle name="40% - Accent1 5 4 2 2 2 3" xfId="17496" xr:uid="{00000000-0005-0000-0000-000008570000}"/>
    <cellStyle name="40% - Accent1 5 4 2 2 2 3 2" xfId="40098" xr:uid="{00000000-0005-0000-0000-000009570000}"/>
    <cellStyle name="40% - Accent1 5 4 2 2 2 4" xfId="28797" xr:uid="{00000000-0005-0000-0000-00000A570000}"/>
    <cellStyle name="40% - Accent1 5 4 2 2 3" xfId="9013" xr:uid="{00000000-0005-0000-0000-00000B570000}"/>
    <cellStyle name="40% - Accent1 5 4 2 2 3 2" xfId="20314" xr:uid="{00000000-0005-0000-0000-00000C570000}"/>
    <cellStyle name="40% - Accent1 5 4 2 2 3 2 2" xfId="42916" xr:uid="{00000000-0005-0000-0000-00000D570000}"/>
    <cellStyle name="40% - Accent1 5 4 2 2 3 3" xfId="31615" xr:uid="{00000000-0005-0000-0000-00000E570000}"/>
    <cellStyle name="40% - Accent1 5 4 2 2 4" xfId="14664" xr:uid="{00000000-0005-0000-0000-00000F570000}"/>
    <cellStyle name="40% - Accent1 5 4 2 2 4 2" xfId="37266" xr:uid="{00000000-0005-0000-0000-000010570000}"/>
    <cellStyle name="40% - Accent1 5 4 2 2 5" xfId="25965" xr:uid="{00000000-0005-0000-0000-000011570000}"/>
    <cellStyle name="40% - Accent1 5 4 2 3" xfId="4961" xr:uid="{00000000-0005-0000-0000-000012570000}"/>
    <cellStyle name="40% - Accent1 5 4 2 3 2" xfId="10611" xr:uid="{00000000-0005-0000-0000-000013570000}"/>
    <cellStyle name="40% - Accent1 5 4 2 3 2 2" xfId="21912" xr:uid="{00000000-0005-0000-0000-000014570000}"/>
    <cellStyle name="40% - Accent1 5 4 2 3 2 2 2" xfId="44514" xr:uid="{00000000-0005-0000-0000-000015570000}"/>
    <cellStyle name="40% - Accent1 5 4 2 3 2 3" xfId="33213" xr:uid="{00000000-0005-0000-0000-000016570000}"/>
    <cellStyle name="40% - Accent1 5 4 2 3 3" xfId="16262" xr:uid="{00000000-0005-0000-0000-000017570000}"/>
    <cellStyle name="40% - Accent1 5 4 2 3 3 2" xfId="38864" xr:uid="{00000000-0005-0000-0000-000018570000}"/>
    <cellStyle name="40% - Accent1 5 4 2 3 4" xfId="27563" xr:uid="{00000000-0005-0000-0000-000019570000}"/>
    <cellStyle name="40% - Accent1 5 4 2 4" xfId="7703" xr:uid="{00000000-0005-0000-0000-00001A570000}"/>
    <cellStyle name="40% - Accent1 5 4 2 4 2" xfId="19004" xr:uid="{00000000-0005-0000-0000-00001B570000}"/>
    <cellStyle name="40% - Accent1 5 4 2 4 2 2" xfId="41606" xr:uid="{00000000-0005-0000-0000-00001C570000}"/>
    <cellStyle name="40% - Accent1 5 4 2 4 3" xfId="30305" xr:uid="{00000000-0005-0000-0000-00001D570000}"/>
    <cellStyle name="40% - Accent1 5 4 2 5" xfId="13354" xr:uid="{00000000-0005-0000-0000-00001E570000}"/>
    <cellStyle name="40% - Accent1 5 4 2 5 2" xfId="35956" xr:uid="{00000000-0005-0000-0000-00001F570000}"/>
    <cellStyle name="40% - Accent1 5 4 2 6" xfId="24655" xr:uid="{00000000-0005-0000-0000-000020570000}"/>
    <cellStyle name="40% - Accent1 5 4 3" xfId="2552" xr:uid="{00000000-0005-0000-0000-000021570000}"/>
    <cellStyle name="40% - Accent1 5 4 3 2" xfId="5571" xr:uid="{00000000-0005-0000-0000-000022570000}"/>
    <cellStyle name="40% - Accent1 5 4 3 2 2" xfId="11221" xr:uid="{00000000-0005-0000-0000-000023570000}"/>
    <cellStyle name="40% - Accent1 5 4 3 2 2 2" xfId="22522" xr:uid="{00000000-0005-0000-0000-000024570000}"/>
    <cellStyle name="40% - Accent1 5 4 3 2 2 2 2" xfId="45124" xr:uid="{00000000-0005-0000-0000-000025570000}"/>
    <cellStyle name="40% - Accent1 5 4 3 2 2 3" xfId="33823" xr:uid="{00000000-0005-0000-0000-000026570000}"/>
    <cellStyle name="40% - Accent1 5 4 3 2 3" xfId="16872" xr:uid="{00000000-0005-0000-0000-000027570000}"/>
    <cellStyle name="40% - Accent1 5 4 3 2 3 2" xfId="39474" xr:uid="{00000000-0005-0000-0000-000028570000}"/>
    <cellStyle name="40% - Accent1 5 4 3 2 4" xfId="28173" xr:uid="{00000000-0005-0000-0000-000029570000}"/>
    <cellStyle name="40% - Accent1 5 4 3 3" xfId="8388" xr:uid="{00000000-0005-0000-0000-00002A570000}"/>
    <cellStyle name="40% - Accent1 5 4 3 3 2" xfId="19689" xr:uid="{00000000-0005-0000-0000-00002B570000}"/>
    <cellStyle name="40% - Accent1 5 4 3 3 2 2" xfId="42291" xr:uid="{00000000-0005-0000-0000-00002C570000}"/>
    <cellStyle name="40% - Accent1 5 4 3 3 3" xfId="30990" xr:uid="{00000000-0005-0000-0000-00002D570000}"/>
    <cellStyle name="40% - Accent1 5 4 3 4" xfId="14039" xr:uid="{00000000-0005-0000-0000-00002E570000}"/>
    <cellStyle name="40% - Accent1 5 4 3 4 2" xfId="36641" xr:uid="{00000000-0005-0000-0000-00002F570000}"/>
    <cellStyle name="40% - Accent1 5 4 3 5" xfId="25340" xr:uid="{00000000-0005-0000-0000-000030570000}"/>
    <cellStyle name="40% - Accent1 5 4 4" xfId="4337" xr:uid="{00000000-0005-0000-0000-000031570000}"/>
    <cellStyle name="40% - Accent1 5 4 4 2" xfId="9987" xr:uid="{00000000-0005-0000-0000-000032570000}"/>
    <cellStyle name="40% - Accent1 5 4 4 2 2" xfId="21288" xr:uid="{00000000-0005-0000-0000-000033570000}"/>
    <cellStyle name="40% - Accent1 5 4 4 2 2 2" xfId="43890" xr:uid="{00000000-0005-0000-0000-000034570000}"/>
    <cellStyle name="40% - Accent1 5 4 4 2 3" xfId="32589" xr:uid="{00000000-0005-0000-0000-000035570000}"/>
    <cellStyle name="40% - Accent1 5 4 4 3" xfId="15638" xr:uid="{00000000-0005-0000-0000-000036570000}"/>
    <cellStyle name="40% - Accent1 5 4 4 3 2" xfId="38240" xr:uid="{00000000-0005-0000-0000-000037570000}"/>
    <cellStyle name="40% - Accent1 5 4 4 4" xfId="26939" xr:uid="{00000000-0005-0000-0000-000038570000}"/>
    <cellStyle name="40% - Accent1 5 4 5" xfId="7134" xr:uid="{00000000-0005-0000-0000-000039570000}"/>
    <cellStyle name="40% - Accent1 5 4 5 2" xfId="18435" xr:uid="{00000000-0005-0000-0000-00003A570000}"/>
    <cellStyle name="40% - Accent1 5 4 5 2 2" xfId="41037" xr:uid="{00000000-0005-0000-0000-00003B570000}"/>
    <cellStyle name="40% - Accent1 5 4 5 3" xfId="29736" xr:uid="{00000000-0005-0000-0000-00003C570000}"/>
    <cellStyle name="40% - Accent1 5 4 6" xfId="12785" xr:uid="{00000000-0005-0000-0000-00003D570000}"/>
    <cellStyle name="40% - Accent1 5 4 6 2" xfId="35387" xr:uid="{00000000-0005-0000-0000-00003E570000}"/>
    <cellStyle name="40% - Accent1 5 4 7" xfId="24086" xr:uid="{00000000-0005-0000-0000-00003F570000}"/>
    <cellStyle name="40% - Accent1 5 5" xfId="834" xr:uid="{00000000-0005-0000-0000-000040570000}"/>
    <cellStyle name="40% - Accent1 5 5 2" xfId="2916" xr:uid="{00000000-0005-0000-0000-000041570000}"/>
    <cellStyle name="40% - Accent1 5 5 2 2" xfId="5888" xr:uid="{00000000-0005-0000-0000-000042570000}"/>
    <cellStyle name="40% - Accent1 5 5 2 2 2" xfId="11538" xr:uid="{00000000-0005-0000-0000-000043570000}"/>
    <cellStyle name="40% - Accent1 5 5 2 2 2 2" xfId="22839" xr:uid="{00000000-0005-0000-0000-000044570000}"/>
    <cellStyle name="40% - Accent1 5 5 2 2 2 2 2" xfId="45441" xr:uid="{00000000-0005-0000-0000-000045570000}"/>
    <cellStyle name="40% - Accent1 5 5 2 2 2 3" xfId="34140" xr:uid="{00000000-0005-0000-0000-000046570000}"/>
    <cellStyle name="40% - Accent1 5 5 2 2 3" xfId="17189" xr:uid="{00000000-0005-0000-0000-000047570000}"/>
    <cellStyle name="40% - Accent1 5 5 2 2 3 2" xfId="39791" xr:uid="{00000000-0005-0000-0000-000048570000}"/>
    <cellStyle name="40% - Accent1 5 5 2 2 4" xfId="28490" xr:uid="{00000000-0005-0000-0000-000049570000}"/>
    <cellStyle name="40% - Accent1 5 5 2 3" xfId="8706" xr:uid="{00000000-0005-0000-0000-00004A570000}"/>
    <cellStyle name="40% - Accent1 5 5 2 3 2" xfId="20007" xr:uid="{00000000-0005-0000-0000-00004B570000}"/>
    <cellStyle name="40% - Accent1 5 5 2 3 2 2" xfId="42609" xr:uid="{00000000-0005-0000-0000-00004C570000}"/>
    <cellStyle name="40% - Accent1 5 5 2 3 3" xfId="31308" xr:uid="{00000000-0005-0000-0000-00004D570000}"/>
    <cellStyle name="40% - Accent1 5 5 2 4" xfId="14357" xr:uid="{00000000-0005-0000-0000-00004E570000}"/>
    <cellStyle name="40% - Accent1 5 5 2 4 2" xfId="36959" xr:uid="{00000000-0005-0000-0000-00004F570000}"/>
    <cellStyle name="40% - Accent1 5 5 2 5" xfId="25658" xr:uid="{00000000-0005-0000-0000-000050570000}"/>
    <cellStyle name="40% - Accent1 5 5 3" xfId="4654" xr:uid="{00000000-0005-0000-0000-000051570000}"/>
    <cellStyle name="40% - Accent1 5 5 3 2" xfId="10304" xr:uid="{00000000-0005-0000-0000-000052570000}"/>
    <cellStyle name="40% - Accent1 5 5 3 2 2" xfId="21605" xr:uid="{00000000-0005-0000-0000-000053570000}"/>
    <cellStyle name="40% - Accent1 5 5 3 2 2 2" xfId="44207" xr:uid="{00000000-0005-0000-0000-000054570000}"/>
    <cellStyle name="40% - Accent1 5 5 3 2 3" xfId="32906" xr:uid="{00000000-0005-0000-0000-000055570000}"/>
    <cellStyle name="40% - Accent1 5 5 3 3" xfId="15955" xr:uid="{00000000-0005-0000-0000-000056570000}"/>
    <cellStyle name="40% - Accent1 5 5 3 3 2" xfId="38557" xr:uid="{00000000-0005-0000-0000-000057570000}"/>
    <cellStyle name="40% - Accent1 5 5 3 4" xfId="27256" xr:uid="{00000000-0005-0000-0000-000058570000}"/>
    <cellStyle name="40% - Accent1 5 5 4" xfId="6839" xr:uid="{00000000-0005-0000-0000-000059570000}"/>
    <cellStyle name="40% - Accent1 5 5 4 2" xfId="18140" xr:uid="{00000000-0005-0000-0000-00005A570000}"/>
    <cellStyle name="40% - Accent1 5 5 4 2 2" xfId="40742" xr:uid="{00000000-0005-0000-0000-00005B570000}"/>
    <cellStyle name="40% - Accent1 5 5 4 3" xfId="29441" xr:uid="{00000000-0005-0000-0000-00005C570000}"/>
    <cellStyle name="40% - Accent1 5 5 5" xfId="12490" xr:uid="{00000000-0005-0000-0000-00005D570000}"/>
    <cellStyle name="40% - Accent1 5 5 5 2" xfId="35092" xr:uid="{00000000-0005-0000-0000-00005E570000}"/>
    <cellStyle name="40% - Accent1 5 5 6" xfId="23791" xr:uid="{00000000-0005-0000-0000-00005F570000}"/>
    <cellStyle name="40% - Accent1 5 6" xfId="1840" xr:uid="{00000000-0005-0000-0000-000060570000}"/>
    <cellStyle name="40% - Accent1 5 6 2" xfId="3720" xr:uid="{00000000-0005-0000-0000-000061570000}"/>
    <cellStyle name="40% - Accent1 5 6 2 2" xfId="9430" xr:uid="{00000000-0005-0000-0000-000062570000}"/>
    <cellStyle name="40% - Accent1 5 6 2 2 2" xfId="20731" xr:uid="{00000000-0005-0000-0000-000063570000}"/>
    <cellStyle name="40% - Accent1 5 6 2 2 2 2" xfId="43333" xr:uid="{00000000-0005-0000-0000-000064570000}"/>
    <cellStyle name="40% - Accent1 5 6 2 2 3" xfId="32032" xr:uid="{00000000-0005-0000-0000-000065570000}"/>
    <cellStyle name="40% - Accent1 5 6 2 3" xfId="15081" xr:uid="{00000000-0005-0000-0000-000066570000}"/>
    <cellStyle name="40% - Accent1 5 6 2 3 2" xfId="37683" xr:uid="{00000000-0005-0000-0000-000067570000}"/>
    <cellStyle name="40% - Accent1 5 6 2 4" xfId="26382" xr:uid="{00000000-0005-0000-0000-000068570000}"/>
    <cellStyle name="40% - Accent1 5 6 3" xfId="5264" xr:uid="{00000000-0005-0000-0000-000069570000}"/>
    <cellStyle name="40% - Accent1 5 6 3 2" xfId="10914" xr:uid="{00000000-0005-0000-0000-00006A570000}"/>
    <cellStyle name="40% - Accent1 5 6 3 2 2" xfId="22215" xr:uid="{00000000-0005-0000-0000-00006B570000}"/>
    <cellStyle name="40% - Accent1 5 6 3 2 2 2" xfId="44817" xr:uid="{00000000-0005-0000-0000-00006C570000}"/>
    <cellStyle name="40% - Accent1 5 6 3 2 3" xfId="33516" xr:uid="{00000000-0005-0000-0000-00006D570000}"/>
    <cellStyle name="40% - Accent1 5 6 3 3" xfId="16565" xr:uid="{00000000-0005-0000-0000-00006E570000}"/>
    <cellStyle name="40% - Accent1 5 6 3 3 2" xfId="39167" xr:uid="{00000000-0005-0000-0000-00006F570000}"/>
    <cellStyle name="40% - Accent1 5 6 3 4" xfId="27866" xr:uid="{00000000-0005-0000-0000-000070570000}"/>
    <cellStyle name="40% - Accent1 5 6 4" xfId="7696" xr:uid="{00000000-0005-0000-0000-000071570000}"/>
    <cellStyle name="40% - Accent1 5 6 4 2" xfId="18997" xr:uid="{00000000-0005-0000-0000-000072570000}"/>
    <cellStyle name="40% - Accent1 5 6 4 2 2" xfId="41599" xr:uid="{00000000-0005-0000-0000-000073570000}"/>
    <cellStyle name="40% - Accent1 5 6 4 3" xfId="30298" xr:uid="{00000000-0005-0000-0000-000074570000}"/>
    <cellStyle name="40% - Accent1 5 6 5" xfId="13347" xr:uid="{00000000-0005-0000-0000-000075570000}"/>
    <cellStyle name="40% - Accent1 5 6 5 2" xfId="35949" xr:uid="{00000000-0005-0000-0000-000076570000}"/>
    <cellStyle name="40% - Accent1 5 6 6" xfId="24648" xr:uid="{00000000-0005-0000-0000-000077570000}"/>
    <cellStyle name="40% - Accent1 5 7" xfId="2237" xr:uid="{00000000-0005-0000-0000-000078570000}"/>
    <cellStyle name="40% - Accent1 5 7 2" xfId="8078" xr:uid="{00000000-0005-0000-0000-000079570000}"/>
    <cellStyle name="40% - Accent1 5 7 2 2" xfId="19379" xr:uid="{00000000-0005-0000-0000-00007A570000}"/>
    <cellStyle name="40% - Accent1 5 7 2 2 2" xfId="41981" xr:uid="{00000000-0005-0000-0000-00007B570000}"/>
    <cellStyle name="40% - Accent1 5 7 2 3" xfId="30680" xr:uid="{00000000-0005-0000-0000-00007C570000}"/>
    <cellStyle name="40% - Accent1 5 7 3" xfId="13729" xr:uid="{00000000-0005-0000-0000-00007D570000}"/>
    <cellStyle name="40% - Accent1 5 7 3 2" xfId="36331" xr:uid="{00000000-0005-0000-0000-00007E570000}"/>
    <cellStyle name="40% - Accent1 5 7 4" xfId="25030" xr:uid="{00000000-0005-0000-0000-00007F570000}"/>
    <cellStyle name="40% - Accent1 5 8" xfId="4030" xr:uid="{00000000-0005-0000-0000-000080570000}"/>
    <cellStyle name="40% - Accent1 5 8 2" xfId="9680" xr:uid="{00000000-0005-0000-0000-000081570000}"/>
    <cellStyle name="40% - Accent1 5 8 2 2" xfId="20981" xr:uid="{00000000-0005-0000-0000-000082570000}"/>
    <cellStyle name="40% - Accent1 5 8 2 2 2" xfId="43583" xr:uid="{00000000-0005-0000-0000-000083570000}"/>
    <cellStyle name="40% - Accent1 5 8 2 3" xfId="32282" xr:uid="{00000000-0005-0000-0000-000084570000}"/>
    <cellStyle name="40% - Accent1 5 8 3" xfId="15331" xr:uid="{00000000-0005-0000-0000-000085570000}"/>
    <cellStyle name="40% - Accent1 5 8 3 2" xfId="37933" xr:uid="{00000000-0005-0000-0000-000086570000}"/>
    <cellStyle name="40% - Accent1 5 8 4" xfId="26632" xr:uid="{00000000-0005-0000-0000-000087570000}"/>
    <cellStyle name="40% - Accent1 5 9" xfId="6481" xr:uid="{00000000-0005-0000-0000-000088570000}"/>
    <cellStyle name="40% - Accent1 5 9 2" xfId="17782" xr:uid="{00000000-0005-0000-0000-000089570000}"/>
    <cellStyle name="40% - Accent1 5 9 2 2" xfId="40384" xr:uid="{00000000-0005-0000-0000-00008A570000}"/>
    <cellStyle name="40% - Accent1 5 9 3" xfId="29083" xr:uid="{00000000-0005-0000-0000-00008B570000}"/>
    <cellStyle name="40% - Accent1 6" xfId="294" xr:uid="{00000000-0005-0000-0000-00008C570000}"/>
    <cellStyle name="40% - Accent1 7" xfId="392" xr:uid="{00000000-0005-0000-0000-00008D570000}"/>
    <cellStyle name="40% - Accent1 7 10" xfId="23487" xr:uid="{00000000-0005-0000-0000-00008E570000}"/>
    <cellStyle name="40% - Accent1 7 2" xfId="637" xr:uid="{00000000-0005-0000-0000-00008F570000}"/>
    <cellStyle name="40% - Accent1 7 2 2" xfId="1347" xr:uid="{00000000-0005-0000-0000-000090570000}"/>
    <cellStyle name="40% - Accent1 7 2 2 2" xfId="1850" xr:uid="{00000000-0005-0000-0000-000091570000}"/>
    <cellStyle name="40% - Accent1 7 2 2 2 2" xfId="3416" xr:uid="{00000000-0005-0000-0000-000092570000}"/>
    <cellStyle name="40% - Accent1 7 2 2 2 2 2" xfId="6388" xr:uid="{00000000-0005-0000-0000-000093570000}"/>
    <cellStyle name="40% - Accent1 7 2 2 2 2 2 2" xfId="12038" xr:uid="{00000000-0005-0000-0000-000094570000}"/>
    <cellStyle name="40% - Accent1 7 2 2 2 2 2 2 2" xfId="23339" xr:uid="{00000000-0005-0000-0000-000095570000}"/>
    <cellStyle name="40% - Accent1 7 2 2 2 2 2 2 2 2" xfId="45941" xr:uid="{00000000-0005-0000-0000-000096570000}"/>
    <cellStyle name="40% - Accent1 7 2 2 2 2 2 2 3" xfId="34640" xr:uid="{00000000-0005-0000-0000-000097570000}"/>
    <cellStyle name="40% - Accent1 7 2 2 2 2 2 3" xfId="17689" xr:uid="{00000000-0005-0000-0000-000098570000}"/>
    <cellStyle name="40% - Accent1 7 2 2 2 2 2 3 2" xfId="40291" xr:uid="{00000000-0005-0000-0000-000099570000}"/>
    <cellStyle name="40% - Accent1 7 2 2 2 2 2 4" xfId="28990" xr:uid="{00000000-0005-0000-0000-00009A570000}"/>
    <cellStyle name="40% - Accent1 7 2 2 2 2 3" xfId="9206" xr:uid="{00000000-0005-0000-0000-00009B570000}"/>
    <cellStyle name="40% - Accent1 7 2 2 2 2 3 2" xfId="20507" xr:uid="{00000000-0005-0000-0000-00009C570000}"/>
    <cellStyle name="40% - Accent1 7 2 2 2 2 3 2 2" xfId="43109" xr:uid="{00000000-0005-0000-0000-00009D570000}"/>
    <cellStyle name="40% - Accent1 7 2 2 2 2 3 3" xfId="31808" xr:uid="{00000000-0005-0000-0000-00009E570000}"/>
    <cellStyle name="40% - Accent1 7 2 2 2 2 4" xfId="14857" xr:uid="{00000000-0005-0000-0000-00009F570000}"/>
    <cellStyle name="40% - Accent1 7 2 2 2 2 4 2" xfId="37459" xr:uid="{00000000-0005-0000-0000-0000A0570000}"/>
    <cellStyle name="40% - Accent1 7 2 2 2 2 5" xfId="26158" xr:uid="{00000000-0005-0000-0000-0000A1570000}"/>
    <cellStyle name="40% - Accent1 7 2 2 2 3" xfId="5154" xr:uid="{00000000-0005-0000-0000-0000A2570000}"/>
    <cellStyle name="40% - Accent1 7 2 2 2 3 2" xfId="10804" xr:uid="{00000000-0005-0000-0000-0000A3570000}"/>
    <cellStyle name="40% - Accent1 7 2 2 2 3 2 2" xfId="22105" xr:uid="{00000000-0005-0000-0000-0000A4570000}"/>
    <cellStyle name="40% - Accent1 7 2 2 2 3 2 2 2" xfId="44707" xr:uid="{00000000-0005-0000-0000-0000A5570000}"/>
    <cellStyle name="40% - Accent1 7 2 2 2 3 2 3" xfId="33406" xr:uid="{00000000-0005-0000-0000-0000A6570000}"/>
    <cellStyle name="40% - Accent1 7 2 2 2 3 3" xfId="16455" xr:uid="{00000000-0005-0000-0000-0000A7570000}"/>
    <cellStyle name="40% - Accent1 7 2 2 2 3 3 2" xfId="39057" xr:uid="{00000000-0005-0000-0000-0000A8570000}"/>
    <cellStyle name="40% - Accent1 7 2 2 2 3 4" xfId="27756" xr:uid="{00000000-0005-0000-0000-0000A9570000}"/>
    <cellStyle name="40% - Accent1 7 2 2 2 4" xfId="7706" xr:uid="{00000000-0005-0000-0000-0000AA570000}"/>
    <cellStyle name="40% - Accent1 7 2 2 2 4 2" xfId="19007" xr:uid="{00000000-0005-0000-0000-0000AB570000}"/>
    <cellStyle name="40% - Accent1 7 2 2 2 4 2 2" xfId="41609" xr:uid="{00000000-0005-0000-0000-0000AC570000}"/>
    <cellStyle name="40% - Accent1 7 2 2 2 4 3" xfId="30308" xr:uid="{00000000-0005-0000-0000-0000AD570000}"/>
    <cellStyle name="40% - Accent1 7 2 2 2 5" xfId="13357" xr:uid="{00000000-0005-0000-0000-0000AE570000}"/>
    <cellStyle name="40% - Accent1 7 2 2 2 5 2" xfId="35959" xr:uid="{00000000-0005-0000-0000-0000AF570000}"/>
    <cellStyle name="40% - Accent1 7 2 2 2 6" xfId="24658" xr:uid="{00000000-0005-0000-0000-0000B0570000}"/>
    <cellStyle name="40% - Accent1 7 2 2 3" xfId="2745" xr:uid="{00000000-0005-0000-0000-0000B1570000}"/>
    <cellStyle name="40% - Accent1 7 2 2 3 2" xfId="5764" xr:uid="{00000000-0005-0000-0000-0000B2570000}"/>
    <cellStyle name="40% - Accent1 7 2 2 3 2 2" xfId="11414" xr:uid="{00000000-0005-0000-0000-0000B3570000}"/>
    <cellStyle name="40% - Accent1 7 2 2 3 2 2 2" xfId="22715" xr:uid="{00000000-0005-0000-0000-0000B4570000}"/>
    <cellStyle name="40% - Accent1 7 2 2 3 2 2 2 2" xfId="45317" xr:uid="{00000000-0005-0000-0000-0000B5570000}"/>
    <cellStyle name="40% - Accent1 7 2 2 3 2 2 3" xfId="34016" xr:uid="{00000000-0005-0000-0000-0000B6570000}"/>
    <cellStyle name="40% - Accent1 7 2 2 3 2 3" xfId="17065" xr:uid="{00000000-0005-0000-0000-0000B7570000}"/>
    <cellStyle name="40% - Accent1 7 2 2 3 2 3 2" xfId="39667" xr:uid="{00000000-0005-0000-0000-0000B8570000}"/>
    <cellStyle name="40% - Accent1 7 2 2 3 2 4" xfId="28366" xr:uid="{00000000-0005-0000-0000-0000B9570000}"/>
    <cellStyle name="40% - Accent1 7 2 2 3 3" xfId="8581" xr:uid="{00000000-0005-0000-0000-0000BA570000}"/>
    <cellStyle name="40% - Accent1 7 2 2 3 3 2" xfId="19882" xr:uid="{00000000-0005-0000-0000-0000BB570000}"/>
    <cellStyle name="40% - Accent1 7 2 2 3 3 2 2" xfId="42484" xr:uid="{00000000-0005-0000-0000-0000BC570000}"/>
    <cellStyle name="40% - Accent1 7 2 2 3 3 3" xfId="31183" xr:uid="{00000000-0005-0000-0000-0000BD570000}"/>
    <cellStyle name="40% - Accent1 7 2 2 3 4" xfId="14232" xr:uid="{00000000-0005-0000-0000-0000BE570000}"/>
    <cellStyle name="40% - Accent1 7 2 2 3 4 2" xfId="36834" xr:uid="{00000000-0005-0000-0000-0000BF570000}"/>
    <cellStyle name="40% - Accent1 7 2 2 3 5" xfId="25533" xr:uid="{00000000-0005-0000-0000-0000C0570000}"/>
    <cellStyle name="40% - Accent1 7 2 2 4" xfId="4530" xr:uid="{00000000-0005-0000-0000-0000C1570000}"/>
    <cellStyle name="40% - Accent1 7 2 2 4 2" xfId="10180" xr:uid="{00000000-0005-0000-0000-0000C2570000}"/>
    <cellStyle name="40% - Accent1 7 2 2 4 2 2" xfId="21481" xr:uid="{00000000-0005-0000-0000-0000C3570000}"/>
    <cellStyle name="40% - Accent1 7 2 2 4 2 2 2" xfId="44083" xr:uid="{00000000-0005-0000-0000-0000C4570000}"/>
    <cellStyle name="40% - Accent1 7 2 2 4 2 3" xfId="32782" xr:uid="{00000000-0005-0000-0000-0000C5570000}"/>
    <cellStyle name="40% - Accent1 7 2 2 4 3" xfId="15831" xr:uid="{00000000-0005-0000-0000-0000C6570000}"/>
    <cellStyle name="40% - Accent1 7 2 2 4 3 2" xfId="38433" xr:uid="{00000000-0005-0000-0000-0000C7570000}"/>
    <cellStyle name="40% - Accent1 7 2 2 4 4" xfId="27132" xr:uid="{00000000-0005-0000-0000-0000C8570000}"/>
    <cellStyle name="40% - Accent1 7 2 2 5" xfId="7326" xr:uid="{00000000-0005-0000-0000-0000C9570000}"/>
    <cellStyle name="40% - Accent1 7 2 2 5 2" xfId="18627" xr:uid="{00000000-0005-0000-0000-0000CA570000}"/>
    <cellStyle name="40% - Accent1 7 2 2 5 2 2" xfId="41229" xr:uid="{00000000-0005-0000-0000-0000CB570000}"/>
    <cellStyle name="40% - Accent1 7 2 2 5 3" xfId="29928" xr:uid="{00000000-0005-0000-0000-0000CC570000}"/>
    <cellStyle name="40% - Accent1 7 2 2 6" xfId="12977" xr:uid="{00000000-0005-0000-0000-0000CD570000}"/>
    <cellStyle name="40% - Accent1 7 2 2 6 2" xfId="35579" xr:uid="{00000000-0005-0000-0000-0000CE570000}"/>
    <cellStyle name="40% - Accent1 7 2 2 7" xfId="24278" xr:uid="{00000000-0005-0000-0000-0000CF570000}"/>
    <cellStyle name="40% - Accent1 7 2 3" xfId="1045" xr:uid="{00000000-0005-0000-0000-0000D0570000}"/>
    <cellStyle name="40% - Accent1 7 2 3 2" xfId="3108" xr:uid="{00000000-0005-0000-0000-0000D1570000}"/>
    <cellStyle name="40% - Accent1 7 2 3 2 2" xfId="6080" xr:uid="{00000000-0005-0000-0000-0000D2570000}"/>
    <cellStyle name="40% - Accent1 7 2 3 2 2 2" xfId="11730" xr:uid="{00000000-0005-0000-0000-0000D3570000}"/>
    <cellStyle name="40% - Accent1 7 2 3 2 2 2 2" xfId="23031" xr:uid="{00000000-0005-0000-0000-0000D4570000}"/>
    <cellStyle name="40% - Accent1 7 2 3 2 2 2 2 2" xfId="45633" xr:uid="{00000000-0005-0000-0000-0000D5570000}"/>
    <cellStyle name="40% - Accent1 7 2 3 2 2 2 3" xfId="34332" xr:uid="{00000000-0005-0000-0000-0000D6570000}"/>
    <cellStyle name="40% - Accent1 7 2 3 2 2 3" xfId="17381" xr:uid="{00000000-0005-0000-0000-0000D7570000}"/>
    <cellStyle name="40% - Accent1 7 2 3 2 2 3 2" xfId="39983" xr:uid="{00000000-0005-0000-0000-0000D8570000}"/>
    <cellStyle name="40% - Accent1 7 2 3 2 2 4" xfId="28682" xr:uid="{00000000-0005-0000-0000-0000D9570000}"/>
    <cellStyle name="40% - Accent1 7 2 3 2 3" xfId="8898" xr:uid="{00000000-0005-0000-0000-0000DA570000}"/>
    <cellStyle name="40% - Accent1 7 2 3 2 3 2" xfId="20199" xr:uid="{00000000-0005-0000-0000-0000DB570000}"/>
    <cellStyle name="40% - Accent1 7 2 3 2 3 2 2" xfId="42801" xr:uid="{00000000-0005-0000-0000-0000DC570000}"/>
    <cellStyle name="40% - Accent1 7 2 3 2 3 3" xfId="31500" xr:uid="{00000000-0005-0000-0000-0000DD570000}"/>
    <cellStyle name="40% - Accent1 7 2 3 2 4" xfId="14549" xr:uid="{00000000-0005-0000-0000-0000DE570000}"/>
    <cellStyle name="40% - Accent1 7 2 3 2 4 2" xfId="37151" xr:uid="{00000000-0005-0000-0000-0000DF570000}"/>
    <cellStyle name="40% - Accent1 7 2 3 2 5" xfId="25850" xr:uid="{00000000-0005-0000-0000-0000E0570000}"/>
    <cellStyle name="40% - Accent1 7 2 3 3" xfId="4846" xr:uid="{00000000-0005-0000-0000-0000E1570000}"/>
    <cellStyle name="40% - Accent1 7 2 3 3 2" xfId="10496" xr:uid="{00000000-0005-0000-0000-0000E2570000}"/>
    <cellStyle name="40% - Accent1 7 2 3 3 2 2" xfId="21797" xr:uid="{00000000-0005-0000-0000-0000E3570000}"/>
    <cellStyle name="40% - Accent1 7 2 3 3 2 2 2" xfId="44399" xr:uid="{00000000-0005-0000-0000-0000E4570000}"/>
    <cellStyle name="40% - Accent1 7 2 3 3 2 3" xfId="33098" xr:uid="{00000000-0005-0000-0000-0000E5570000}"/>
    <cellStyle name="40% - Accent1 7 2 3 3 3" xfId="16147" xr:uid="{00000000-0005-0000-0000-0000E6570000}"/>
    <cellStyle name="40% - Accent1 7 2 3 3 3 2" xfId="38749" xr:uid="{00000000-0005-0000-0000-0000E7570000}"/>
    <cellStyle name="40% - Accent1 7 2 3 3 4" xfId="27448" xr:uid="{00000000-0005-0000-0000-0000E8570000}"/>
    <cellStyle name="40% - Accent1 7 2 3 4" xfId="7033" xr:uid="{00000000-0005-0000-0000-0000E9570000}"/>
    <cellStyle name="40% - Accent1 7 2 3 4 2" xfId="18334" xr:uid="{00000000-0005-0000-0000-0000EA570000}"/>
    <cellStyle name="40% - Accent1 7 2 3 4 2 2" xfId="40936" xr:uid="{00000000-0005-0000-0000-0000EB570000}"/>
    <cellStyle name="40% - Accent1 7 2 3 4 3" xfId="29635" xr:uid="{00000000-0005-0000-0000-0000EC570000}"/>
    <cellStyle name="40% - Accent1 7 2 3 5" xfId="12684" xr:uid="{00000000-0005-0000-0000-0000ED570000}"/>
    <cellStyle name="40% - Accent1 7 2 3 5 2" xfId="35286" xr:uid="{00000000-0005-0000-0000-0000EE570000}"/>
    <cellStyle name="40% - Accent1 7 2 3 6" xfId="23985" xr:uid="{00000000-0005-0000-0000-0000EF570000}"/>
    <cellStyle name="40% - Accent1 7 2 4" xfId="1849" xr:uid="{00000000-0005-0000-0000-0000F0570000}"/>
    <cellStyle name="40% - Accent1 7 2 4 2" xfId="3725" xr:uid="{00000000-0005-0000-0000-0000F1570000}"/>
    <cellStyle name="40% - Accent1 7 2 4 2 2" xfId="9435" xr:uid="{00000000-0005-0000-0000-0000F2570000}"/>
    <cellStyle name="40% - Accent1 7 2 4 2 2 2" xfId="20736" xr:uid="{00000000-0005-0000-0000-0000F3570000}"/>
    <cellStyle name="40% - Accent1 7 2 4 2 2 2 2" xfId="43338" xr:uid="{00000000-0005-0000-0000-0000F4570000}"/>
    <cellStyle name="40% - Accent1 7 2 4 2 2 3" xfId="32037" xr:uid="{00000000-0005-0000-0000-0000F5570000}"/>
    <cellStyle name="40% - Accent1 7 2 4 2 3" xfId="15086" xr:uid="{00000000-0005-0000-0000-0000F6570000}"/>
    <cellStyle name="40% - Accent1 7 2 4 2 3 2" xfId="37688" xr:uid="{00000000-0005-0000-0000-0000F7570000}"/>
    <cellStyle name="40% - Accent1 7 2 4 2 4" xfId="26387" xr:uid="{00000000-0005-0000-0000-0000F8570000}"/>
    <cellStyle name="40% - Accent1 7 2 4 3" xfId="5456" xr:uid="{00000000-0005-0000-0000-0000F9570000}"/>
    <cellStyle name="40% - Accent1 7 2 4 3 2" xfId="11106" xr:uid="{00000000-0005-0000-0000-0000FA570000}"/>
    <cellStyle name="40% - Accent1 7 2 4 3 2 2" xfId="22407" xr:uid="{00000000-0005-0000-0000-0000FB570000}"/>
    <cellStyle name="40% - Accent1 7 2 4 3 2 2 2" xfId="45009" xr:uid="{00000000-0005-0000-0000-0000FC570000}"/>
    <cellStyle name="40% - Accent1 7 2 4 3 2 3" xfId="33708" xr:uid="{00000000-0005-0000-0000-0000FD570000}"/>
    <cellStyle name="40% - Accent1 7 2 4 3 3" xfId="16757" xr:uid="{00000000-0005-0000-0000-0000FE570000}"/>
    <cellStyle name="40% - Accent1 7 2 4 3 3 2" xfId="39359" xr:uid="{00000000-0005-0000-0000-0000FF570000}"/>
    <cellStyle name="40% - Accent1 7 2 4 3 4" xfId="28058" xr:uid="{00000000-0005-0000-0000-000000580000}"/>
    <cellStyle name="40% - Accent1 7 2 4 4" xfId="7705" xr:uid="{00000000-0005-0000-0000-000001580000}"/>
    <cellStyle name="40% - Accent1 7 2 4 4 2" xfId="19006" xr:uid="{00000000-0005-0000-0000-000002580000}"/>
    <cellStyle name="40% - Accent1 7 2 4 4 2 2" xfId="41608" xr:uid="{00000000-0005-0000-0000-000003580000}"/>
    <cellStyle name="40% - Accent1 7 2 4 4 3" xfId="30307" xr:uid="{00000000-0005-0000-0000-000004580000}"/>
    <cellStyle name="40% - Accent1 7 2 4 5" xfId="13356" xr:uid="{00000000-0005-0000-0000-000005580000}"/>
    <cellStyle name="40% - Accent1 7 2 4 5 2" xfId="35958" xr:uid="{00000000-0005-0000-0000-000006580000}"/>
    <cellStyle name="40% - Accent1 7 2 4 6" xfId="24657" xr:uid="{00000000-0005-0000-0000-000007580000}"/>
    <cellStyle name="40% - Accent1 7 2 5" xfId="2437" xr:uid="{00000000-0005-0000-0000-000008580000}"/>
    <cellStyle name="40% - Accent1 7 2 5 2" xfId="8273" xr:uid="{00000000-0005-0000-0000-000009580000}"/>
    <cellStyle name="40% - Accent1 7 2 5 2 2" xfId="19574" xr:uid="{00000000-0005-0000-0000-00000A580000}"/>
    <cellStyle name="40% - Accent1 7 2 5 2 2 2" xfId="42176" xr:uid="{00000000-0005-0000-0000-00000B580000}"/>
    <cellStyle name="40% - Accent1 7 2 5 2 3" xfId="30875" xr:uid="{00000000-0005-0000-0000-00000C580000}"/>
    <cellStyle name="40% - Accent1 7 2 5 3" xfId="13924" xr:uid="{00000000-0005-0000-0000-00000D580000}"/>
    <cellStyle name="40% - Accent1 7 2 5 3 2" xfId="36526" xr:uid="{00000000-0005-0000-0000-00000E580000}"/>
    <cellStyle name="40% - Accent1 7 2 5 4" xfId="25225" xr:uid="{00000000-0005-0000-0000-00000F580000}"/>
    <cellStyle name="40% - Accent1 7 2 6" xfId="4222" xr:uid="{00000000-0005-0000-0000-000010580000}"/>
    <cellStyle name="40% - Accent1 7 2 6 2" xfId="9872" xr:uid="{00000000-0005-0000-0000-000011580000}"/>
    <cellStyle name="40% - Accent1 7 2 6 2 2" xfId="21173" xr:uid="{00000000-0005-0000-0000-000012580000}"/>
    <cellStyle name="40% - Accent1 7 2 6 2 2 2" xfId="43775" xr:uid="{00000000-0005-0000-0000-000013580000}"/>
    <cellStyle name="40% - Accent1 7 2 6 2 3" xfId="32474" xr:uid="{00000000-0005-0000-0000-000014580000}"/>
    <cellStyle name="40% - Accent1 7 2 6 3" xfId="15523" xr:uid="{00000000-0005-0000-0000-000015580000}"/>
    <cellStyle name="40% - Accent1 7 2 6 3 2" xfId="38125" xr:uid="{00000000-0005-0000-0000-000016580000}"/>
    <cellStyle name="40% - Accent1 7 2 6 4" xfId="26824" xr:uid="{00000000-0005-0000-0000-000017580000}"/>
    <cellStyle name="40% - Accent1 7 2 7" xfId="6702" xr:uid="{00000000-0005-0000-0000-000018580000}"/>
    <cellStyle name="40% - Accent1 7 2 7 2" xfId="18003" xr:uid="{00000000-0005-0000-0000-000019580000}"/>
    <cellStyle name="40% - Accent1 7 2 7 2 2" xfId="40605" xr:uid="{00000000-0005-0000-0000-00001A580000}"/>
    <cellStyle name="40% - Accent1 7 2 7 3" xfId="29304" xr:uid="{00000000-0005-0000-0000-00001B580000}"/>
    <cellStyle name="40% - Accent1 7 2 8" xfId="12353" xr:uid="{00000000-0005-0000-0000-00001C580000}"/>
    <cellStyle name="40% - Accent1 7 2 8 2" xfId="34955" xr:uid="{00000000-0005-0000-0000-00001D580000}"/>
    <cellStyle name="40% - Accent1 7 2 9" xfId="23654" xr:uid="{00000000-0005-0000-0000-00001E580000}"/>
    <cellStyle name="40% - Accent1 7 3" xfId="1209" xr:uid="{00000000-0005-0000-0000-00001F580000}"/>
    <cellStyle name="40% - Accent1 7 3 2" xfId="1851" xr:uid="{00000000-0005-0000-0000-000020580000}"/>
    <cellStyle name="40% - Accent1 7 3 2 2" xfId="3277" xr:uid="{00000000-0005-0000-0000-000021580000}"/>
    <cellStyle name="40% - Accent1 7 3 2 2 2" xfId="6249" xr:uid="{00000000-0005-0000-0000-000022580000}"/>
    <cellStyle name="40% - Accent1 7 3 2 2 2 2" xfId="11899" xr:uid="{00000000-0005-0000-0000-000023580000}"/>
    <cellStyle name="40% - Accent1 7 3 2 2 2 2 2" xfId="23200" xr:uid="{00000000-0005-0000-0000-000024580000}"/>
    <cellStyle name="40% - Accent1 7 3 2 2 2 2 2 2" xfId="45802" xr:uid="{00000000-0005-0000-0000-000025580000}"/>
    <cellStyle name="40% - Accent1 7 3 2 2 2 2 3" xfId="34501" xr:uid="{00000000-0005-0000-0000-000026580000}"/>
    <cellStyle name="40% - Accent1 7 3 2 2 2 3" xfId="17550" xr:uid="{00000000-0005-0000-0000-000027580000}"/>
    <cellStyle name="40% - Accent1 7 3 2 2 2 3 2" xfId="40152" xr:uid="{00000000-0005-0000-0000-000028580000}"/>
    <cellStyle name="40% - Accent1 7 3 2 2 2 4" xfId="28851" xr:uid="{00000000-0005-0000-0000-000029580000}"/>
    <cellStyle name="40% - Accent1 7 3 2 2 3" xfId="9067" xr:uid="{00000000-0005-0000-0000-00002A580000}"/>
    <cellStyle name="40% - Accent1 7 3 2 2 3 2" xfId="20368" xr:uid="{00000000-0005-0000-0000-00002B580000}"/>
    <cellStyle name="40% - Accent1 7 3 2 2 3 2 2" xfId="42970" xr:uid="{00000000-0005-0000-0000-00002C580000}"/>
    <cellStyle name="40% - Accent1 7 3 2 2 3 3" xfId="31669" xr:uid="{00000000-0005-0000-0000-00002D580000}"/>
    <cellStyle name="40% - Accent1 7 3 2 2 4" xfId="14718" xr:uid="{00000000-0005-0000-0000-00002E580000}"/>
    <cellStyle name="40% - Accent1 7 3 2 2 4 2" xfId="37320" xr:uid="{00000000-0005-0000-0000-00002F580000}"/>
    <cellStyle name="40% - Accent1 7 3 2 2 5" xfId="26019" xr:uid="{00000000-0005-0000-0000-000030580000}"/>
    <cellStyle name="40% - Accent1 7 3 2 3" xfId="5015" xr:uid="{00000000-0005-0000-0000-000031580000}"/>
    <cellStyle name="40% - Accent1 7 3 2 3 2" xfId="10665" xr:uid="{00000000-0005-0000-0000-000032580000}"/>
    <cellStyle name="40% - Accent1 7 3 2 3 2 2" xfId="21966" xr:uid="{00000000-0005-0000-0000-000033580000}"/>
    <cellStyle name="40% - Accent1 7 3 2 3 2 2 2" xfId="44568" xr:uid="{00000000-0005-0000-0000-000034580000}"/>
    <cellStyle name="40% - Accent1 7 3 2 3 2 3" xfId="33267" xr:uid="{00000000-0005-0000-0000-000035580000}"/>
    <cellStyle name="40% - Accent1 7 3 2 3 3" xfId="16316" xr:uid="{00000000-0005-0000-0000-000036580000}"/>
    <cellStyle name="40% - Accent1 7 3 2 3 3 2" xfId="38918" xr:uid="{00000000-0005-0000-0000-000037580000}"/>
    <cellStyle name="40% - Accent1 7 3 2 3 4" xfId="27617" xr:uid="{00000000-0005-0000-0000-000038580000}"/>
    <cellStyle name="40% - Accent1 7 3 2 4" xfId="7707" xr:uid="{00000000-0005-0000-0000-000039580000}"/>
    <cellStyle name="40% - Accent1 7 3 2 4 2" xfId="19008" xr:uid="{00000000-0005-0000-0000-00003A580000}"/>
    <cellStyle name="40% - Accent1 7 3 2 4 2 2" xfId="41610" xr:uid="{00000000-0005-0000-0000-00003B580000}"/>
    <cellStyle name="40% - Accent1 7 3 2 4 3" xfId="30309" xr:uid="{00000000-0005-0000-0000-00003C580000}"/>
    <cellStyle name="40% - Accent1 7 3 2 5" xfId="13358" xr:uid="{00000000-0005-0000-0000-00003D580000}"/>
    <cellStyle name="40% - Accent1 7 3 2 5 2" xfId="35960" xr:uid="{00000000-0005-0000-0000-00003E580000}"/>
    <cellStyle name="40% - Accent1 7 3 2 6" xfId="24659" xr:uid="{00000000-0005-0000-0000-00003F580000}"/>
    <cellStyle name="40% - Accent1 7 3 3" xfId="2606" xr:uid="{00000000-0005-0000-0000-000040580000}"/>
    <cellStyle name="40% - Accent1 7 3 3 2" xfId="5625" xr:uid="{00000000-0005-0000-0000-000041580000}"/>
    <cellStyle name="40% - Accent1 7 3 3 2 2" xfId="11275" xr:uid="{00000000-0005-0000-0000-000042580000}"/>
    <cellStyle name="40% - Accent1 7 3 3 2 2 2" xfId="22576" xr:uid="{00000000-0005-0000-0000-000043580000}"/>
    <cellStyle name="40% - Accent1 7 3 3 2 2 2 2" xfId="45178" xr:uid="{00000000-0005-0000-0000-000044580000}"/>
    <cellStyle name="40% - Accent1 7 3 3 2 2 3" xfId="33877" xr:uid="{00000000-0005-0000-0000-000045580000}"/>
    <cellStyle name="40% - Accent1 7 3 3 2 3" xfId="16926" xr:uid="{00000000-0005-0000-0000-000046580000}"/>
    <cellStyle name="40% - Accent1 7 3 3 2 3 2" xfId="39528" xr:uid="{00000000-0005-0000-0000-000047580000}"/>
    <cellStyle name="40% - Accent1 7 3 3 2 4" xfId="28227" xr:uid="{00000000-0005-0000-0000-000048580000}"/>
    <cellStyle name="40% - Accent1 7 3 3 3" xfId="8442" xr:uid="{00000000-0005-0000-0000-000049580000}"/>
    <cellStyle name="40% - Accent1 7 3 3 3 2" xfId="19743" xr:uid="{00000000-0005-0000-0000-00004A580000}"/>
    <cellStyle name="40% - Accent1 7 3 3 3 2 2" xfId="42345" xr:uid="{00000000-0005-0000-0000-00004B580000}"/>
    <cellStyle name="40% - Accent1 7 3 3 3 3" xfId="31044" xr:uid="{00000000-0005-0000-0000-00004C580000}"/>
    <cellStyle name="40% - Accent1 7 3 3 4" xfId="14093" xr:uid="{00000000-0005-0000-0000-00004D580000}"/>
    <cellStyle name="40% - Accent1 7 3 3 4 2" xfId="36695" xr:uid="{00000000-0005-0000-0000-00004E580000}"/>
    <cellStyle name="40% - Accent1 7 3 3 5" xfId="25394" xr:uid="{00000000-0005-0000-0000-00004F580000}"/>
    <cellStyle name="40% - Accent1 7 3 4" xfId="4391" xr:uid="{00000000-0005-0000-0000-000050580000}"/>
    <cellStyle name="40% - Accent1 7 3 4 2" xfId="10041" xr:uid="{00000000-0005-0000-0000-000051580000}"/>
    <cellStyle name="40% - Accent1 7 3 4 2 2" xfId="21342" xr:uid="{00000000-0005-0000-0000-000052580000}"/>
    <cellStyle name="40% - Accent1 7 3 4 2 2 2" xfId="43944" xr:uid="{00000000-0005-0000-0000-000053580000}"/>
    <cellStyle name="40% - Accent1 7 3 4 2 3" xfId="32643" xr:uid="{00000000-0005-0000-0000-000054580000}"/>
    <cellStyle name="40% - Accent1 7 3 4 3" xfId="15692" xr:uid="{00000000-0005-0000-0000-000055580000}"/>
    <cellStyle name="40% - Accent1 7 3 4 3 2" xfId="38294" xr:uid="{00000000-0005-0000-0000-000056580000}"/>
    <cellStyle name="40% - Accent1 7 3 4 4" xfId="26993" xr:uid="{00000000-0005-0000-0000-000057580000}"/>
    <cellStyle name="40% - Accent1 7 3 5" xfId="7188" xr:uid="{00000000-0005-0000-0000-000058580000}"/>
    <cellStyle name="40% - Accent1 7 3 5 2" xfId="18489" xr:uid="{00000000-0005-0000-0000-000059580000}"/>
    <cellStyle name="40% - Accent1 7 3 5 2 2" xfId="41091" xr:uid="{00000000-0005-0000-0000-00005A580000}"/>
    <cellStyle name="40% - Accent1 7 3 5 3" xfId="29790" xr:uid="{00000000-0005-0000-0000-00005B580000}"/>
    <cellStyle name="40% - Accent1 7 3 6" xfId="12839" xr:uid="{00000000-0005-0000-0000-00005C580000}"/>
    <cellStyle name="40% - Accent1 7 3 6 2" xfId="35441" xr:uid="{00000000-0005-0000-0000-00005D580000}"/>
    <cellStyle name="40% - Accent1 7 3 7" xfId="24140" xr:uid="{00000000-0005-0000-0000-00005E580000}"/>
    <cellStyle name="40% - Accent1 7 4" xfId="900" xr:uid="{00000000-0005-0000-0000-00005F580000}"/>
    <cellStyle name="40% - Accent1 7 4 2" xfId="2970" xr:uid="{00000000-0005-0000-0000-000060580000}"/>
    <cellStyle name="40% - Accent1 7 4 2 2" xfId="5942" xr:uid="{00000000-0005-0000-0000-000061580000}"/>
    <cellStyle name="40% - Accent1 7 4 2 2 2" xfId="11592" xr:uid="{00000000-0005-0000-0000-000062580000}"/>
    <cellStyle name="40% - Accent1 7 4 2 2 2 2" xfId="22893" xr:uid="{00000000-0005-0000-0000-000063580000}"/>
    <cellStyle name="40% - Accent1 7 4 2 2 2 2 2" xfId="45495" xr:uid="{00000000-0005-0000-0000-000064580000}"/>
    <cellStyle name="40% - Accent1 7 4 2 2 2 3" xfId="34194" xr:uid="{00000000-0005-0000-0000-000065580000}"/>
    <cellStyle name="40% - Accent1 7 4 2 2 3" xfId="17243" xr:uid="{00000000-0005-0000-0000-000066580000}"/>
    <cellStyle name="40% - Accent1 7 4 2 2 3 2" xfId="39845" xr:uid="{00000000-0005-0000-0000-000067580000}"/>
    <cellStyle name="40% - Accent1 7 4 2 2 4" xfId="28544" xr:uid="{00000000-0005-0000-0000-000068580000}"/>
    <cellStyle name="40% - Accent1 7 4 2 3" xfId="8760" xr:uid="{00000000-0005-0000-0000-000069580000}"/>
    <cellStyle name="40% - Accent1 7 4 2 3 2" xfId="20061" xr:uid="{00000000-0005-0000-0000-00006A580000}"/>
    <cellStyle name="40% - Accent1 7 4 2 3 2 2" xfId="42663" xr:uid="{00000000-0005-0000-0000-00006B580000}"/>
    <cellStyle name="40% - Accent1 7 4 2 3 3" xfId="31362" xr:uid="{00000000-0005-0000-0000-00006C580000}"/>
    <cellStyle name="40% - Accent1 7 4 2 4" xfId="14411" xr:uid="{00000000-0005-0000-0000-00006D580000}"/>
    <cellStyle name="40% - Accent1 7 4 2 4 2" xfId="37013" xr:uid="{00000000-0005-0000-0000-00006E580000}"/>
    <cellStyle name="40% - Accent1 7 4 2 5" xfId="25712" xr:uid="{00000000-0005-0000-0000-00006F580000}"/>
    <cellStyle name="40% - Accent1 7 4 3" xfId="4708" xr:uid="{00000000-0005-0000-0000-000070580000}"/>
    <cellStyle name="40% - Accent1 7 4 3 2" xfId="10358" xr:uid="{00000000-0005-0000-0000-000071580000}"/>
    <cellStyle name="40% - Accent1 7 4 3 2 2" xfId="21659" xr:uid="{00000000-0005-0000-0000-000072580000}"/>
    <cellStyle name="40% - Accent1 7 4 3 2 2 2" xfId="44261" xr:uid="{00000000-0005-0000-0000-000073580000}"/>
    <cellStyle name="40% - Accent1 7 4 3 2 3" xfId="32960" xr:uid="{00000000-0005-0000-0000-000074580000}"/>
    <cellStyle name="40% - Accent1 7 4 3 3" xfId="16009" xr:uid="{00000000-0005-0000-0000-000075580000}"/>
    <cellStyle name="40% - Accent1 7 4 3 3 2" xfId="38611" xr:uid="{00000000-0005-0000-0000-000076580000}"/>
    <cellStyle name="40% - Accent1 7 4 3 4" xfId="27310" xr:uid="{00000000-0005-0000-0000-000077580000}"/>
    <cellStyle name="40% - Accent1 7 4 4" xfId="6895" xr:uid="{00000000-0005-0000-0000-000078580000}"/>
    <cellStyle name="40% - Accent1 7 4 4 2" xfId="18196" xr:uid="{00000000-0005-0000-0000-000079580000}"/>
    <cellStyle name="40% - Accent1 7 4 4 2 2" xfId="40798" xr:uid="{00000000-0005-0000-0000-00007A580000}"/>
    <cellStyle name="40% - Accent1 7 4 4 3" xfId="29497" xr:uid="{00000000-0005-0000-0000-00007B580000}"/>
    <cellStyle name="40% - Accent1 7 4 5" xfId="12546" xr:uid="{00000000-0005-0000-0000-00007C580000}"/>
    <cellStyle name="40% - Accent1 7 4 5 2" xfId="35148" xr:uid="{00000000-0005-0000-0000-00007D580000}"/>
    <cellStyle name="40% - Accent1 7 4 6" xfId="23847" xr:uid="{00000000-0005-0000-0000-00007E580000}"/>
    <cellStyle name="40% - Accent1 7 5" xfId="1848" xr:uid="{00000000-0005-0000-0000-00007F580000}"/>
    <cellStyle name="40% - Accent1 7 5 2" xfId="3724" xr:uid="{00000000-0005-0000-0000-000080580000}"/>
    <cellStyle name="40% - Accent1 7 5 2 2" xfId="9434" xr:uid="{00000000-0005-0000-0000-000081580000}"/>
    <cellStyle name="40% - Accent1 7 5 2 2 2" xfId="20735" xr:uid="{00000000-0005-0000-0000-000082580000}"/>
    <cellStyle name="40% - Accent1 7 5 2 2 2 2" xfId="43337" xr:uid="{00000000-0005-0000-0000-000083580000}"/>
    <cellStyle name="40% - Accent1 7 5 2 2 3" xfId="32036" xr:uid="{00000000-0005-0000-0000-000084580000}"/>
    <cellStyle name="40% - Accent1 7 5 2 3" xfId="15085" xr:uid="{00000000-0005-0000-0000-000085580000}"/>
    <cellStyle name="40% - Accent1 7 5 2 3 2" xfId="37687" xr:uid="{00000000-0005-0000-0000-000086580000}"/>
    <cellStyle name="40% - Accent1 7 5 2 4" xfId="26386" xr:uid="{00000000-0005-0000-0000-000087580000}"/>
    <cellStyle name="40% - Accent1 7 5 3" xfId="5318" xr:uid="{00000000-0005-0000-0000-000088580000}"/>
    <cellStyle name="40% - Accent1 7 5 3 2" xfId="10968" xr:uid="{00000000-0005-0000-0000-000089580000}"/>
    <cellStyle name="40% - Accent1 7 5 3 2 2" xfId="22269" xr:uid="{00000000-0005-0000-0000-00008A580000}"/>
    <cellStyle name="40% - Accent1 7 5 3 2 2 2" xfId="44871" xr:uid="{00000000-0005-0000-0000-00008B580000}"/>
    <cellStyle name="40% - Accent1 7 5 3 2 3" xfId="33570" xr:uid="{00000000-0005-0000-0000-00008C580000}"/>
    <cellStyle name="40% - Accent1 7 5 3 3" xfId="16619" xr:uid="{00000000-0005-0000-0000-00008D580000}"/>
    <cellStyle name="40% - Accent1 7 5 3 3 2" xfId="39221" xr:uid="{00000000-0005-0000-0000-00008E580000}"/>
    <cellStyle name="40% - Accent1 7 5 3 4" xfId="27920" xr:uid="{00000000-0005-0000-0000-00008F580000}"/>
    <cellStyle name="40% - Accent1 7 5 4" xfId="7704" xr:uid="{00000000-0005-0000-0000-000090580000}"/>
    <cellStyle name="40% - Accent1 7 5 4 2" xfId="19005" xr:uid="{00000000-0005-0000-0000-000091580000}"/>
    <cellStyle name="40% - Accent1 7 5 4 2 2" xfId="41607" xr:uid="{00000000-0005-0000-0000-000092580000}"/>
    <cellStyle name="40% - Accent1 7 5 4 3" xfId="30306" xr:uid="{00000000-0005-0000-0000-000093580000}"/>
    <cellStyle name="40% - Accent1 7 5 5" xfId="13355" xr:uid="{00000000-0005-0000-0000-000094580000}"/>
    <cellStyle name="40% - Accent1 7 5 5 2" xfId="35957" xr:uid="{00000000-0005-0000-0000-000095580000}"/>
    <cellStyle name="40% - Accent1 7 5 6" xfId="24656" xr:uid="{00000000-0005-0000-0000-000096580000}"/>
    <cellStyle name="40% - Accent1 7 6" xfId="2297" xr:uid="{00000000-0005-0000-0000-000097580000}"/>
    <cellStyle name="40% - Accent1 7 6 2" xfId="8133" xr:uid="{00000000-0005-0000-0000-000098580000}"/>
    <cellStyle name="40% - Accent1 7 6 2 2" xfId="19434" xr:uid="{00000000-0005-0000-0000-000099580000}"/>
    <cellStyle name="40% - Accent1 7 6 2 2 2" xfId="42036" xr:uid="{00000000-0005-0000-0000-00009A580000}"/>
    <cellStyle name="40% - Accent1 7 6 2 3" xfId="30735" xr:uid="{00000000-0005-0000-0000-00009B580000}"/>
    <cellStyle name="40% - Accent1 7 6 3" xfId="13784" xr:uid="{00000000-0005-0000-0000-00009C580000}"/>
    <cellStyle name="40% - Accent1 7 6 3 2" xfId="36386" xr:uid="{00000000-0005-0000-0000-00009D580000}"/>
    <cellStyle name="40% - Accent1 7 6 4" xfId="25085" xr:uid="{00000000-0005-0000-0000-00009E580000}"/>
    <cellStyle name="40% - Accent1 7 7" xfId="4084" xr:uid="{00000000-0005-0000-0000-00009F580000}"/>
    <cellStyle name="40% - Accent1 7 7 2" xfId="9734" xr:uid="{00000000-0005-0000-0000-0000A0580000}"/>
    <cellStyle name="40% - Accent1 7 7 2 2" xfId="21035" xr:uid="{00000000-0005-0000-0000-0000A1580000}"/>
    <cellStyle name="40% - Accent1 7 7 2 2 2" xfId="43637" xr:uid="{00000000-0005-0000-0000-0000A2580000}"/>
    <cellStyle name="40% - Accent1 7 7 2 3" xfId="32336" xr:uid="{00000000-0005-0000-0000-0000A3580000}"/>
    <cellStyle name="40% - Accent1 7 7 3" xfId="15385" xr:uid="{00000000-0005-0000-0000-0000A4580000}"/>
    <cellStyle name="40% - Accent1 7 7 3 2" xfId="37987" xr:uid="{00000000-0005-0000-0000-0000A5580000}"/>
    <cellStyle name="40% - Accent1 7 7 4" xfId="26686" xr:uid="{00000000-0005-0000-0000-0000A6580000}"/>
    <cellStyle name="40% - Accent1 7 8" xfId="6535" xr:uid="{00000000-0005-0000-0000-0000A7580000}"/>
    <cellStyle name="40% - Accent1 7 8 2" xfId="17836" xr:uid="{00000000-0005-0000-0000-0000A8580000}"/>
    <cellStyle name="40% - Accent1 7 8 2 2" xfId="40438" xr:uid="{00000000-0005-0000-0000-0000A9580000}"/>
    <cellStyle name="40% - Accent1 7 8 3" xfId="29137" xr:uid="{00000000-0005-0000-0000-0000AA580000}"/>
    <cellStyle name="40% - Accent1 7 9" xfId="12186" xr:uid="{00000000-0005-0000-0000-0000AB580000}"/>
    <cellStyle name="40% - Accent1 7 9 2" xfId="34788" xr:uid="{00000000-0005-0000-0000-0000AC580000}"/>
    <cellStyle name="40% - Accent1 8" xfId="495" xr:uid="{00000000-0005-0000-0000-0000AD580000}"/>
    <cellStyle name="40% - Accent1 8 2" xfId="1266" xr:uid="{00000000-0005-0000-0000-0000AE580000}"/>
    <cellStyle name="40% - Accent1 8 2 2" xfId="1853" xr:uid="{00000000-0005-0000-0000-0000AF580000}"/>
    <cellStyle name="40% - Accent1 8 2 2 2" xfId="3335" xr:uid="{00000000-0005-0000-0000-0000B0580000}"/>
    <cellStyle name="40% - Accent1 8 2 2 2 2" xfId="6307" xr:uid="{00000000-0005-0000-0000-0000B1580000}"/>
    <cellStyle name="40% - Accent1 8 2 2 2 2 2" xfId="11957" xr:uid="{00000000-0005-0000-0000-0000B2580000}"/>
    <cellStyle name="40% - Accent1 8 2 2 2 2 2 2" xfId="23258" xr:uid="{00000000-0005-0000-0000-0000B3580000}"/>
    <cellStyle name="40% - Accent1 8 2 2 2 2 2 2 2" xfId="45860" xr:uid="{00000000-0005-0000-0000-0000B4580000}"/>
    <cellStyle name="40% - Accent1 8 2 2 2 2 2 3" xfId="34559" xr:uid="{00000000-0005-0000-0000-0000B5580000}"/>
    <cellStyle name="40% - Accent1 8 2 2 2 2 3" xfId="17608" xr:uid="{00000000-0005-0000-0000-0000B6580000}"/>
    <cellStyle name="40% - Accent1 8 2 2 2 2 3 2" xfId="40210" xr:uid="{00000000-0005-0000-0000-0000B7580000}"/>
    <cellStyle name="40% - Accent1 8 2 2 2 2 4" xfId="28909" xr:uid="{00000000-0005-0000-0000-0000B8580000}"/>
    <cellStyle name="40% - Accent1 8 2 2 2 3" xfId="9125" xr:uid="{00000000-0005-0000-0000-0000B9580000}"/>
    <cellStyle name="40% - Accent1 8 2 2 2 3 2" xfId="20426" xr:uid="{00000000-0005-0000-0000-0000BA580000}"/>
    <cellStyle name="40% - Accent1 8 2 2 2 3 2 2" xfId="43028" xr:uid="{00000000-0005-0000-0000-0000BB580000}"/>
    <cellStyle name="40% - Accent1 8 2 2 2 3 3" xfId="31727" xr:uid="{00000000-0005-0000-0000-0000BC580000}"/>
    <cellStyle name="40% - Accent1 8 2 2 2 4" xfId="14776" xr:uid="{00000000-0005-0000-0000-0000BD580000}"/>
    <cellStyle name="40% - Accent1 8 2 2 2 4 2" xfId="37378" xr:uid="{00000000-0005-0000-0000-0000BE580000}"/>
    <cellStyle name="40% - Accent1 8 2 2 2 5" xfId="26077" xr:uid="{00000000-0005-0000-0000-0000BF580000}"/>
    <cellStyle name="40% - Accent1 8 2 2 3" xfId="5073" xr:uid="{00000000-0005-0000-0000-0000C0580000}"/>
    <cellStyle name="40% - Accent1 8 2 2 3 2" xfId="10723" xr:uid="{00000000-0005-0000-0000-0000C1580000}"/>
    <cellStyle name="40% - Accent1 8 2 2 3 2 2" xfId="22024" xr:uid="{00000000-0005-0000-0000-0000C2580000}"/>
    <cellStyle name="40% - Accent1 8 2 2 3 2 2 2" xfId="44626" xr:uid="{00000000-0005-0000-0000-0000C3580000}"/>
    <cellStyle name="40% - Accent1 8 2 2 3 2 3" xfId="33325" xr:uid="{00000000-0005-0000-0000-0000C4580000}"/>
    <cellStyle name="40% - Accent1 8 2 2 3 3" xfId="16374" xr:uid="{00000000-0005-0000-0000-0000C5580000}"/>
    <cellStyle name="40% - Accent1 8 2 2 3 3 2" xfId="38976" xr:uid="{00000000-0005-0000-0000-0000C6580000}"/>
    <cellStyle name="40% - Accent1 8 2 2 3 4" xfId="27675" xr:uid="{00000000-0005-0000-0000-0000C7580000}"/>
    <cellStyle name="40% - Accent1 8 2 2 4" xfId="7709" xr:uid="{00000000-0005-0000-0000-0000C8580000}"/>
    <cellStyle name="40% - Accent1 8 2 2 4 2" xfId="19010" xr:uid="{00000000-0005-0000-0000-0000C9580000}"/>
    <cellStyle name="40% - Accent1 8 2 2 4 2 2" xfId="41612" xr:uid="{00000000-0005-0000-0000-0000CA580000}"/>
    <cellStyle name="40% - Accent1 8 2 2 4 3" xfId="30311" xr:uid="{00000000-0005-0000-0000-0000CB580000}"/>
    <cellStyle name="40% - Accent1 8 2 2 5" xfId="13360" xr:uid="{00000000-0005-0000-0000-0000CC580000}"/>
    <cellStyle name="40% - Accent1 8 2 2 5 2" xfId="35962" xr:uid="{00000000-0005-0000-0000-0000CD580000}"/>
    <cellStyle name="40% - Accent1 8 2 2 6" xfId="24661" xr:uid="{00000000-0005-0000-0000-0000CE580000}"/>
    <cellStyle name="40% - Accent1 8 2 3" xfId="2664" xr:uid="{00000000-0005-0000-0000-0000CF580000}"/>
    <cellStyle name="40% - Accent1 8 2 3 2" xfId="5683" xr:uid="{00000000-0005-0000-0000-0000D0580000}"/>
    <cellStyle name="40% - Accent1 8 2 3 2 2" xfId="11333" xr:uid="{00000000-0005-0000-0000-0000D1580000}"/>
    <cellStyle name="40% - Accent1 8 2 3 2 2 2" xfId="22634" xr:uid="{00000000-0005-0000-0000-0000D2580000}"/>
    <cellStyle name="40% - Accent1 8 2 3 2 2 2 2" xfId="45236" xr:uid="{00000000-0005-0000-0000-0000D3580000}"/>
    <cellStyle name="40% - Accent1 8 2 3 2 2 3" xfId="33935" xr:uid="{00000000-0005-0000-0000-0000D4580000}"/>
    <cellStyle name="40% - Accent1 8 2 3 2 3" xfId="16984" xr:uid="{00000000-0005-0000-0000-0000D5580000}"/>
    <cellStyle name="40% - Accent1 8 2 3 2 3 2" xfId="39586" xr:uid="{00000000-0005-0000-0000-0000D6580000}"/>
    <cellStyle name="40% - Accent1 8 2 3 2 4" xfId="28285" xr:uid="{00000000-0005-0000-0000-0000D7580000}"/>
    <cellStyle name="40% - Accent1 8 2 3 3" xfId="8500" xr:uid="{00000000-0005-0000-0000-0000D8580000}"/>
    <cellStyle name="40% - Accent1 8 2 3 3 2" xfId="19801" xr:uid="{00000000-0005-0000-0000-0000D9580000}"/>
    <cellStyle name="40% - Accent1 8 2 3 3 2 2" xfId="42403" xr:uid="{00000000-0005-0000-0000-0000DA580000}"/>
    <cellStyle name="40% - Accent1 8 2 3 3 3" xfId="31102" xr:uid="{00000000-0005-0000-0000-0000DB580000}"/>
    <cellStyle name="40% - Accent1 8 2 3 4" xfId="14151" xr:uid="{00000000-0005-0000-0000-0000DC580000}"/>
    <cellStyle name="40% - Accent1 8 2 3 4 2" xfId="36753" xr:uid="{00000000-0005-0000-0000-0000DD580000}"/>
    <cellStyle name="40% - Accent1 8 2 3 5" xfId="25452" xr:uid="{00000000-0005-0000-0000-0000DE580000}"/>
    <cellStyle name="40% - Accent1 8 2 4" xfId="4449" xr:uid="{00000000-0005-0000-0000-0000DF580000}"/>
    <cellStyle name="40% - Accent1 8 2 4 2" xfId="10099" xr:uid="{00000000-0005-0000-0000-0000E0580000}"/>
    <cellStyle name="40% - Accent1 8 2 4 2 2" xfId="21400" xr:uid="{00000000-0005-0000-0000-0000E1580000}"/>
    <cellStyle name="40% - Accent1 8 2 4 2 2 2" xfId="44002" xr:uid="{00000000-0005-0000-0000-0000E2580000}"/>
    <cellStyle name="40% - Accent1 8 2 4 2 3" xfId="32701" xr:uid="{00000000-0005-0000-0000-0000E3580000}"/>
    <cellStyle name="40% - Accent1 8 2 4 3" xfId="15750" xr:uid="{00000000-0005-0000-0000-0000E4580000}"/>
    <cellStyle name="40% - Accent1 8 2 4 3 2" xfId="38352" xr:uid="{00000000-0005-0000-0000-0000E5580000}"/>
    <cellStyle name="40% - Accent1 8 2 4 4" xfId="27051" xr:uid="{00000000-0005-0000-0000-0000E6580000}"/>
    <cellStyle name="40% - Accent1 8 2 5" xfId="7245" xr:uid="{00000000-0005-0000-0000-0000E7580000}"/>
    <cellStyle name="40% - Accent1 8 2 5 2" xfId="18546" xr:uid="{00000000-0005-0000-0000-0000E8580000}"/>
    <cellStyle name="40% - Accent1 8 2 5 2 2" xfId="41148" xr:uid="{00000000-0005-0000-0000-0000E9580000}"/>
    <cellStyle name="40% - Accent1 8 2 5 3" xfId="29847" xr:uid="{00000000-0005-0000-0000-0000EA580000}"/>
    <cellStyle name="40% - Accent1 8 2 6" xfId="12896" xr:uid="{00000000-0005-0000-0000-0000EB580000}"/>
    <cellStyle name="40% - Accent1 8 2 6 2" xfId="35498" xr:uid="{00000000-0005-0000-0000-0000EC580000}"/>
    <cellStyle name="40% - Accent1 8 2 7" xfId="24197" xr:uid="{00000000-0005-0000-0000-0000ED580000}"/>
    <cellStyle name="40% - Accent1 8 3" xfId="963" xr:uid="{00000000-0005-0000-0000-0000EE580000}"/>
    <cellStyle name="40% - Accent1 8 3 2" xfId="3027" xr:uid="{00000000-0005-0000-0000-0000EF580000}"/>
    <cellStyle name="40% - Accent1 8 3 2 2" xfId="5999" xr:uid="{00000000-0005-0000-0000-0000F0580000}"/>
    <cellStyle name="40% - Accent1 8 3 2 2 2" xfId="11649" xr:uid="{00000000-0005-0000-0000-0000F1580000}"/>
    <cellStyle name="40% - Accent1 8 3 2 2 2 2" xfId="22950" xr:uid="{00000000-0005-0000-0000-0000F2580000}"/>
    <cellStyle name="40% - Accent1 8 3 2 2 2 2 2" xfId="45552" xr:uid="{00000000-0005-0000-0000-0000F3580000}"/>
    <cellStyle name="40% - Accent1 8 3 2 2 2 3" xfId="34251" xr:uid="{00000000-0005-0000-0000-0000F4580000}"/>
    <cellStyle name="40% - Accent1 8 3 2 2 3" xfId="17300" xr:uid="{00000000-0005-0000-0000-0000F5580000}"/>
    <cellStyle name="40% - Accent1 8 3 2 2 3 2" xfId="39902" xr:uid="{00000000-0005-0000-0000-0000F6580000}"/>
    <cellStyle name="40% - Accent1 8 3 2 2 4" xfId="28601" xr:uid="{00000000-0005-0000-0000-0000F7580000}"/>
    <cellStyle name="40% - Accent1 8 3 2 3" xfId="8817" xr:uid="{00000000-0005-0000-0000-0000F8580000}"/>
    <cellStyle name="40% - Accent1 8 3 2 3 2" xfId="20118" xr:uid="{00000000-0005-0000-0000-0000F9580000}"/>
    <cellStyle name="40% - Accent1 8 3 2 3 2 2" xfId="42720" xr:uid="{00000000-0005-0000-0000-0000FA580000}"/>
    <cellStyle name="40% - Accent1 8 3 2 3 3" xfId="31419" xr:uid="{00000000-0005-0000-0000-0000FB580000}"/>
    <cellStyle name="40% - Accent1 8 3 2 4" xfId="14468" xr:uid="{00000000-0005-0000-0000-0000FC580000}"/>
    <cellStyle name="40% - Accent1 8 3 2 4 2" xfId="37070" xr:uid="{00000000-0005-0000-0000-0000FD580000}"/>
    <cellStyle name="40% - Accent1 8 3 2 5" xfId="25769" xr:uid="{00000000-0005-0000-0000-0000FE580000}"/>
    <cellStyle name="40% - Accent1 8 3 3" xfId="4765" xr:uid="{00000000-0005-0000-0000-0000FF580000}"/>
    <cellStyle name="40% - Accent1 8 3 3 2" xfId="10415" xr:uid="{00000000-0005-0000-0000-000000590000}"/>
    <cellStyle name="40% - Accent1 8 3 3 2 2" xfId="21716" xr:uid="{00000000-0005-0000-0000-000001590000}"/>
    <cellStyle name="40% - Accent1 8 3 3 2 2 2" xfId="44318" xr:uid="{00000000-0005-0000-0000-000002590000}"/>
    <cellStyle name="40% - Accent1 8 3 3 2 3" xfId="33017" xr:uid="{00000000-0005-0000-0000-000003590000}"/>
    <cellStyle name="40% - Accent1 8 3 3 3" xfId="16066" xr:uid="{00000000-0005-0000-0000-000004590000}"/>
    <cellStyle name="40% - Accent1 8 3 3 3 2" xfId="38668" xr:uid="{00000000-0005-0000-0000-000005590000}"/>
    <cellStyle name="40% - Accent1 8 3 3 4" xfId="27367" xr:uid="{00000000-0005-0000-0000-000006590000}"/>
    <cellStyle name="40% - Accent1 8 3 4" xfId="6952" xr:uid="{00000000-0005-0000-0000-000007590000}"/>
    <cellStyle name="40% - Accent1 8 3 4 2" xfId="18253" xr:uid="{00000000-0005-0000-0000-000008590000}"/>
    <cellStyle name="40% - Accent1 8 3 4 2 2" xfId="40855" xr:uid="{00000000-0005-0000-0000-000009590000}"/>
    <cellStyle name="40% - Accent1 8 3 4 3" xfId="29554" xr:uid="{00000000-0005-0000-0000-00000A590000}"/>
    <cellStyle name="40% - Accent1 8 3 5" xfId="12603" xr:uid="{00000000-0005-0000-0000-00000B590000}"/>
    <cellStyle name="40% - Accent1 8 3 5 2" xfId="35205" xr:uid="{00000000-0005-0000-0000-00000C590000}"/>
    <cellStyle name="40% - Accent1 8 3 6" xfId="23904" xr:uid="{00000000-0005-0000-0000-00000D590000}"/>
    <cellStyle name="40% - Accent1 8 4" xfId="1852" xr:uid="{00000000-0005-0000-0000-00000E590000}"/>
    <cellStyle name="40% - Accent1 8 4 2" xfId="3726" xr:uid="{00000000-0005-0000-0000-00000F590000}"/>
    <cellStyle name="40% - Accent1 8 4 2 2" xfId="9436" xr:uid="{00000000-0005-0000-0000-000010590000}"/>
    <cellStyle name="40% - Accent1 8 4 2 2 2" xfId="20737" xr:uid="{00000000-0005-0000-0000-000011590000}"/>
    <cellStyle name="40% - Accent1 8 4 2 2 2 2" xfId="43339" xr:uid="{00000000-0005-0000-0000-000012590000}"/>
    <cellStyle name="40% - Accent1 8 4 2 2 3" xfId="32038" xr:uid="{00000000-0005-0000-0000-000013590000}"/>
    <cellStyle name="40% - Accent1 8 4 2 3" xfId="15087" xr:uid="{00000000-0005-0000-0000-000014590000}"/>
    <cellStyle name="40% - Accent1 8 4 2 3 2" xfId="37689" xr:uid="{00000000-0005-0000-0000-000015590000}"/>
    <cellStyle name="40% - Accent1 8 4 2 4" xfId="26388" xr:uid="{00000000-0005-0000-0000-000016590000}"/>
    <cellStyle name="40% - Accent1 8 4 3" xfId="5375" xr:uid="{00000000-0005-0000-0000-000017590000}"/>
    <cellStyle name="40% - Accent1 8 4 3 2" xfId="11025" xr:uid="{00000000-0005-0000-0000-000018590000}"/>
    <cellStyle name="40% - Accent1 8 4 3 2 2" xfId="22326" xr:uid="{00000000-0005-0000-0000-000019590000}"/>
    <cellStyle name="40% - Accent1 8 4 3 2 2 2" xfId="44928" xr:uid="{00000000-0005-0000-0000-00001A590000}"/>
    <cellStyle name="40% - Accent1 8 4 3 2 3" xfId="33627" xr:uid="{00000000-0005-0000-0000-00001B590000}"/>
    <cellStyle name="40% - Accent1 8 4 3 3" xfId="16676" xr:uid="{00000000-0005-0000-0000-00001C590000}"/>
    <cellStyle name="40% - Accent1 8 4 3 3 2" xfId="39278" xr:uid="{00000000-0005-0000-0000-00001D590000}"/>
    <cellStyle name="40% - Accent1 8 4 3 4" xfId="27977" xr:uid="{00000000-0005-0000-0000-00001E590000}"/>
    <cellStyle name="40% - Accent1 8 4 4" xfId="7708" xr:uid="{00000000-0005-0000-0000-00001F590000}"/>
    <cellStyle name="40% - Accent1 8 4 4 2" xfId="19009" xr:uid="{00000000-0005-0000-0000-000020590000}"/>
    <cellStyle name="40% - Accent1 8 4 4 2 2" xfId="41611" xr:uid="{00000000-0005-0000-0000-000021590000}"/>
    <cellStyle name="40% - Accent1 8 4 4 3" xfId="30310" xr:uid="{00000000-0005-0000-0000-000022590000}"/>
    <cellStyle name="40% - Accent1 8 4 5" xfId="13359" xr:uid="{00000000-0005-0000-0000-000023590000}"/>
    <cellStyle name="40% - Accent1 8 4 5 2" xfId="35961" xr:uid="{00000000-0005-0000-0000-000024590000}"/>
    <cellStyle name="40% - Accent1 8 4 6" xfId="24660" xr:uid="{00000000-0005-0000-0000-000025590000}"/>
    <cellStyle name="40% - Accent1 8 5" xfId="2356" xr:uid="{00000000-0005-0000-0000-000026590000}"/>
    <cellStyle name="40% - Accent1 8 5 2" xfId="8192" xr:uid="{00000000-0005-0000-0000-000027590000}"/>
    <cellStyle name="40% - Accent1 8 5 2 2" xfId="19493" xr:uid="{00000000-0005-0000-0000-000028590000}"/>
    <cellStyle name="40% - Accent1 8 5 2 2 2" xfId="42095" xr:uid="{00000000-0005-0000-0000-000029590000}"/>
    <cellStyle name="40% - Accent1 8 5 2 3" xfId="30794" xr:uid="{00000000-0005-0000-0000-00002A590000}"/>
    <cellStyle name="40% - Accent1 8 5 3" xfId="13843" xr:uid="{00000000-0005-0000-0000-00002B590000}"/>
    <cellStyle name="40% - Accent1 8 5 3 2" xfId="36445" xr:uid="{00000000-0005-0000-0000-00002C590000}"/>
    <cellStyle name="40% - Accent1 8 5 4" xfId="25144" xr:uid="{00000000-0005-0000-0000-00002D590000}"/>
    <cellStyle name="40% - Accent1 8 6" xfId="4141" xr:uid="{00000000-0005-0000-0000-00002E590000}"/>
    <cellStyle name="40% - Accent1 8 6 2" xfId="9791" xr:uid="{00000000-0005-0000-0000-00002F590000}"/>
    <cellStyle name="40% - Accent1 8 6 2 2" xfId="21092" xr:uid="{00000000-0005-0000-0000-000030590000}"/>
    <cellStyle name="40% - Accent1 8 6 2 2 2" xfId="43694" xr:uid="{00000000-0005-0000-0000-000031590000}"/>
    <cellStyle name="40% - Accent1 8 6 2 3" xfId="32393" xr:uid="{00000000-0005-0000-0000-000032590000}"/>
    <cellStyle name="40% - Accent1 8 6 3" xfId="15442" xr:uid="{00000000-0005-0000-0000-000033590000}"/>
    <cellStyle name="40% - Accent1 8 6 3 2" xfId="38044" xr:uid="{00000000-0005-0000-0000-000034590000}"/>
    <cellStyle name="40% - Accent1 8 6 4" xfId="26743" xr:uid="{00000000-0005-0000-0000-000035590000}"/>
    <cellStyle name="40% - Accent1 8 7" xfId="6592" xr:uid="{00000000-0005-0000-0000-000036590000}"/>
    <cellStyle name="40% - Accent1 8 7 2" xfId="17893" xr:uid="{00000000-0005-0000-0000-000037590000}"/>
    <cellStyle name="40% - Accent1 8 7 2 2" xfId="40495" xr:uid="{00000000-0005-0000-0000-000038590000}"/>
    <cellStyle name="40% - Accent1 8 7 3" xfId="29194" xr:uid="{00000000-0005-0000-0000-000039590000}"/>
    <cellStyle name="40% - Accent1 8 8" xfId="12243" xr:uid="{00000000-0005-0000-0000-00003A590000}"/>
    <cellStyle name="40% - Accent1 8 8 2" xfId="34845" xr:uid="{00000000-0005-0000-0000-00003B590000}"/>
    <cellStyle name="40% - Accent1 8 9" xfId="23544" xr:uid="{00000000-0005-0000-0000-00003C590000}"/>
    <cellStyle name="40% - Accent1 9" xfId="697" xr:uid="{00000000-0005-0000-0000-00003D590000}"/>
    <cellStyle name="40% - Accent1 9 2" xfId="752" xr:uid="{00000000-0005-0000-0000-00003E590000}"/>
    <cellStyle name="40% - Accent1 9 2 2" xfId="3167" xr:uid="{00000000-0005-0000-0000-00003F590000}"/>
    <cellStyle name="40% - Accent1 9 2 2 2" xfId="6139" xr:uid="{00000000-0005-0000-0000-000040590000}"/>
    <cellStyle name="40% - Accent1 9 2 2 2 2" xfId="11789" xr:uid="{00000000-0005-0000-0000-000041590000}"/>
    <cellStyle name="40% - Accent1 9 2 2 2 2 2" xfId="23090" xr:uid="{00000000-0005-0000-0000-000042590000}"/>
    <cellStyle name="40% - Accent1 9 2 2 2 2 2 2" xfId="45692" xr:uid="{00000000-0005-0000-0000-000043590000}"/>
    <cellStyle name="40% - Accent1 9 2 2 2 2 3" xfId="34391" xr:uid="{00000000-0005-0000-0000-000044590000}"/>
    <cellStyle name="40% - Accent1 9 2 2 2 3" xfId="17440" xr:uid="{00000000-0005-0000-0000-000045590000}"/>
    <cellStyle name="40% - Accent1 9 2 2 2 3 2" xfId="40042" xr:uid="{00000000-0005-0000-0000-000046590000}"/>
    <cellStyle name="40% - Accent1 9 2 2 2 4" xfId="28741" xr:uid="{00000000-0005-0000-0000-000047590000}"/>
    <cellStyle name="40% - Accent1 9 2 2 3" xfId="8957" xr:uid="{00000000-0005-0000-0000-000048590000}"/>
    <cellStyle name="40% - Accent1 9 2 2 3 2" xfId="20258" xr:uid="{00000000-0005-0000-0000-000049590000}"/>
    <cellStyle name="40% - Accent1 9 2 2 3 2 2" xfId="42860" xr:uid="{00000000-0005-0000-0000-00004A590000}"/>
    <cellStyle name="40% - Accent1 9 2 2 3 3" xfId="31559" xr:uid="{00000000-0005-0000-0000-00004B590000}"/>
    <cellStyle name="40% - Accent1 9 2 2 4" xfId="14608" xr:uid="{00000000-0005-0000-0000-00004C590000}"/>
    <cellStyle name="40% - Accent1 9 2 2 4 2" xfId="37210" xr:uid="{00000000-0005-0000-0000-00004D590000}"/>
    <cellStyle name="40% - Accent1 9 2 2 5" xfId="25909" xr:uid="{00000000-0005-0000-0000-00004E590000}"/>
    <cellStyle name="40% - Accent1 9 2 3" xfId="4905" xr:uid="{00000000-0005-0000-0000-00004F590000}"/>
    <cellStyle name="40% - Accent1 9 2 3 2" xfId="10555" xr:uid="{00000000-0005-0000-0000-000050590000}"/>
    <cellStyle name="40% - Accent1 9 2 3 2 2" xfId="21856" xr:uid="{00000000-0005-0000-0000-000051590000}"/>
    <cellStyle name="40% - Accent1 9 2 3 2 2 2" xfId="44458" xr:uid="{00000000-0005-0000-0000-000052590000}"/>
    <cellStyle name="40% - Accent1 9 2 3 2 3" xfId="33157" xr:uid="{00000000-0005-0000-0000-000053590000}"/>
    <cellStyle name="40% - Accent1 9 2 3 3" xfId="16206" xr:uid="{00000000-0005-0000-0000-000054590000}"/>
    <cellStyle name="40% - Accent1 9 2 3 3 2" xfId="38808" xr:uid="{00000000-0005-0000-0000-000055590000}"/>
    <cellStyle name="40% - Accent1 9 2 3 4" xfId="27507" xr:uid="{00000000-0005-0000-0000-000056590000}"/>
    <cellStyle name="40% - Accent1 9 2 4" xfId="6781" xr:uid="{00000000-0005-0000-0000-000057590000}"/>
    <cellStyle name="40% - Accent1 9 2 4 2" xfId="18082" xr:uid="{00000000-0005-0000-0000-000058590000}"/>
    <cellStyle name="40% - Accent1 9 2 4 2 2" xfId="40684" xr:uid="{00000000-0005-0000-0000-000059590000}"/>
    <cellStyle name="40% - Accent1 9 2 4 3" xfId="29383" xr:uid="{00000000-0005-0000-0000-00005A590000}"/>
    <cellStyle name="40% - Accent1 9 2 5" xfId="12432" xr:uid="{00000000-0005-0000-0000-00005B590000}"/>
    <cellStyle name="40% - Accent1 9 2 5 2" xfId="35034" xr:uid="{00000000-0005-0000-0000-00005C590000}"/>
    <cellStyle name="40% - Accent1 9 2 6" xfId="23733" xr:uid="{00000000-0005-0000-0000-00005D590000}"/>
    <cellStyle name="40% - Accent1 9 3" xfId="1854" xr:uid="{00000000-0005-0000-0000-00005E590000}"/>
    <cellStyle name="40% - Accent1 9 3 2" xfId="3727" xr:uid="{00000000-0005-0000-0000-00005F590000}"/>
    <cellStyle name="40% - Accent1 9 3 2 2" xfId="9437" xr:uid="{00000000-0005-0000-0000-000060590000}"/>
    <cellStyle name="40% - Accent1 9 3 2 2 2" xfId="20738" xr:uid="{00000000-0005-0000-0000-000061590000}"/>
    <cellStyle name="40% - Accent1 9 3 2 2 2 2" xfId="43340" xr:uid="{00000000-0005-0000-0000-000062590000}"/>
    <cellStyle name="40% - Accent1 9 3 2 2 3" xfId="32039" xr:uid="{00000000-0005-0000-0000-000063590000}"/>
    <cellStyle name="40% - Accent1 9 3 2 3" xfId="15088" xr:uid="{00000000-0005-0000-0000-000064590000}"/>
    <cellStyle name="40% - Accent1 9 3 2 3 2" xfId="37690" xr:uid="{00000000-0005-0000-0000-000065590000}"/>
    <cellStyle name="40% - Accent1 9 3 2 4" xfId="26389" xr:uid="{00000000-0005-0000-0000-000066590000}"/>
    <cellStyle name="40% - Accent1 9 3 3" xfId="5515" xr:uid="{00000000-0005-0000-0000-000067590000}"/>
    <cellStyle name="40% - Accent1 9 3 3 2" xfId="11165" xr:uid="{00000000-0005-0000-0000-000068590000}"/>
    <cellStyle name="40% - Accent1 9 3 3 2 2" xfId="22466" xr:uid="{00000000-0005-0000-0000-000069590000}"/>
    <cellStyle name="40% - Accent1 9 3 3 2 2 2" xfId="45068" xr:uid="{00000000-0005-0000-0000-00006A590000}"/>
    <cellStyle name="40% - Accent1 9 3 3 2 3" xfId="33767" xr:uid="{00000000-0005-0000-0000-00006B590000}"/>
    <cellStyle name="40% - Accent1 9 3 3 3" xfId="16816" xr:uid="{00000000-0005-0000-0000-00006C590000}"/>
    <cellStyle name="40% - Accent1 9 3 3 3 2" xfId="39418" xr:uid="{00000000-0005-0000-0000-00006D590000}"/>
    <cellStyle name="40% - Accent1 9 3 3 4" xfId="28117" xr:uid="{00000000-0005-0000-0000-00006E590000}"/>
    <cellStyle name="40% - Accent1 9 3 4" xfId="7710" xr:uid="{00000000-0005-0000-0000-00006F590000}"/>
    <cellStyle name="40% - Accent1 9 3 4 2" xfId="19011" xr:uid="{00000000-0005-0000-0000-000070590000}"/>
    <cellStyle name="40% - Accent1 9 3 4 2 2" xfId="41613" xr:uid="{00000000-0005-0000-0000-000071590000}"/>
    <cellStyle name="40% - Accent1 9 3 4 3" xfId="30312" xr:uid="{00000000-0005-0000-0000-000072590000}"/>
    <cellStyle name="40% - Accent1 9 3 5" xfId="13361" xr:uid="{00000000-0005-0000-0000-000073590000}"/>
    <cellStyle name="40% - Accent1 9 3 5 2" xfId="35963" xr:uid="{00000000-0005-0000-0000-000074590000}"/>
    <cellStyle name="40% - Accent1 9 3 6" xfId="24662" xr:uid="{00000000-0005-0000-0000-000075590000}"/>
    <cellStyle name="40% - Accent1 9 4" xfId="2496" xr:uid="{00000000-0005-0000-0000-000076590000}"/>
    <cellStyle name="40% - Accent1 9 4 2" xfId="8332" xr:uid="{00000000-0005-0000-0000-000077590000}"/>
    <cellStyle name="40% - Accent1 9 4 2 2" xfId="19633" xr:uid="{00000000-0005-0000-0000-000078590000}"/>
    <cellStyle name="40% - Accent1 9 4 2 2 2" xfId="42235" xr:uid="{00000000-0005-0000-0000-000079590000}"/>
    <cellStyle name="40% - Accent1 9 4 2 3" xfId="30934" xr:uid="{00000000-0005-0000-0000-00007A590000}"/>
    <cellStyle name="40% - Accent1 9 4 3" xfId="13983" xr:uid="{00000000-0005-0000-0000-00007B590000}"/>
    <cellStyle name="40% - Accent1 9 4 3 2" xfId="36585" xr:uid="{00000000-0005-0000-0000-00007C590000}"/>
    <cellStyle name="40% - Accent1 9 4 4" xfId="25284" xr:uid="{00000000-0005-0000-0000-00007D590000}"/>
    <cellStyle name="40% - Accent1 9 5" xfId="4281" xr:uid="{00000000-0005-0000-0000-00007E590000}"/>
    <cellStyle name="40% - Accent1 9 5 2" xfId="9931" xr:uid="{00000000-0005-0000-0000-00007F590000}"/>
    <cellStyle name="40% - Accent1 9 5 2 2" xfId="21232" xr:uid="{00000000-0005-0000-0000-000080590000}"/>
    <cellStyle name="40% - Accent1 9 5 2 2 2" xfId="43834" xr:uid="{00000000-0005-0000-0000-000081590000}"/>
    <cellStyle name="40% - Accent1 9 5 2 3" xfId="32533" xr:uid="{00000000-0005-0000-0000-000082590000}"/>
    <cellStyle name="40% - Accent1 9 5 3" xfId="15582" xr:uid="{00000000-0005-0000-0000-000083590000}"/>
    <cellStyle name="40% - Accent1 9 5 3 2" xfId="38184" xr:uid="{00000000-0005-0000-0000-000084590000}"/>
    <cellStyle name="40% - Accent1 9 5 4" xfId="26883" xr:uid="{00000000-0005-0000-0000-000085590000}"/>
    <cellStyle name="40% - Accent1 9 6" xfId="6760" xr:uid="{00000000-0005-0000-0000-000086590000}"/>
    <cellStyle name="40% - Accent1 9 6 2" xfId="18061" xr:uid="{00000000-0005-0000-0000-000087590000}"/>
    <cellStyle name="40% - Accent1 9 6 2 2" xfId="40663" xr:uid="{00000000-0005-0000-0000-000088590000}"/>
    <cellStyle name="40% - Accent1 9 6 3" xfId="29362" xr:uid="{00000000-0005-0000-0000-000089590000}"/>
    <cellStyle name="40% - Accent1 9 7" xfId="12411" xr:uid="{00000000-0005-0000-0000-00008A590000}"/>
    <cellStyle name="40% - Accent1 9 7 2" xfId="35013" xr:uid="{00000000-0005-0000-0000-00008B590000}"/>
    <cellStyle name="40% - Accent1 9 8" xfId="23712" xr:uid="{00000000-0005-0000-0000-00008C590000}"/>
    <cellStyle name="40% - Accent2" xfId="24" builtinId="35" customBuiltin="1"/>
    <cellStyle name="40% - Accent2 10" xfId="1459" xr:uid="{00000000-0005-0000-0000-00008E590000}"/>
    <cellStyle name="40% - Accent2 10 2" xfId="1855" xr:uid="{00000000-0005-0000-0000-00008F590000}"/>
    <cellStyle name="40% - Accent2 10 2 2" xfId="3479" xr:uid="{00000000-0005-0000-0000-000090590000}"/>
    <cellStyle name="40% - Accent2 10 2 2 2" xfId="6451" xr:uid="{00000000-0005-0000-0000-000091590000}"/>
    <cellStyle name="40% - Accent2 10 2 2 2 2" xfId="12101" xr:uid="{00000000-0005-0000-0000-000092590000}"/>
    <cellStyle name="40% - Accent2 10 2 2 2 2 2" xfId="23402" xr:uid="{00000000-0005-0000-0000-000093590000}"/>
    <cellStyle name="40% - Accent2 10 2 2 2 2 2 2" xfId="46004" xr:uid="{00000000-0005-0000-0000-000094590000}"/>
    <cellStyle name="40% - Accent2 10 2 2 2 2 3" xfId="34703" xr:uid="{00000000-0005-0000-0000-000095590000}"/>
    <cellStyle name="40% - Accent2 10 2 2 2 3" xfId="17752" xr:uid="{00000000-0005-0000-0000-000096590000}"/>
    <cellStyle name="40% - Accent2 10 2 2 2 3 2" xfId="40354" xr:uid="{00000000-0005-0000-0000-000097590000}"/>
    <cellStyle name="40% - Accent2 10 2 2 2 4" xfId="29053" xr:uid="{00000000-0005-0000-0000-000098590000}"/>
    <cellStyle name="40% - Accent2 10 2 2 3" xfId="9269" xr:uid="{00000000-0005-0000-0000-000099590000}"/>
    <cellStyle name="40% - Accent2 10 2 2 3 2" xfId="20570" xr:uid="{00000000-0005-0000-0000-00009A590000}"/>
    <cellStyle name="40% - Accent2 10 2 2 3 2 2" xfId="43172" xr:uid="{00000000-0005-0000-0000-00009B590000}"/>
    <cellStyle name="40% - Accent2 10 2 2 3 3" xfId="31871" xr:uid="{00000000-0005-0000-0000-00009C590000}"/>
    <cellStyle name="40% - Accent2 10 2 2 4" xfId="14920" xr:uid="{00000000-0005-0000-0000-00009D590000}"/>
    <cellStyle name="40% - Accent2 10 2 2 4 2" xfId="37522" xr:uid="{00000000-0005-0000-0000-00009E590000}"/>
    <cellStyle name="40% - Accent2 10 2 2 5" xfId="26221" xr:uid="{00000000-0005-0000-0000-00009F590000}"/>
    <cellStyle name="40% - Accent2 10 2 3" xfId="5217" xr:uid="{00000000-0005-0000-0000-0000A0590000}"/>
    <cellStyle name="40% - Accent2 10 2 3 2" xfId="10867" xr:uid="{00000000-0005-0000-0000-0000A1590000}"/>
    <cellStyle name="40% - Accent2 10 2 3 2 2" xfId="22168" xr:uid="{00000000-0005-0000-0000-0000A2590000}"/>
    <cellStyle name="40% - Accent2 10 2 3 2 2 2" xfId="44770" xr:uid="{00000000-0005-0000-0000-0000A3590000}"/>
    <cellStyle name="40% - Accent2 10 2 3 2 3" xfId="33469" xr:uid="{00000000-0005-0000-0000-0000A4590000}"/>
    <cellStyle name="40% - Accent2 10 2 3 3" xfId="16518" xr:uid="{00000000-0005-0000-0000-0000A5590000}"/>
    <cellStyle name="40% - Accent2 10 2 3 3 2" xfId="39120" xr:uid="{00000000-0005-0000-0000-0000A6590000}"/>
    <cellStyle name="40% - Accent2 10 2 3 4" xfId="27819" xr:uid="{00000000-0005-0000-0000-0000A7590000}"/>
    <cellStyle name="40% - Accent2 10 2 4" xfId="7711" xr:uid="{00000000-0005-0000-0000-0000A8590000}"/>
    <cellStyle name="40% - Accent2 10 2 4 2" xfId="19012" xr:uid="{00000000-0005-0000-0000-0000A9590000}"/>
    <cellStyle name="40% - Accent2 10 2 4 2 2" xfId="41614" xr:uid="{00000000-0005-0000-0000-0000AA590000}"/>
    <cellStyle name="40% - Accent2 10 2 4 3" xfId="30313" xr:uid="{00000000-0005-0000-0000-0000AB590000}"/>
    <cellStyle name="40% - Accent2 10 2 5" xfId="13362" xr:uid="{00000000-0005-0000-0000-0000AC590000}"/>
    <cellStyle name="40% - Accent2 10 2 5 2" xfId="35964" xr:uid="{00000000-0005-0000-0000-0000AD590000}"/>
    <cellStyle name="40% - Accent2 10 2 6" xfId="24663" xr:uid="{00000000-0005-0000-0000-0000AE590000}"/>
    <cellStyle name="40% - Accent2 10 3" xfId="2810" xr:uid="{00000000-0005-0000-0000-0000AF590000}"/>
    <cellStyle name="40% - Accent2 10 3 2" xfId="5827" xr:uid="{00000000-0005-0000-0000-0000B0590000}"/>
    <cellStyle name="40% - Accent2 10 3 2 2" xfId="11477" xr:uid="{00000000-0005-0000-0000-0000B1590000}"/>
    <cellStyle name="40% - Accent2 10 3 2 2 2" xfId="22778" xr:uid="{00000000-0005-0000-0000-0000B2590000}"/>
    <cellStyle name="40% - Accent2 10 3 2 2 2 2" xfId="45380" xr:uid="{00000000-0005-0000-0000-0000B3590000}"/>
    <cellStyle name="40% - Accent2 10 3 2 2 3" xfId="34079" xr:uid="{00000000-0005-0000-0000-0000B4590000}"/>
    <cellStyle name="40% - Accent2 10 3 2 3" xfId="17128" xr:uid="{00000000-0005-0000-0000-0000B5590000}"/>
    <cellStyle name="40% - Accent2 10 3 2 3 2" xfId="39730" xr:uid="{00000000-0005-0000-0000-0000B6590000}"/>
    <cellStyle name="40% - Accent2 10 3 2 4" xfId="28429" xr:uid="{00000000-0005-0000-0000-0000B7590000}"/>
    <cellStyle name="40% - Accent2 10 3 3" xfId="8644" xr:uid="{00000000-0005-0000-0000-0000B8590000}"/>
    <cellStyle name="40% - Accent2 10 3 3 2" xfId="19945" xr:uid="{00000000-0005-0000-0000-0000B9590000}"/>
    <cellStyle name="40% - Accent2 10 3 3 2 2" xfId="42547" xr:uid="{00000000-0005-0000-0000-0000BA590000}"/>
    <cellStyle name="40% - Accent2 10 3 3 3" xfId="31246" xr:uid="{00000000-0005-0000-0000-0000BB590000}"/>
    <cellStyle name="40% - Accent2 10 3 4" xfId="14295" xr:uid="{00000000-0005-0000-0000-0000BC590000}"/>
    <cellStyle name="40% - Accent2 10 3 4 2" xfId="36897" xr:uid="{00000000-0005-0000-0000-0000BD590000}"/>
    <cellStyle name="40% - Accent2 10 3 5" xfId="25596" xr:uid="{00000000-0005-0000-0000-0000BE590000}"/>
    <cellStyle name="40% - Accent2 10 4" xfId="4593" xr:uid="{00000000-0005-0000-0000-0000BF590000}"/>
    <cellStyle name="40% - Accent2 10 4 2" xfId="10243" xr:uid="{00000000-0005-0000-0000-0000C0590000}"/>
    <cellStyle name="40% - Accent2 10 4 2 2" xfId="21544" xr:uid="{00000000-0005-0000-0000-0000C1590000}"/>
    <cellStyle name="40% - Accent2 10 4 2 2 2" xfId="44146" xr:uid="{00000000-0005-0000-0000-0000C2590000}"/>
    <cellStyle name="40% - Accent2 10 4 2 3" xfId="32845" xr:uid="{00000000-0005-0000-0000-0000C3590000}"/>
    <cellStyle name="40% - Accent2 10 4 3" xfId="15894" xr:uid="{00000000-0005-0000-0000-0000C4590000}"/>
    <cellStyle name="40% - Accent2 10 4 3 2" xfId="38496" xr:uid="{00000000-0005-0000-0000-0000C5590000}"/>
    <cellStyle name="40% - Accent2 10 4 4" xfId="27195" xr:uid="{00000000-0005-0000-0000-0000C6590000}"/>
    <cellStyle name="40% - Accent2 10 5" xfId="7386" xr:uid="{00000000-0005-0000-0000-0000C7590000}"/>
    <cellStyle name="40% - Accent2 10 5 2" xfId="18687" xr:uid="{00000000-0005-0000-0000-0000C8590000}"/>
    <cellStyle name="40% - Accent2 10 5 2 2" xfId="41289" xr:uid="{00000000-0005-0000-0000-0000C9590000}"/>
    <cellStyle name="40% - Accent2 10 5 3" xfId="29988" xr:uid="{00000000-0005-0000-0000-0000CA590000}"/>
    <cellStyle name="40% - Accent2 10 6" xfId="13037" xr:uid="{00000000-0005-0000-0000-0000CB590000}"/>
    <cellStyle name="40% - Accent2 10 6 2" xfId="35639" xr:uid="{00000000-0005-0000-0000-0000CC590000}"/>
    <cellStyle name="40% - Accent2 10 7" xfId="24338" xr:uid="{00000000-0005-0000-0000-0000CD590000}"/>
    <cellStyle name="40% - Accent2 11" xfId="1457" xr:uid="{00000000-0005-0000-0000-0000CE590000}"/>
    <cellStyle name="40% - Accent2 11 2" xfId="1856" xr:uid="{00000000-0005-0000-0000-0000CF590000}"/>
    <cellStyle name="40% - Accent2 11 2 2" xfId="3728" xr:uid="{00000000-0005-0000-0000-0000D0590000}"/>
    <cellStyle name="40% - Accent2 11 2 2 2" xfId="9438" xr:uid="{00000000-0005-0000-0000-0000D1590000}"/>
    <cellStyle name="40% - Accent2 11 2 2 2 2" xfId="20739" xr:uid="{00000000-0005-0000-0000-0000D2590000}"/>
    <cellStyle name="40% - Accent2 11 2 2 2 2 2" xfId="43341" xr:uid="{00000000-0005-0000-0000-0000D3590000}"/>
    <cellStyle name="40% - Accent2 11 2 2 2 3" xfId="32040" xr:uid="{00000000-0005-0000-0000-0000D4590000}"/>
    <cellStyle name="40% - Accent2 11 2 2 3" xfId="15089" xr:uid="{00000000-0005-0000-0000-0000D5590000}"/>
    <cellStyle name="40% - Accent2 11 2 2 3 2" xfId="37691" xr:uid="{00000000-0005-0000-0000-0000D6590000}"/>
    <cellStyle name="40% - Accent2 11 2 2 4" xfId="26390" xr:uid="{00000000-0005-0000-0000-0000D7590000}"/>
    <cellStyle name="40% - Accent2 11 2 3" xfId="7712" xr:uid="{00000000-0005-0000-0000-0000D8590000}"/>
    <cellStyle name="40% - Accent2 11 2 3 2" xfId="19013" xr:uid="{00000000-0005-0000-0000-0000D9590000}"/>
    <cellStyle name="40% - Accent2 11 2 3 2 2" xfId="41615" xr:uid="{00000000-0005-0000-0000-0000DA590000}"/>
    <cellStyle name="40% - Accent2 11 2 3 3" xfId="30314" xr:uid="{00000000-0005-0000-0000-0000DB590000}"/>
    <cellStyle name="40% - Accent2 11 2 4" xfId="13363" xr:uid="{00000000-0005-0000-0000-0000DC590000}"/>
    <cellStyle name="40% - Accent2 11 2 4 2" xfId="35965" xr:uid="{00000000-0005-0000-0000-0000DD590000}"/>
    <cellStyle name="40% - Accent2 11 2 5" xfId="24664" xr:uid="{00000000-0005-0000-0000-0000DE590000}"/>
    <cellStyle name="40% - Accent2 11 3" xfId="2179" xr:uid="{00000000-0005-0000-0000-0000DF590000}"/>
    <cellStyle name="40% - Accent2 11 3 2" xfId="8023" xr:uid="{00000000-0005-0000-0000-0000E0590000}"/>
    <cellStyle name="40% - Accent2 11 3 2 2" xfId="19324" xr:uid="{00000000-0005-0000-0000-0000E1590000}"/>
    <cellStyle name="40% - Accent2 11 3 2 2 2" xfId="41926" xr:uid="{00000000-0005-0000-0000-0000E2590000}"/>
    <cellStyle name="40% - Accent2 11 3 2 3" xfId="30625" xr:uid="{00000000-0005-0000-0000-0000E3590000}"/>
    <cellStyle name="40% - Accent2 11 3 3" xfId="13674" xr:uid="{00000000-0005-0000-0000-0000E4590000}"/>
    <cellStyle name="40% - Accent2 11 3 3 2" xfId="36276" xr:uid="{00000000-0005-0000-0000-0000E5590000}"/>
    <cellStyle name="40% - Accent2 11 3 4" xfId="24975" xr:uid="{00000000-0005-0000-0000-0000E6590000}"/>
    <cellStyle name="40% - Accent2 11 4" xfId="3976" xr:uid="{00000000-0005-0000-0000-0000E7590000}"/>
    <cellStyle name="40% - Accent2 11 4 2" xfId="9626" xr:uid="{00000000-0005-0000-0000-0000E8590000}"/>
    <cellStyle name="40% - Accent2 11 4 2 2" xfId="20927" xr:uid="{00000000-0005-0000-0000-0000E9590000}"/>
    <cellStyle name="40% - Accent2 11 4 2 2 2" xfId="43529" xr:uid="{00000000-0005-0000-0000-0000EA590000}"/>
    <cellStyle name="40% - Accent2 11 4 2 3" xfId="32228" xr:uid="{00000000-0005-0000-0000-0000EB590000}"/>
    <cellStyle name="40% - Accent2 11 4 3" xfId="15277" xr:uid="{00000000-0005-0000-0000-0000EC590000}"/>
    <cellStyle name="40% - Accent2 11 4 3 2" xfId="37879" xr:uid="{00000000-0005-0000-0000-0000ED590000}"/>
    <cellStyle name="40% - Accent2 11 4 4" xfId="26578" xr:uid="{00000000-0005-0000-0000-0000EE590000}"/>
    <cellStyle name="40% - Accent2 11 5" xfId="7385" xr:uid="{00000000-0005-0000-0000-0000EF590000}"/>
    <cellStyle name="40% - Accent2 11 5 2" xfId="18686" xr:uid="{00000000-0005-0000-0000-0000F0590000}"/>
    <cellStyle name="40% - Accent2 11 5 2 2" xfId="41288" xr:uid="{00000000-0005-0000-0000-0000F1590000}"/>
    <cellStyle name="40% - Accent2 11 5 3" xfId="29987" xr:uid="{00000000-0005-0000-0000-0000F2590000}"/>
    <cellStyle name="40% - Accent2 11 6" xfId="13036" xr:uid="{00000000-0005-0000-0000-0000F3590000}"/>
    <cellStyle name="40% - Accent2 11 6 2" xfId="35638" xr:uid="{00000000-0005-0000-0000-0000F4590000}"/>
    <cellStyle name="40% - Accent2 11 7" xfId="24337" xr:uid="{00000000-0005-0000-0000-0000F5590000}"/>
    <cellStyle name="40% - Accent2 12" xfId="855" xr:uid="{00000000-0005-0000-0000-0000F6590000}"/>
    <cellStyle name="40% - Accent2 12 2" xfId="2352" xr:uid="{00000000-0005-0000-0000-0000F7590000}"/>
    <cellStyle name="40% - Accent2 12 2 2" xfId="8188" xr:uid="{00000000-0005-0000-0000-0000F8590000}"/>
    <cellStyle name="40% - Accent2 12 2 2 2" xfId="19489" xr:uid="{00000000-0005-0000-0000-0000F9590000}"/>
    <cellStyle name="40% - Accent2 12 2 2 2 2" xfId="42091" xr:uid="{00000000-0005-0000-0000-0000FA590000}"/>
    <cellStyle name="40% - Accent2 12 2 2 3" xfId="30790" xr:uid="{00000000-0005-0000-0000-0000FB590000}"/>
    <cellStyle name="40% - Accent2 12 2 3" xfId="13839" xr:uid="{00000000-0005-0000-0000-0000FC590000}"/>
    <cellStyle name="40% - Accent2 12 2 3 2" xfId="36441" xr:uid="{00000000-0005-0000-0000-0000FD590000}"/>
    <cellStyle name="40% - Accent2 12 2 4" xfId="25140" xr:uid="{00000000-0005-0000-0000-0000FE590000}"/>
    <cellStyle name="40% - Accent2 13" xfId="3556" xr:uid="{00000000-0005-0000-0000-0000FF590000}"/>
    <cellStyle name="40% - Accent2 14" xfId="113" xr:uid="{00000000-0005-0000-0000-0000005A0000}"/>
    <cellStyle name="40% - Accent2 2" xfId="51" xr:uid="{00000000-0005-0000-0000-0000015A0000}"/>
    <cellStyle name="40% - Accent2 2 2" xfId="334" xr:uid="{00000000-0005-0000-0000-0000025A0000}"/>
    <cellStyle name="40% - Accent2 2 2 10" xfId="23450" xr:uid="{00000000-0005-0000-0000-0000035A0000}"/>
    <cellStyle name="40% - Accent2 2 2 2" xfId="600" xr:uid="{00000000-0005-0000-0000-0000045A0000}"/>
    <cellStyle name="40% - Accent2 2 2 2 2" xfId="1310" xr:uid="{00000000-0005-0000-0000-0000055A0000}"/>
    <cellStyle name="40% - Accent2 2 2 2 2 2" xfId="1859" xr:uid="{00000000-0005-0000-0000-0000065A0000}"/>
    <cellStyle name="40% - Accent2 2 2 2 2 2 2" xfId="3379" xr:uid="{00000000-0005-0000-0000-0000075A0000}"/>
    <cellStyle name="40% - Accent2 2 2 2 2 2 2 2" xfId="6351" xr:uid="{00000000-0005-0000-0000-0000085A0000}"/>
    <cellStyle name="40% - Accent2 2 2 2 2 2 2 2 2" xfId="12001" xr:uid="{00000000-0005-0000-0000-0000095A0000}"/>
    <cellStyle name="40% - Accent2 2 2 2 2 2 2 2 2 2" xfId="23302" xr:uid="{00000000-0005-0000-0000-00000A5A0000}"/>
    <cellStyle name="40% - Accent2 2 2 2 2 2 2 2 2 2 2" xfId="45904" xr:uid="{00000000-0005-0000-0000-00000B5A0000}"/>
    <cellStyle name="40% - Accent2 2 2 2 2 2 2 2 2 3" xfId="34603" xr:uid="{00000000-0005-0000-0000-00000C5A0000}"/>
    <cellStyle name="40% - Accent2 2 2 2 2 2 2 2 3" xfId="17652" xr:uid="{00000000-0005-0000-0000-00000D5A0000}"/>
    <cellStyle name="40% - Accent2 2 2 2 2 2 2 2 3 2" xfId="40254" xr:uid="{00000000-0005-0000-0000-00000E5A0000}"/>
    <cellStyle name="40% - Accent2 2 2 2 2 2 2 2 4" xfId="28953" xr:uid="{00000000-0005-0000-0000-00000F5A0000}"/>
    <cellStyle name="40% - Accent2 2 2 2 2 2 2 3" xfId="9169" xr:uid="{00000000-0005-0000-0000-0000105A0000}"/>
    <cellStyle name="40% - Accent2 2 2 2 2 2 2 3 2" xfId="20470" xr:uid="{00000000-0005-0000-0000-0000115A0000}"/>
    <cellStyle name="40% - Accent2 2 2 2 2 2 2 3 2 2" xfId="43072" xr:uid="{00000000-0005-0000-0000-0000125A0000}"/>
    <cellStyle name="40% - Accent2 2 2 2 2 2 2 3 3" xfId="31771" xr:uid="{00000000-0005-0000-0000-0000135A0000}"/>
    <cellStyle name="40% - Accent2 2 2 2 2 2 2 4" xfId="14820" xr:uid="{00000000-0005-0000-0000-0000145A0000}"/>
    <cellStyle name="40% - Accent2 2 2 2 2 2 2 4 2" xfId="37422" xr:uid="{00000000-0005-0000-0000-0000155A0000}"/>
    <cellStyle name="40% - Accent2 2 2 2 2 2 2 5" xfId="26121" xr:uid="{00000000-0005-0000-0000-0000165A0000}"/>
    <cellStyle name="40% - Accent2 2 2 2 2 2 3" xfId="5117" xr:uid="{00000000-0005-0000-0000-0000175A0000}"/>
    <cellStyle name="40% - Accent2 2 2 2 2 2 3 2" xfId="10767" xr:uid="{00000000-0005-0000-0000-0000185A0000}"/>
    <cellStyle name="40% - Accent2 2 2 2 2 2 3 2 2" xfId="22068" xr:uid="{00000000-0005-0000-0000-0000195A0000}"/>
    <cellStyle name="40% - Accent2 2 2 2 2 2 3 2 2 2" xfId="44670" xr:uid="{00000000-0005-0000-0000-00001A5A0000}"/>
    <cellStyle name="40% - Accent2 2 2 2 2 2 3 2 3" xfId="33369" xr:uid="{00000000-0005-0000-0000-00001B5A0000}"/>
    <cellStyle name="40% - Accent2 2 2 2 2 2 3 3" xfId="16418" xr:uid="{00000000-0005-0000-0000-00001C5A0000}"/>
    <cellStyle name="40% - Accent2 2 2 2 2 2 3 3 2" xfId="39020" xr:uid="{00000000-0005-0000-0000-00001D5A0000}"/>
    <cellStyle name="40% - Accent2 2 2 2 2 2 3 4" xfId="27719" xr:uid="{00000000-0005-0000-0000-00001E5A0000}"/>
    <cellStyle name="40% - Accent2 2 2 2 2 2 4" xfId="7715" xr:uid="{00000000-0005-0000-0000-00001F5A0000}"/>
    <cellStyle name="40% - Accent2 2 2 2 2 2 4 2" xfId="19016" xr:uid="{00000000-0005-0000-0000-0000205A0000}"/>
    <cellStyle name="40% - Accent2 2 2 2 2 2 4 2 2" xfId="41618" xr:uid="{00000000-0005-0000-0000-0000215A0000}"/>
    <cellStyle name="40% - Accent2 2 2 2 2 2 4 3" xfId="30317" xr:uid="{00000000-0005-0000-0000-0000225A0000}"/>
    <cellStyle name="40% - Accent2 2 2 2 2 2 5" xfId="13366" xr:uid="{00000000-0005-0000-0000-0000235A0000}"/>
    <cellStyle name="40% - Accent2 2 2 2 2 2 5 2" xfId="35968" xr:uid="{00000000-0005-0000-0000-0000245A0000}"/>
    <cellStyle name="40% - Accent2 2 2 2 2 2 6" xfId="24667" xr:uid="{00000000-0005-0000-0000-0000255A0000}"/>
    <cellStyle name="40% - Accent2 2 2 2 2 3" xfId="2708" xr:uid="{00000000-0005-0000-0000-0000265A0000}"/>
    <cellStyle name="40% - Accent2 2 2 2 2 3 2" xfId="5727" xr:uid="{00000000-0005-0000-0000-0000275A0000}"/>
    <cellStyle name="40% - Accent2 2 2 2 2 3 2 2" xfId="11377" xr:uid="{00000000-0005-0000-0000-0000285A0000}"/>
    <cellStyle name="40% - Accent2 2 2 2 2 3 2 2 2" xfId="22678" xr:uid="{00000000-0005-0000-0000-0000295A0000}"/>
    <cellStyle name="40% - Accent2 2 2 2 2 3 2 2 2 2" xfId="45280" xr:uid="{00000000-0005-0000-0000-00002A5A0000}"/>
    <cellStyle name="40% - Accent2 2 2 2 2 3 2 2 3" xfId="33979" xr:uid="{00000000-0005-0000-0000-00002B5A0000}"/>
    <cellStyle name="40% - Accent2 2 2 2 2 3 2 3" xfId="17028" xr:uid="{00000000-0005-0000-0000-00002C5A0000}"/>
    <cellStyle name="40% - Accent2 2 2 2 2 3 2 3 2" xfId="39630" xr:uid="{00000000-0005-0000-0000-00002D5A0000}"/>
    <cellStyle name="40% - Accent2 2 2 2 2 3 2 4" xfId="28329" xr:uid="{00000000-0005-0000-0000-00002E5A0000}"/>
    <cellStyle name="40% - Accent2 2 2 2 2 3 3" xfId="8544" xr:uid="{00000000-0005-0000-0000-00002F5A0000}"/>
    <cellStyle name="40% - Accent2 2 2 2 2 3 3 2" xfId="19845" xr:uid="{00000000-0005-0000-0000-0000305A0000}"/>
    <cellStyle name="40% - Accent2 2 2 2 2 3 3 2 2" xfId="42447" xr:uid="{00000000-0005-0000-0000-0000315A0000}"/>
    <cellStyle name="40% - Accent2 2 2 2 2 3 3 3" xfId="31146" xr:uid="{00000000-0005-0000-0000-0000325A0000}"/>
    <cellStyle name="40% - Accent2 2 2 2 2 3 4" xfId="14195" xr:uid="{00000000-0005-0000-0000-0000335A0000}"/>
    <cellStyle name="40% - Accent2 2 2 2 2 3 4 2" xfId="36797" xr:uid="{00000000-0005-0000-0000-0000345A0000}"/>
    <cellStyle name="40% - Accent2 2 2 2 2 3 5" xfId="25496" xr:uid="{00000000-0005-0000-0000-0000355A0000}"/>
    <cellStyle name="40% - Accent2 2 2 2 2 4" xfId="4493" xr:uid="{00000000-0005-0000-0000-0000365A0000}"/>
    <cellStyle name="40% - Accent2 2 2 2 2 4 2" xfId="10143" xr:uid="{00000000-0005-0000-0000-0000375A0000}"/>
    <cellStyle name="40% - Accent2 2 2 2 2 4 2 2" xfId="21444" xr:uid="{00000000-0005-0000-0000-0000385A0000}"/>
    <cellStyle name="40% - Accent2 2 2 2 2 4 2 2 2" xfId="44046" xr:uid="{00000000-0005-0000-0000-0000395A0000}"/>
    <cellStyle name="40% - Accent2 2 2 2 2 4 2 3" xfId="32745" xr:uid="{00000000-0005-0000-0000-00003A5A0000}"/>
    <cellStyle name="40% - Accent2 2 2 2 2 4 3" xfId="15794" xr:uid="{00000000-0005-0000-0000-00003B5A0000}"/>
    <cellStyle name="40% - Accent2 2 2 2 2 4 3 2" xfId="38396" xr:uid="{00000000-0005-0000-0000-00003C5A0000}"/>
    <cellStyle name="40% - Accent2 2 2 2 2 4 4" xfId="27095" xr:uid="{00000000-0005-0000-0000-00003D5A0000}"/>
    <cellStyle name="40% - Accent2 2 2 2 2 5" xfId="7289" xr:uid="{00000000-0005-0000-0000-00003E5A0000}"/>
    <cellStyle name="40% - Accent2 2 2 2 2 5 2" xfId="18590" xr:uid="{00000000-0005-0000-0000-00003F5A0000}"/>
    <cellStyle name="40% - Accent2 2 2 2 2 5 2 2" xfId="41192" xr:uid="{00000000-0005-0000-0000-0000405A0000}"/>
    <cellStyle name="40% - Accent2 2 2 2 2 5 3" xfId="29891" xr:uid="{00000000-0005-0000-0000-0000415A0000}"/>
    <cellStyle name="40% - Accent2 2 2 2 2 6" xfId="12940" xr:uid="{00000000-0005-0000-0000-0000425A0000}"/>
    <cellStyle name="40% - Accent2 2 2 2 2 6 2" xfId="35542" xr:uid="{00000000-0005-0000-0000-0000435A0000}"/>
    <cellStyle name="40% - Accent2 2 2 2 2 7" xfId="24241" xr:uid="{00000000-0005-0000-0000-0000445A0000}"/>
    <cellStyle name="40% - Accent2 2 2 2 3" xfId="1008" xr:uid="{00000000-0005-0000-0000-0000455A0000}"/>
    <cellStyle name="40% - Accent2 2 2 2 3 2" xfId="3071" xr:uid="{00000000-0005-0000-0000-0000465A0000}"/>
    <cellStyle name="40% - Accent2 2 2 2 3 2 2" xfId="6043" xr:uid="{00000000-0005-0000-0000-0000475A0000}"/>
    <cellStyle name="40% - Accent2 2 2 2 3 2 2 2" xfId="11693" xr:uid="{00000000-0005-0000-0000-0000485A0000}"/>
    <cellStyle name="40% - Accent2 2 2 2 3 2 2 2 2" xfId="22994" xr:uid="{00000000-0005-0000-0000-0000495A0000}"/>
    <cellStyle name="40% - Accent2 2 2 2 3 2 2 2 2 2" xfId="45596" xr:uid="{00000000-0005-0000-0000-00004A5A0000}"/>
    <cellStyle name="40% - Accent2 2 2 2 3 2 2 2 3" xfId="34295" xr:uid="{00000000-0005-0000-0000-00004B5A0000}"/>
    <cellStyle name="40% - Accent2 2 2 2 3 2 2 3" xfId="17344" xr:uid="{00000000-0005-0000-0000-00004C5A0000}"/>
    <cellStyle name="40% - Accent2 2 2 2 3 2 2 3 2" xfId="39946" xr:uid="{00000000-0005-0000-0000-00004D5A0000}"/>
    <cellStyle name="40% - Accent2 2 2 2 3 2 2 4" xfId="28645" xr:uid="{00000000-0005-0000-0000-00004E5A0000}"/>
    <cellStyle name="40% - Accent2 2 2 2 3 2 3" xfId="8861" xr:uid="{00000000-0005-0000-0000-00004F5A0000}"/>
    <cellStyle name="40% - Accent2 2 2 2 3 2 3 2" xfId="20162" xr:uid="{00000000-0005-0000-0000-0000505A0000}"/>
    <cellStyle name="40% - Accent2 2 2 2 3 2 3 2 2" xfId="42764" xr:uid="{00000000-0005-0000-0000-0000515A0000}"/>
    <cellStyle name="40% - Accent2 2 2 2 3 2 3 3" xfId="31463" xr:uid="{00000000-0005-0000-0000-0000525A0000}"/>
    <cellStyle name="40% - Accent2 2 2 2 3 2 4" xfId="14512" xr:uid="{00000000-0005-0000-0000-0000535A0000}"/>
    <cellStyle name="40% - Accent2 2 2 2 3 2 4 2" xfId="37114" xr:uid="{00000000-0005-0000-0000-0000545A0000}"/>
    <cellStyle name="40% - Accent2 2 2 2 3 2 5" xfId="25813" xr:uid="{00000000-0005-0000-0000-0000555A0000}"/>
    <cellStyle name="40% - Accent2 2 2 2 3 3" xfId="4809" xr:uid="{00000000-0005-0000-0000-0000565A0000}"/>
    <cellStyle name="40% - Accent2 2 2 2 3 3 2" xfId="10459" xr:uid="{00000000-0005-0000-0000-0000575A0000}"/>
    <cellStyle name="40% - Accent2 2 2 2 3 3 2 2" xfId="21760" xr:uid="{00000000-0005-0000-0000-0000585A0000}"/>
    <cellStyle name="40% - Accent2 2 2 2 3 3 2 2 2" xfId="44362" xr:uid="{00000000-0005-0000-0000-0000595A0000}"/>
    <cellStyle name="40% - Accent2 2 2 2 3 3 2 3" xfId="33061" xr:uid="{00000000-0005-0000-0000-00005A5A0000}"/>
    <cellStyle name="40% - Accent2 2 2 2 3 3 3" xfId="16110" xr:uid="{00000000-0005-0000-0000-00005B5A0000}"/>
    <cellStyle name="40% - Accent2 2 2 2 3 3 3 2" xfId="38712" xr:uid="{00000000-0005-0000-0000-00005C5A0000}"/>
    <cellStyle name="40% - Accent2 2 2 2 3 3 4" xfId="27411" xr:uid="{00000000-0005-0000-0000-00005D5A0000}"/>
    <cellStyle name="40% - Accent2 2 2 2 3 4" xfId="6996" xr:uid="{00000000-0005-0000-0000-00005E5A0000}"/>
    <cellStyle name="40% - Accent2 2 2 2 3 4 2" xfId="18297" xr:uid="{00000000-0005-0000-0000-00005F5A0000}"/>
    <cellStyle name="40% - Accent2 2 2 2 3 4 2 2" xfId="40899" xr:uid="{00000000-0005-0000-0000-0000605A0000}"/>
    <cellStyle name="40% - Accent2 2 2 2 3 4 3" xfId="29598" xr:uid="{00000000-0005-0000-0000-0000615A0000}"/>
    <cellStyle name="40% - Accent2 2 2 2 3 5" xfId="12647" xr:uid="{00000000-0005-0000-0000-0000625A0000}"/>
    <cellStyle name="40% - Accent2 2 2 2 3 5 2" xfId="35249" xr:uid="{00000000-0005-0000-0000-0000635A0000}"/>
    <cellStyle name="40% - Accent2 2 2 2 3 6" xfId="23948" xr:uid="{00000000-0005-0000-0000-0000645A0000}"/>
    <cellStyle name="40% - Accent2 2 2 2 4" xfId="1858" xr:uid="{00000000-0005-0000-0000-0000655A0000}"/>
    <cellStyle name="40% - Accent2 2 2 2 4 2" xfId="3730" xr:uid="{00000000-0005-0000-0000-0000665A0000}"/>
    <cellStyle name="40% - Accent2 2 2 2 4 2 2" xfId="9440" xr:uid="{00000000-0005-0000-0000-0000675A0000}"/>
    <cellStyle name="40% - Accent2 2 2 2 4 2 2 2" xfId="20741" xr:uid="{00000000-0005-0000-0000-0000685A0000}"/>
    <cellStyle name="40% - Accent2 2 2 2 4 2 2 2 2" xfId="43343" xr:uid="{00000000-0005-0000-0000-0000695A0000}"/>
    <cellStyle name="40% - Accent2 2 2 2 4 2 2 3" xfId="32042" xr:uid="{00000000-0005-0000-0000-00006A5A0000}"/>
    <cellStyle name="40% - Accent2 2 2 2 4 2 3" xfId="15091" xr:uid="{00000000-0005-0000-0000-00006B5A0000}"/>
    <cellStyle name="40% - Accent2 2 2 2 4 2 3 2" xfId="37693" xr:uid="{00000000-0005-0000-0000-00006C5A0000}"/>
    <cellStyle name="40% - Accent2 2 2 2 4 2 4" xfId="26392" xr:uid="{00000000-0005-0000-0000-00006D5A0000}"/>
    <cellStyle name="40% - Accent2 2 2 2 4 3" xfId="5419" xr:uid="{00000000-0005-0000-0000-00006E5A0000}"/>
    <cellStyle name="40% - Accent2 2 2 2 4 3 2" xfId="11069" xr:uid="{00000000-0005-0000-0000-00006F5A0000}"/>
    <cellStyle name="40% - Accent2 2 2 2 4 3 2 2" xfId="22370" xr:uid="{00000000-0005-0000-0000-0000705A0000}"/>
    <cellStyle name="40% - Accent2 2 2 2 4 3 2 2 2" xfId="44972" xr:uid="{00000000-0005-0000-0000-0000715A0000}"/>
    <cellStyle name="40% - Accent2 2 2 2 4 3 2 3" xfId="33671" xr:uid="{00000000-0005-0000-0000-0000725A0000}"/>
    <cellStyle name="40% - Accent2 2 2 2 4 3 3" xfId="16720" xr:uid="{00000000-0005-0000-0000-0000735A0000}"/>
    <cellStyle name="40% - Accent2 2 2 2 4 3 3 2" xfId="39322" xr:uid="{00000000-0005-0000-0000-0000745A0000}"/>
    <cellStyle name="40% - Accent2 2 2 2 4 3 4" xfId="28021" xr:uid="{00000000-0005-0000-0000-0000755A0000}"/>
    <cellStyle name="40% - Accent2 2 2 2 4 4" xfId="7714" xr:uid="{00000000-0005-0000-0000-0000765A0000}"/>
    <cellStyle name="40% - Accent2 2 2 2 4 4 2" xfId="19015" xr:uid="{00000000-0005-0000-0000-0000775A0000}"/>
    <cellStyle name="40% - Accent2 2 2 2 4 4 2 2" xfId="41617" xr:uid="{00000000-0005-0000-0000-0000785A0000}"/>
    <cellStyle name="40% - Accent2 2 2 2 4 4 3" xfId="30316" xr:uid="{00000000-0005-0000-0000-0000795A0000}"/>
    <cellStyle name="40% - Accent2 2 2 2 4 5" xfId="13365" xr:uid="{00000000-0005-0000-0000-00007A5A0000}"/>
    <cellStyle name="40% - Accent2 2 2 2 4 5 2" xfId="35967" xr:uid="{00000000-0005-0000-0000-00007B5A0000}"/>
    <cellStyle name="40% - Accent2 2 2 2 4 6" xfId="24666" xr:uid="{00000000-0005-0000-0000-00007C5A0000}"/>
    <cellStyle name="40% - Accent2 2 2 2 5" xfId="2400" xr:uid="{00000000-0005-0000-0000-00007D5A0000}"/>
    <cellStyle name="40% - Accent2 2 2 2 5 2" xfId="8236" xr:uid="{00000000-0005-0000-0000-00007E5A0000}"/>
    <cellStyle name="40% - Accent2 2 2 2 5 2 2" xfId="19537" xr:uid="{00000000-0005-0000-0000-00007F5A0000}"/>
    <cellStyle name="40% - Accent2 2 2 2 5 2 2 2" xfId="42139" xr:uid="{00000000-0005-0000-0000-0000805A0000}"/>
    <cellStyle name="40% - Accent2 2 2 2 5 2 3" xfId="30838" xr:uid="{00000000-0005-0000-0000-0000815A0000}"/>
    <cellStyle name="40% - Accent2 2 2 2 5 3" xfId="13887" xr:uid="{00000000-0005-0000-0000-0000825A0000}"/>
    <cellStyle name="40% - Accent2 2 2 2 5 3 2" xfId="36489" xr:uid="{00000000-0005-0000-0000-0000835A0000}"/>
    <cellStyle name="40% - Accent2 2 2 2 5 4" xfId="25188" xr:uid="{00000000-0005-0000-0000-0000845A0000}"/>
    <cellStyle name="40% - Accent2 2 2 2 6" xfId="4185" xr:uid="{00000000-0005-0000-0000-0000855A0000}"/>
    <cellStyle name="40% - Accent2 2 2 2 6 2" xfId="9835" xr:uid="{00000000-0005-0000-0000-0000865A0000}"/>
    <cellStyle name="40% - Accent2 2 2 2 6 2 2" xfId="21136" xr:uid="{00000000-0005-0000-0000-0000875A0000}"/>
    <cellStyle name="40% - Accent2 2 2 2 6 2 2 2" xfId="43738" xr:uid="{00000000-0005-0000-0000-0000885A0000}"/>
    <cellStyle name="40% - Accent2 2 2 2 6 2 3" xfId="32437" xr:uid="{00000000-0005-0000-0000-0000895A0000}"/>
    <cellStyle name="40% - Accent2 2 2 2 6 3" xfId="15486" xr:uid="{00000000-0005-0000-0000-00008A5A0000}"/>
    <cellStyle name="40% - Accent2 2 2 2 6 3 2" xfId="38088" xr:uid="{00000000-0005-0000-0000-00008B5A0000}"/>
    <cellStyle name="40% - Accent2 2 2 2 6 4" xfId="26787" xr:uid="{00000000-0005-0000-0000-00008C5A0000}"/>
    <cellStyle name="40% - Accent2 2 2 2 7" xfId="6665" xr:uid="{00000000-0005-0000-0000-00008D5A0000}"/>
    <cellStyle name="40% - Accent2 2 2 2 7 2" xfId="17966" xr:uid="{00000000-0005-0000-0000-00008E5A0000}"/>
    <cellStyle name="40% - Accent2 2 2 2 7 2 2" xfId="40568" xr:uid="{00000000-0005-0000-0000-00008F5A0000}"/>
    <cellStyle name="40% - Accent2 2 2 2 7 3" xfId="29267" xr:uid="{00000000-0005-0000-0000-0000905A0000}"/>
    <cellStyle name="40% - Accent2 2 2 2 8" xfId="12316" xr:uid="{00000000-0005-0000-0000-0000915A0000}"/>
    <cellStyle name="40% - Accent2 2 2 2 8 2" xfId="34918" xr:uid="{00000000-0005-0000-0000-0000925A0000}"/>
    <cellStyle name="40% - Accent2 2 2 2 9" xfId="23617" xr:uid="{00000000-0005-0000-0000-0000935A0000}"/>
    <cellStyle name="40% - Accent2 2 2 3" xfId="1172" xr:uid="{00000000-0005-0000-0000-0000945A0000}"/>
    <cellStyle name="40% - Accent2 2 2 3 2" xfId="1860" xr:uid="{00000000-0005-0000-0000-0000955A0000}"/>
    <cellStyle name="40% - Accent2 2 2 3 2 2" xfId="3240" xr:uid="{00000000-0005-0000-0000-0000965A0000}"/>
    <cellStyle name="40% - Accent2 2 2 3 2 2 2" xfId="6212" xr:uid="{00000000-0005-0000-0000-0000975A0000}"/>
    <cellStyle name="40% - Accent2 2 2 3 2 2 2 2" xfId="11862" xr:uid="{00000000-0005-0000-0000-0000985A0000}"/>
    <cellStyle name="40% - Accent2 2 2 3 2 2 2 2 2" xfId="23163" xr:uid="{00000000-0005-0000-0000-0000995A0000}"/>
    <cellStyle name="40% - Accent2 2 2 3 2 2 2 2 2 2" xfId="45765" xr:uid="{00000000-0005-0000-0000-00009A5A0000}"/>
    <cellStyle name="40% - Accent2 2 2 3 2 2 2 2 3" xfId="34464" xr:uid="{00000000-0005-0000-0000-00009B5A0000}"/>
    <cellStyle name="40% - Accent2 2 2 3 2 2 2 3" xfId="17513" xr:uid="{00000000-0005-0000-0000-00009C5A0000}"/>
    <cellStyle name="40% - Accent2 2 2 3 2 2 2 3 2" xfId="40115" xr:uid="{00000000-0005-0000-0000-00009D5A0000}"/>
    <cellStyle name="40% - Accent2 2 2 3 2 2 2 4" xfId="28814" xr:uid="{00000000-0005-0000-0000-00009E5A0000}"/>
    <cellStyle name="40% - Accent2 2 2 3 2 2 3" xfId="9030" xr:uid="{00000000-0005-0000-0000-00009F5A0000}"/>
    <cellStyle name="40% - Accent2 2 2 3 2 2 3 2" xfId="20331" xr:uid="{00000000-0005-0000-0000-0000A05A0000}"/>
    <cellStyle name="40% - Accent2 2 2 3 2 2 3 2 2" xfId="42933" xr:uid="{00000000-0005-0000-0000-0000A15A0000}"/>
    <cellStyle name="40% - Accent2 2 2 3 2 2 3 3" xfId="31632" xr:uid="{00000000-0005-0000-0000-0000A25A0000}"/>
    <cellStyle name="40% - Accent2 2 2 3 2 2 4" xfId="14681" xr:uid="{00000000-0005-0000-0000-0000A35A0000}"/>
    <cellStyle name="40% - Accent2 2 2 3 2 2 4 2" xfId="37283" xr:uid="{00000000-0005-0000-0000-0000A45A0000}"/>
    <cellStyle name="40% - Accent2 2 2 3 2 2 5" xfId="25982" xr:uid="{00000000-0005-0000-0000-0000A55A0000}"/>
    <cellStyle name="40% - Accent2 2 2 3 2 3" xfId="4978" xr:uid="{00000000-0005-0000-0000-0000A65A0000}"/>
    <cellStyle name="40% - Accent2 2 2 3 2 3 2" xfId="10628" xr:uid="{00000000-0005-0000-0000-0000A75A0000}"/>
    <cellStyle name="40% - Accent2 2 2 3 2 3 2 2" xfId="21929" xr:uid="{00000000-0005-0000-0000-0000A85A0000}"/>
    <cellStyle name="40% - Accent2 2 2 3 2 3 2 2 2" xfId="44531" xr:uid="{00000000-0005-0000-0000-0000A95A0000}"/>
    <cellStyle name="40% - Accent2 2 2 3 2 3 2 3" xfId="33230" xr:uid="{00000000-0005-0000-0000-0000AA5A0000}"/>
    <cellStyle name="40% - Accent2 2 2 3 2 3 3" xfId="16279" xr:uid="{00000000-0005-0000-0000-0000AB5A0000}"/>
    <cellStyle name="40% - Accent2 2 2 3 2 3 3 2" xfId="38881" xr:uid="{00000000-0005-0000-0000-0000AC5A0000}"/>
    <cellStyle name="40% - Accent2 2 2 3 2 3 4" xfId="27580" xr:uid="{00000000-0005-0000-0000-0000AD5A0000}"/>
    <cellStyle name="40% - Accent2 2 2 3 2 4" xfId="7716" xr:uid="{00000000-0005-0000-0000-0000AE5A0000}"/>
    <cellStyle name="40% - Accent2 2 2 3 2 4 2" xfId="19017" xr:uid="{00000000-0005-0000-0000-0000AF5A0000}"/>
    <cellStyle name="40% - Accent2 2 2 3 2 4 2 2" xfId="41619" xr:uid="{00000000-0005-0000-0000-0000B05A0000}"/>
    <cellStyle name="40% - Accent2 2 2 3 2 4 3" xfId="30318" xr:uid="{00000000-0005-0000-0000-0000B15A0000}"/>
    <cellStyle name="40% - Accent2 2 2 3 2 5" xfId="13367" xr:uid="{00000000-0005-0000-0000-0000B25A0000}"/>
    <cellStyle name="40% - Accent2 2 2 3 2 5 2" xfId="35969" xr:uid="{00000000-0005-0000-0000-0000B35A0000}"/>
    <cellStyle name="40% - Accent2 2 2 3 2 6" xfId="24668" xr:uid="{00000000-0005-0000-0000-0000B45A0000}"/>
    <cellStyle name="40% - Accent2 2 2 3 3" xfId="2569" xr:uid="{00000000-0005-0000-0000-0000B55A0000}"/>
    <cellStyle name="40% - Accent2 2 2 3 3 2" xfId="5588" xr:uid="{00000000-0005-0000-0000-0000B65A0000}"/>
    <cellStyle name="40% - Accent2 2 2 3 3 2 2" xfId="11238" xr:uid="{00000000-0005-0000-0000-0000B75A0000}"/>
    <cellStyle name="40% - Accent2 2 2 3 3 2 2 2" xfId="22539" xr:uid="{00000000-0005-0000-0000-0000B85A0000}"/>
    <cellStyle name="40% - Accent2 2 2 3 3 2 2 2 2" xfId="45141" xr:uid="{00000000-0005-0000-0000-0000B95A0000}"/>
    <cellStyle name="40% - Accent2 2 2 3 3 2 2 3" xfId="33840" xr:uid="{00000000-0005-0000-0000-0000BA5A0000}"/>
    <cellStyle name="40% - Accent2 2 2 3 3 2 3" xfId="16889" xr:uid="{00000000-0005-0000-0000-0000BB5A0000}"/>
    <cellStyle name="40% - Accent2 2 2 3 3 2 3 2" xfId="39491" xr:uid="{00000000-0005-0000-0000-0000BC5A0000}"/>
    <cellStyle name="40% - Accent2 2 2 3 3 2 4" xfId="28190" xr:uid="{00000000-0005-0000-0000-0000BD5A0000}"/>
    <cellStyle name="40% - Accent2 2 2 3 3 3" xfId="8405" xr:uid="{00000000-0005-0000-0000-0000BE5A0000}"/>
    <cellStyle name="40% - Accent2 2 2 3 3 3 2" xfId="19706" xr:uid="{00000000-0005-0000-0000-0000BF5A0000}"/>
    <cellStyle name="40% - Accent2 2 2 3 3 3 2 2" xfId="42308" xr:uid="{00000000-0005-0000-0000-0000C05A0000}"/>
    <cellStyle name="40% - Accent2 2 2 3 3 3 3" xfId="31007" xr:uid="{00000000-0005-0000-0000-0000C15A0000}"/>
    <cellStyle name="40% - Accent2 2 2 3 3 4" xfId="14056" xr:uid="{00000000-0005-0000-0000-0000C25A0000}"/>
    <cellStyle name="40% - Accent2 2 2 3 3 4 2" xfId="36658" xr:uid="{00000000-0005-0000-0000-0000C35A0000}"/>
    <cellStyle name="40% - Accent2 2 2 3 3 5" xfId="25357" xr:uid="{00000000-0005-0000-0000-0000C45A0000}"/>
    <cellStyle name="40% - Accent2 2 2 3 4" xfId="4354" xr:uid="{00000000-0005-0000-0000-0000C55A0000}"/>
    <cellStyle name="40% - Accent2 2 2 3 4 2" xfId="10004" xr:uid="{00000000-0005-0000-0000-0000C65A0000}"/>
    <cellStyle name="40% - Accent2 2 2 3 4 2 2" xfId="21305" xr:uid="{00000000-0005-0000-0000-0000C75A0000}"/>
    <cellStyle name="40% - Accent2 2 2 3 4 2 2 2" xfId="43907" xr:uid="{00000000-0005-0000-0000-0000C85A0000}"/>
    <cellStyle name="40% - Accent2 2 2 3 4 2 3" xfId="32606" xr:uid="{00000000-0005-0000-0000-0000C95A0000}"/>
    <cellStyle name="40% - Accent2 2 2 3 4 3" xfId="15655" xr:uid="{00000000-0005-0000-0000-0000CA5A0000}"/>
    <cellStyle name="40% - Accent2 2 2 3 4 3 2" xfId="38257" xr:uid="{00000000-0005-0000-0000-0000CB5A0000}"/>
    <cellStyle name="40% - Accent2 2 2 3 4 4" xfId="26956" xr:uid="{00000000-0005-0000-0000-0000CC5A0000}"/>
    <cellStyle name="40% - Accent2 2 2 3 5" xfId="7151" xr:uid="{00000000-0005-0000-0000-0000CD5A0000}"/>
    <cellStyle name="40% - Accent2 2 2 3 5 2" xfId="18452" xr:uid="{00000000-0005-0000-0000-0000CE5A0000}"/>
    <cellStyle name="40% - Accent2 2 2 3 5 2 2" xfId="41054" xr:uid="{00000000-0005-0000-0000-0000CF5A0000}"/>
    <cellStyle name="40% - Accent2 2 2 3 5 3" xfId="29753" xr:uid="{00000000-0005-0000-0000-0000D05A0000}"/>
    <cellStyle name="40% - Accent2 2 2 3 6" xfId="12802" xr:uid="{00000000-0005-0000-0000-0000D15A0000}"/>
    <cellStyle name="40% - Accent2 2 2 3 6 2" xfId="35404" xr:uid="{00000000-0005-0000-0000-0000D25A0000}"/>
    <cellStyle name="40% - Accent2 2 2 3 7" xfId="24103" xr:uid="{00000000-0005-0000-0000-0000D35A0000}"/>
    <cellStyle name="40% - Accent2 2 2 4" xfId="860" xr:uid="{00000000-0005-0000-0000-0000D45A0000}"/>
    <cellStyle name="40% - Accent2 2 2 4 2" xfId="2933" xr:uid="{00000000-0005-0000-0000-0000D55A0000}"/>
    <cellStyle name="40% - Accent2 2 2 4 2 2" xfId="5905" xr:uid="{00000000-0005-0000-0000-0000D65A0000}"/>
    <cellStyle name="40% - Accent2 2 2 4 2 2 2" xfId="11555" xr:uid="{00000000-0005-0000-0000-0000D75A0000}"/>
    <cellStyle name="40% - Accent2 2 2 4 2 2 2 2" xfId="22856" xr:uid="{00000000-0005-0000-0000-0000D85A0000}"/>
    <cellStyle name="40% - Accent2 2 2 4 2 2 2 2 2" xfId="45458" xr:uid="{00000000-0005-0000-0000-0000D95A0000}"/>
    <cellStyle name="40% - Accent2 2 2 4 2 2 2 3" xfId="34157" xr:uid="{00000000-0005-0000-0000-0000DA5A0000}"/>
    <cellStyle name="40% - Accent2 2 2 4 2 2 3" xfId="17206" xr:uid="{00000000-0005-0000-0000-0000DB5A0000}"/>
    <cellStyle name="40% - Accent2 2 2 4 2 2 3 2" xfId="39808" xr:uid="{00000000-0005-0000-0000-0000DC5A0000}"/>
    <cellStyle name="40% - Accent2 2 2 4 2 2 4" xfId="28507" xr:uid="{00000000-0005-0000-0000-0000DD5A0000}"/>
    <cellStyle name="40% - Accent2 2 2 4 2 3" xfId="8723" xr:uid="{00000000-0005-0000-0000-0000DE5A0000}"/>
    <cellStyle name="40% - Accent2 2 2 4 2 3 2" xfId="20024" xr:uid="{00000000-0005-0000-0000-0000DF5A0000}"/>
    <cellStyle name="40% - Accent2 2 2 4 2 3 2 2" xfId="42626" xr:uid="{00000000-0005-0000-0000-0000E05A0000}"/>
    <cellStyle name="40% - Accent2 2 2 4 2 3 3" xfId="31325" xr:uid="{00000000-0005-0000-0000-0000E15A0000}"/>
    <cellStyle name="40% - Accent2 2 2 4 2 4" xfId="14374" xr:uid="{00000000-0005-0000-0000-0000E25A0000}"/>
    <cellStyle name="40% - Accent2 2 2 4 2 4 2" xfId="36976" xr:uid="{00000000-0005-0000-0000-0000E35A0000}"/>
    <cellStyle name="40% - Accent2 2 2 4 2 5" xfId="25675" xr:uid="{00000000-0005-0000-0000-0000E45A0000}"/>
    <cellStyle name="40% - Accent2 2 2 4 3" xfId="4671" xr:uid="{00000000-0005-0000-0000-0000E55A0000}"/>
    <cellStyle name="40% - Accent2 2 2 4 3 2" xfId="10321" xr:uid="{00000000-0005-0000-0000-0000E65A0000}"/>
    <cellStyle name="40% - Accent2 2 2 4 3 2 2" xfId="21622" xr:uid="{00000000-0005-0000-0000-0000E75A0000}"/>
    <cellStyle name="40% - Accent2 2 2 4 3 2 2 2" xfId="44224" xr:uid="{00000000-0005-0000-0000-0000E85A0000}"/>
    <cellStyle name="40% - Accent2 2 2 4 3 2 3" xfId="32923" xr:uid="{00000000-0005-0000-0000-0000E95A0000}"/>
    <cellStyle name="40% - Accent2 2 2 4 3 3" xfId="15972" xr:uid="{00000000-0005-0000-0000-0000EA5A0000}"/>
    <cellStyle name="40% - Accent2 2 2 4 3 3 2" xfId="38574" xr:uid="{00000000-0005-0000-0000-0000EB5A0000}"/>
    <cellStyle name="40% - Accent2 2 2 4 3 4" xfId="27273" xr:uid="{00000000-0005-0000-0000-0000EC5A0000}"/>
    <cellStyle name="40% - Accent2 2 2 4 4" xfId="6858" xr:uid="{00000000-0005-0000-0000-0000ED5A0000}"/>
    <cellStyle name="40% - Accent2 2 2 4 4 2" xfId="18159" xr:uid="{00000000-0005-0000-0000-0000EE5A0000}"/>
    <cellStyle name="40% - Accent2 2 2 4 4 2 2" xfId="40761" xr:uid="{00000000-0005-0000-0000-0000EF5A0000}"/>
    <cellStyle name="40% - Accent2 2 2 4 4 3" xfId="29460" xr:uid="{00000000-0005-0000-0000-0000F05A0000}"/>
    <cellStyle name="40% - Accent2 2 2 4 5" xfId="12509" xr:uid="{00000000-0005-0000-0000-0000F15A0000}"/>
    <cellStyle name="40% - Accent2 2 2 4 5 2" xfId="35111" xr:uid="{00000000-0005-0000-0000-0000F25A0000}"/>
    <cellStyle name="40% - Accent2 2 2 4 6" xfId="23810" xr:uid="{00000000-0005-0000-0000-0000F35A0000}"/>
    <cellStyle name="40% - Accent2 2 2 5" xfId="1857" xr:uid="{00000000-0005-0000-0000-0000F45A0000}"/>
    <cellStyle name="40% - Accent2 2 2 5 2" xfId="3729" xr:uid="{00000000-0005-0000-0000-0000F55A0000}"/>
    <cellStyle name="40% - Accent2 2 2 5 2 2" xfId="9439" xr:uid="{00000000-0005-0000-0000-0000F65A0000}"/>
    <cellStyle name="40% - Accent2 2 2 5 2 2 2" xfId="20740" xr:uid="{00000000-0005-0000-0000-0000F75A0000}"/>
    <cellStyle name="40% - Accent2 2 2 5 2 2 2 2" xfId="43342" xr:uid="{00000000-0005-0000-0000-0000F85A0000}"/>
    <cellStyle name="40% - Accent2 2 2 5 2 2 3" xfId="32041" xr:uid="{00000000-0005-0000-0000-0000F95A0000}"/>
    <cellStyle name="40% - Accent2 2 2 5 2 3" xfId="15090" xr:uid="{00000000-0005-0000-0000-0000FA5A0000}"/>
    <cellStyle name="40% - Accent2 2 2 5 2 3 2" xfId="37692" xr:uid="{00000000-0005-0000-0000-0000FB5A0000}"/>
    <cellStyle name="40% - Accent2 2 2 5 2 4" xfId="26391" xr:uid="{00000000-0005-0000-0000-0000FC5A0000}"/>
    <cellStyle name="40% - Accent2 2 2 5 3" xfId="5281" xr:uid="{00000000-0005-0000-0000-0000FD5A0000}"/>
    <cellStyle name="40% - Accent2 2 2 5 3 2" xfId="10931" xr:uid="{00000000-0005-0000-0000-0000FE5A0000}"/>
    <cellStyle name="40% - Accent2 2 2 5 3 2 2" xfId="22232" xr:uid="{00000000-0005-0000-0000-0000FF5A0000}"/>
    <cellStyle name="40% - Accent2 2 2 5 3 2 2 2" xfId="44834" xr:uid="{00000000-0005-0000-0000-0000005B0000}"/>
    <cellStyle name="40% - Accent2 2 2 5 3 2 3" xfId="33533" xr:uid="{00000000-0005-0000-0000-0000015B0000}"/>
    <cellStyle name="40% - Accent2 2 2 5 3 3" xfId="16582" xr:uid="{00000000-0005-0000-0000-0000025B0000}"/>
    <cellStyle name="40% - Accent2 2 2 5 3 3 2" xfId="39184" xr:uid="{00000000-0005-0000-0000-0000035B0000}"/>
    <cellStyle name="40% - Accent2 2 2 5 3 4" xfId="27883" xr:uid="{00000000-0005-0000-0000-0000045B0000}"/>
    <cellStyle name="40% - Accent2 2 2 5 4" xfId="7713" xr:uid="{00000000-0005-0000-0000-0000055B0000}"/>
    <cellStyle name="40% - Accent2 2 2 5 4 2" xfId="19014" xr:uid="{00000000-0005-0000-0000-0000065B0000}"/>
    <cellStyle name="40% - Accent2 2 2 5 4 2 2" xfId="41616" xr:uid="{00000000-0005-0000-0000-0000075B0000}"/>
    <cellStyle name="40% - Accent2 2 2 5 4 3" xfId="30315" xr:uid="{00000000-0005-0000-0000-0000085B0000}"/>
    <cellStyle name="40% - Accent2 2 2 5 5" xfId="13364" xr:uid="{00000000-0005-0000-0000-0000095B0000}"/>
    <cellStyle name="40% - Accent2 2 2 5 5 2" xfId="35966" xr:uid="{00000000-0005-0000-0000-00000A5B0000}"/>
    <cellStyle name="40% - Accent2 2 2 5 6" xfId="24665" xr:uid="{00000000-0005-0000-0000-00000B5B0000}"/>
    <cellStyle name="40% - Accent2 2 2 6" xfId="2258" xr:uid="{00000000-0005-0000-0000-00000C5B0000}"/>
    <cellStyle name="40% - Accent2 2 2 6 2" xfId="8095" xr:uid="{00000000-0005-0000-0000-00000D5B0000}"/>
    <cellStyle name="40% - Accent2 2 2 6 2 2" xfId="19396" xr:uid="{00000000-0005-0000-0000-00000E5B0000}"/>
    <cellStyle name="40% - Accent2 2 2 6 2 2 2" xfId="41998" xr:uid="{00000000-0005-0000-0000-00000F5B0000}"/>
    <cellStyle name="40% - Accent2 2 2 6 2 3" xfId="30697" xr:uid="{00000000-0005-0000-0000-0000105B0000}"/>
    <cellStyle name="40% - Accent2 2 2 6 3" xfId="13746" xr:uid="{00000000-0005-0000-0000-0000115B0000}"/>
    <cellStyle name="40% - Accent2 2 2 6 3 2" xfId="36348" xr:uid="{00000000-0005-0000-0000-0000125B0000}"/>
    <cellStyle name="40% - Accent2 2 2 6 4" xfId="25047" xr:uid="{00000000-0005-0000-0000-0000135B0000}"/>
    <cellStyle name="40% - Accent2 2 2 7" xfId="4047" xr:uid="{00000000-0005-0000-0000-0000145B0000}"/>
    <cellStyle name="40% - Accent2 2 2 7 2" xfId="9697" xr:uid="{00000000-0005-0000-0000-0000155B0000}"/>
    <cellStyle name="40% - Accent2 2 2 7 2 2" xfId="20998" xr:uid="{00000000-0005-0000-0000-0000165B0000}"/>
    <cellStyle name="40% - Accent2 2 2 7 2 2 2" xfId="43600" xr:uid="{00000000-0005-0000-0000-0000175B0000}"/>
    <cellStyle name="40% - Accent2 2 2 7 2 3" xfId="32299" xr:uid="{00000000-0005-0000-0000-0000185B0000}"/>
    <cellStyle name="40% - Accent2 2 2 7 3" xfId="15348" xr:uid="{00000000-0005-0000-0000-0000195B0000}"/>
    <cellStyle name="40% - Accent2 2 2 7 3 2" xfId="37950" xr:uid="{00000000-0005-0000-0000-00001A5B0000}"/>
    <cellStyle name="40% - Accent2 2 2 7 4" xfId="26649" xr:uid="{00000000-0005-0000-0000-00001B5B0000}"/>
    <cellStyle name="40% - Accent2 2 2 8" xfId="6498" xr:uid="{00000000-0005-0000-0000-00001C5B0000}"/>
    <cellStyle name="40% - Accent2 2 2 8 2" xfId="17799" xr:uid="{00000000-0005-0000-0000-00001D5B0000}"/>
    <cellStyle name="40% - Accent2 2 2 8 2 2" xfId="40401" xr:uid="{00000000-0005-0000-0000-00001E5B0000}"/>
    <cellStyle name="40% - Accent2 2 2 8 3" xfId="29100" xr:uid="{00000000-0005-0000-0000-00001F5B0000}"/>
    <cellStyle name="40% - Accent2 2 2 9" xfId="12149" xr:uid="{00000000-0005-0000-0000-0000205B0000}"/>
    <cellStyle name="40% - Accent2 2 2 9 2" xfId="34751" xr:uid="{00000000-0005-0000-0000-0000215B0000}"/>
    <cellStyle name="40% - Accent2 2 3" xfId="2820" xr:uid="{00000000-0005-0000-0000-0000225B0000}"/>
    <cellStyle name="40% - Accent2 2 3 2" xfId="3958" xr:uid="{00000000-0005-0000-0000-0000235B0000}"/>
    <cellStyle name="40% - Accent2 2 3 2 2" xfId="5835" xr:uid="{00000000-0005-0000-0000-0000245B0000}"/>
    <cellStyle name="40% - Accent2 2 3 2 2 2" xfId="11485" xr:uid="{00000000-0005-0000-0000-0000255B0000}"/>
    <cellStyle name="40% - Accent2 2 3 2 2 2 2" xfId="22786" xr:uid="{00000000-0005-0000-0000-0000265B0000}"/>
    <cellStyle name="40% - Accent2 2 3 2 2 2 2 2" xfId="45388" xr:uid="{00000000-0005-0000-0000-0000275B0000}"/>
    <cellStyle name="40% - Accent2 2 3 2 2 2 3" xfId="34087" xr:uid="{00000000-0005-0000-0000-0000285B0000}"/>
    <cellStyle name="40% - Accent2 2 3 2 2 3" xfId="17136" xr:uid="{00000000-0005-0000-0000-0000295B0000}"/>
    <cellStyle name="40% - Accent2 2 3 2 2 3 2" xfId="39738" xr:uid="{00000000-0005-0000-0000-00002A5B0000}"/>
    <cellStyle name="40% - Accent2 2 3 2 2 4" xfId="28437" xr:uid="{00000000-0005-0000-0000-00002B5B0000}"/>
    <cellStyle name="40% - Accent2 2 3 2 3" xfId="9620" xr:uid="{00000000-0005-0000-0000-00002C5B0000}"/>
    <cellStyle name="40% - Accent2 2 3 2 3 2" xfId="20921" xr:uid="{00000000-0005-0000-0000-00002D5B0000}"/>
    <cellStyle name="40% - Accent2 2 3 2 3 2 2" xfId="43523" xr:uid="{00000000-0005-0000-0000-00002E5B0000}"/>
    <cellStyle name="40% - Accent2 2 3 2 3 3" xfId="32222" xr:uid="{00000000-0005-0000-0000-00002F5B0000}"/>
    <cellStyle name="40% - Accent2 2 3 2 4" xfId="15271" xr:uid="{00000000-0005-0000-0000-0000305B0000}"/>
    <cellStyle name="40% - Accent2 2 3 2 4 2" xfId="37873" xr:uid="{00000000-0005-0000-0000-0000315B0000}"/>
    <cellStyle name="40% - Accent2 2 3 2 5" xfId="26572" xr:uid="{00000000-0005-0000-0000-0000325B0000}"/>
    <cellStyle name="40% - Accent2 2 3 3" xfId="4601" xr:uid="{00000000-0005-0000-0000-0000335B0000}"/>
    <cellStyle name="40% - Accent2 2 3 3 2" xfId="10251" xr:uid="{00000000-0005-0000-0000-0000345B0000}"/>
    <cellStyle name="40% - Accent2 2 3 3 2 2" xfId="21552" xr:uid="{00000000-0005-0000-0000-0000355B0000}"/>
    <cellStyle name="40% - Accent2 2 3 3 2 2 2" xfId="44154" xr:uid="{00000000-0005-0000-0000-0000365B0000}"/>
    <cellStyle name="40% - Accent2 2 3 3 2 3" xfId="32853" xr:uid="{00000000-0005-0000-0000-0000375B0000}"/>
    <cellStyle name="40% - Accent2 2 3 3 3" xfId="15902" xr:uid="{00000000-0005-0000-0000-0000385B0000}"/>
    <cellStyle name="40% - Accent2 2 3 3 3 2" xfId="38504" xr:uid="{00000000-0005-0000-0000-0000395B0000}"/>
    <cellStyle name="40% - Accent2 2 3 3 4" xfId="27203" xr:uid="{00000000-0005-0000-0000-00003A5B0000}"/>
    <cellStyle name="40% - Accent2 2 3 4" xfId="8653" xr:uid="{00000000-0005-0000-0000-00003B5B0000}"/>
    <cellStyle name="40% - Accent2 2 3 4 2" xfId="19954" xr:uid="{00000000-0005-0000-0000-00003C5B0000}"/>
    <cellStyle name="40% - Accent2 2 3 4 2 2" xfId="42556" xr:uid="{00000000-0005-0000-0000-00003D5B0000}"/>
    <cellStyle name="40% - Accent2 2 3 4 3" xfId="31255" xr:uid="{00000000-0005-0000-0000-00003E5B0000}"/>
    <cellStyle name="40% - Accent2 2 3 5" xfId="14304" xr:uid="{00000000-0005-0000-0000-00003F5B0000}"/>
    <cellStyle name="40% - Accent2 2 3 5 2" xfId="36906" xr:uid="{00000000-0005-0000-0000-0000405B0000}"/>
    <cellStyle name="40% - Accent2 2 3 6" xfId="25605" xr:uid="{00000000-0005-0000-0000-0000415B0000}"/>
    <cellStyle name="40% - Accent2 2 4" xfId="2834" xr:uid="{00000000-0005-0000-0000-0000425B0000}"/>
    <cellStyle name="40% - Accent2 2 5" xfId="3598" xr:uid="{00000000-0005-0000-0000-0000435B0000}"/>
    <cellStyle name="40% - Accent2 2 5 2" xfId="9313" xr:uid="{00000000-0005-0000-0000-0000445B0000}"/>
    <cellStyle name="40% - Accent2 2 5 2 2" xfId="20614" xr:uid="{00000000-0005-0000-0000-0000455B0000}"/>
    <cellStyle name="40% - Accent2 2 5 2 2 2" xfId="43216" xr:uid="{00000000-0005-0000-0000-0000465B0000}"/>
    <cellStyle name="40% - Accent2 2 5 2 3" xfId="31915" xr:uid="{00000000-0005-0000-0000-0000475B0000}"/>
    <cellStyle name="40% - Accent2 2 5 3" xfId="14964" xr:uid="{00000000-0005-0000-0000-0000485B0000}"/>
    <cellStyle name="40% - Accent2 2 5 3 2" xfId="37566" xr:uid="{00000000-0005-0000-0000-0000495B0000}"/>
    <cellStyle name="40% - Accent2 2 5 4" xfId="26265" xr:uid="{00000000-0005-0000-0000-00004A5B0000}"/>
    <cellStyle name="40% - Accent2 2 6" xfId="3485" xr:uid="{00000000-0005-0000-0000-00004B5B0000}"/>
    <cellStyle name="40% - Accent2 2 7" xfId="154" xr:uid="{00000000-0005-0000-0000-00004C5B0000}"/>
    <cellStyle name="40% - Accent2 3" xfId="215" xr:uid="{00000000-0005-0000-0000-00004D5B0000}"/>
    <cellStyle name="40% - Accent2 3 2" xfId="345" xr:uid="{00000000-0005-0000-0000-00004E5B0000}"/>
    <cellStyle name="40% - Accent2 3 2 10" xfId="23456" xr:uid="{00000000-0005-0000-0000-00004F5B0000}"/>
    <cellStyle name="40% - Accent2 3 2 2" xfId="606" xr:uid="{00000000-0005-0000-0000-0000505B0000}"/>
    <cellStyle name="40% - Accent2 3 2 2 2" xfId="1316" xr:uid="{00000000-0005-0000-0000-0000515B0000}"/>
    <cellStyle name="40% - Accent2 3 2 2 2 2" xfId="1863" xr:uid="{00000000-0005-0000-0000-0000525B0000}"/>
    <cellStyle name="40% - Accent2 3 2 2 2 2 2" xfId="3385" xr:uid="{00000000-0005-0000-0000-0000535B0000}"/>
    <cellStyle name="40% - Accent2 3 2 2 2 2 2 2" xfId="6357" xr:uid="{00000000-0005-0000-0000-0000545B0000}"/>
    <cellStyle name="40% - Accent2 3 2 2 2 2 2 2 2" xfId="12007" xr:uid="{00000000-0005-0000-0000-0000555B0000}"/>
    <cellStyle name="40% - Accent2 3 2 2 2 2 2 2 2 2" xfId="23308" xr:uid="{00000000-0005-0000-0000-0000565B0000}"/>
    <cellStyle name="40% - Accent2 3 2 2 2 2 2 2 2 2 2" xfId="45910" xr:uid="{00000000-0005-0000-0000-0000575B0000}"/>
    <cellStyle name="40% - Accent2 3 2 2 2 2 2 2 2 3" xfId="34609" xr:uid="{00000000-0005-0000-0000-0000585B0000}"/>
    <cellStyle name="40% - Accent2 3 2 2 2 2 2 2 3" xfId="17658" xr:uid="{00000000-0005-0000-0000-0000595B0000}"/>
    <cellStyle name="40% - Accent2 3 2 2 2 2 2 2 3 2" xfId="40260" xr:uid="{00000000-0005-0000-0000-00005A5B0000}"/>
    <cellStyle name="40% - Accent2 3 2 2 2 2 2 2 4" xfId="28959" xr:uid="{00000000-0005-0000-0000-00005B5B0000}"/>
    <cellStyle name="40% - Accent2 3 2 2 2 2 2 3" xfId="9175" xr:uid="{00000000-0005-0000-0000-00005C5B0000}"/>
    <cellStyle name="40% - Accent2 3 2 2 2 2 2 3 2" xfId="20476" xr:uid="{00000000-0005-0000-0000-00005D5B0000}"/>
    <cellStyle name="40% - Accent2 3 2 2 2 2 2 3 2 2" xfId="43078" xr:uid="{00000000-0005-0000-0000-00005E5B0000}"/>
    <cellStyle name="40% - Accent2 3 2 2 2 2 2 3 3" xfId="31777" xr:uid="{00000000-0005-0000-0000-00005F5B0000}"/>
    <cellStyle name="40% - Accent2 3 2 2 2 2 2 4" xfId="14826" xr:uid="{00000000-0005-0000-0000-0000605B0000}"/>
    <cellStyle name="40% - Accent2 3 2 2 2 2 2 4 2" xfId="37428" xr:uid="{00000000-0005-0000-0000-0000615B0000}"/>
    <cellStyle name="40% - Accent2 3 2 2 2 2 2 5" xfId="26127" xr:uid="{00000000-0005-0000-0000-0000625B0000}"/>
    <cellStyle name="40% - Accent2 3 2 2 2 2 3" xfId="5123" xr:uid="{00000000-0005-0000-0000-0000635B0000}"/>
    <cellStyle name="40% - Accent2 3 2 2 2 2 3 2" xfId="10773" xr:uid="{00000000-0005-0000-0000-0000645B0000}"/>
    <cellStyle name="40% - Accent2 3 2 2 2 2 3 2 2" xfId="22074" xr:uid="{00000000-0005-0000-0000-0000655B0000}"/>
    <cellStyle name="40% - Accent2 3 2 2 2 2 3 2 2 2" xfId="44676" xr:uid="{00000000-0005-0000-0000-0000665B0000}"/>
    <cellStyle name="40% - Accent2 3 2 2 2 2 3 2 3" xfId="33375" xr:uid="{00000000-0005-0000-0000-0000675B0000}"/>
    <cellStyle name="40% - Accent2 3 2 2 2 2 3 3" xfId="16424" xr:uid="{00000000-0005-0000-0000-0000685B0000}"/>
    <cellStyle name="40% - Accent2 3 2 2 2 2 3 3 2" xfId="39026" xr:uid="{00000000-0005-0000-0000-0000695B0000}"/>
    <cellStyle name="40% - Accent2 3 2 2 2 2 3 4" xfId="27725" xr:uid="{00000000-0005-0000-0000-00006A5B0000}"/>
    <cellStyle name="40% - Accent2 3 2 2 2 2 4" xfId="7719" xr:uid="{00000000-0005-0000-0000-00006B5B0000}"/>
    <cellStyle name="40% - Accent2 3 2 2 2 2 4 2" xfId="19020" xr:uid="{00000000-0005-0000-0000-00006C5B0000}"/>
    <cellStyle name="40% - Accent2 3 2 2 2 2 4 2 2" xfId="41622" xr:uid="{00000000-0005-0000-0000-00006D5B0000}"/>
    <cellStyle name="40% - Accent2 3 2 2 2 2 4 3" xfId="30321" xr:uid="{00000000-0005-0000-0000-00006E5B0000}"/>
    <cellStyle name="40% - Accent2 3 2 2 2 2 5" xfId="13370" xr:uid="{00000000-0005-0000-0000-00006F5B0000}"/>
    <cellStyle name="40% - Accent2 3 2 2 2 2 5 2" xfId="35972" xr:uid="{00000000-0005-0000-0000-0000705B0000}"/>
    <cellStyle name="40% - Accent2 3 2 2 2 2 6" xfId="24671" xr:uid="{00000000-0005-0000-0000-0000715B0000}"/>
    <cellStyle name="40% - Accent2 3 2 2 2 3" xfId="2714" xr:uid="{00000000-0005-0000-0000-0000725B0000}"/>
    <cellStyle name="40% - Accent2 3 2 2 2 3 2" xfId="5733" xr:uid="{00000000-0005-0000-0000-0000735B0000}"/>
    <cellStyle name="40% - Accent2 3 2 2 2 3 2 2" xfId="11383" xr:uid="{00000000-0005-0000-0000-0000745B0000}"/>
    <cellStyle name="40% - Accent2 3 2 2 2 3 2 2 2" xfId="22684" xr:uid="{00000000-0005-0000-0000-0000755B0000}"/>
    <cellStyle name="40% - Accent2 3 2 2 2 3 2 2 2 2" xfId="45286" xr:uid="{00000000-0005-0000-0000-0000765B0000}"/>
    <cellStyle name="40% - Accent2 3 2 2 2 3 2 2 3" xfId="33985" xr:uid="{00000000-0005-0000-0000-0000775B0000}"/>
    <cellStyle name="40% - Accent2 3 2 2 2 3 2 3" xfId="17034" xr:uid="{00000000-0005-0000-0000-0000785B0000}"/>
    <cellStyle name="40% - Accent2 3 2 2 2 3 2 3 2" xfId="39636" xr:uid="{00000000-0005-0000-0000-0000795B0000}"/>
    <cellStyle name="40% - Accent2 3 2 2 2 3 2 4" xfId="28335" xr:uid="{00000000-0005-0000-0000-00007A5B0000}"/>
    <cellStyle name="40% - Accent2 3 2 2 2 3 3" xfId="8550" xr:uid="{00000000-0005-0000-0000-00007B5B0000}"/>
    <cellStyle name="40% - Accent2 3 2 2 2 3 3 2" xfId="19851" xr:uid="{00000000-0005-0000-0000-00007C5B0000}"/>
    <cellStyle name="40% - Accent2 3 2 2 2 3 3 2 2" xfId="42453" xr:uid="{00000000-0005-0000-0000-00007D5B0000}"/>
    <cellStyle name="40% - Accent2 3 2 2 2 3 3 3" xfId="31152" xr:uid="{00000000-0005-0000-0000-00007E5B0000}"/>
    <cellStyle name="40% - Accent2 3 2 2 2 3 4" xfId="14201" xr:uid="{00000000-0005-0000-0000-00007F5B0000}"/>
    <cellStyle name="40% - Accent2 3 2 2 2 3 4 2" xfId="36803" xr:uid="{00000000-0005-0000-0000-0000805B0000}"/>
    <cellStyle name="40% - Accent2 3 2 2 2 3 5" xfId="25502" xr:uid="{00000000-0005-0000-0000-0000815B0000}"/>
    <cellStyle name="40% - Accent2 3 2 2 2 4" xfId="4499" xr:uid="{00000000-0005-0000-0000-0000825B0000}"/>
    <cellStyle name="40% - Accent2 3 2 2 2 4 2" xfId="10149" xr:uid="{00000000-0005-0000-0000-0000835B0000}"/>
    <cellStyle name="40% - Accent2 3 2 2 2 4 2 2" xfId="21450" xr:uid="{00000000-0005-0000-0000-0000845B0000}"/>
    <cellStyle name="40% - Accent2 3 2 2 2 4 2 2 2" xfId="44052" xr:uid="{00000000-0005-0000-0000-0000855B0000}"/>
    <cellStyle name="40% - Accent2 3 2 2 2 4 2 3" xfId="32751" xr:uid="{00000000-0005-0000-0000-0000865B0000}"/>
    <cellStyle name="40% - Accent2 3 2 2 2 4 3" xfId="15800" xr:uid="{00000000-0005-0000-0000-0000875B0000}"/>
    <cellStyle name="40% - Accent2 3 2 2 2 4 3 2" xfId="38402" xr:uid="{00000000-0005-0000-0000-0000885B0000}"/>
    <cellStyle name="40% - Accent2 3 2 2 2 4 4" xfId="27101" xr:uid="{00000000-0005-0000-0000-0000895B0000}"/>
    <cellStyle name="40% - Accent2 3 2 2 2 5" xfId="7295" xr:uid="{00000000-0005-0000-0000-00008A5B0000}"/>
    <cellStyle name="40% - Accent2 3 2 2 2 5 2" xfId="18596" xr:uid="{00000000-0005-0000-0000-00008B5B0000}"/>
    <cellStyle name="40% - Accent2 3 2 2 2 5 2 2" xfId="41198" xr:uid="{00000000-0005-0000-0000-00008C5B0000}"/>
    <cellStyle name="40% - Accent2 3 2 2 2 5 3" xfId="29897" xr:uid="{00000000-0005-0000-0000-00008D5B0000}"/>
    <cellStyle name="40% - Accent2 3 2 2 2 6" xfId="12946" xr:uid="{00000000-0005-0000-0000-00008E5B0000}"/>
    <cellStyle name="40% - Accent2 3 2 2 2 6 2" xfId="35548" xr:uid="{00000000-0005-0000-0000-00008F5B0000}"/>
    <cellStyle name="40% - Accent2 3 2 2 2 7" xfId="24247" xr:uid="{00000000-0005-0000-0000-0000905B0000}"/>
    <cellStyle name="40% - Accent2 3 2 2 3" xfId="1014" xr:uid="{00000000-0005-0000-0000-0000915B0000}"/>
    <cellStyle name="40% - Accent2 3 2 2 3 2" xfId="3077" xr:uid="{00000000-0005-0000-0000-0000925B0000}"/>
    <cellStyle name="40% - Accent2 3 2 2 3 2 2" xfId="6049" xr:uid="{00000000-0005-0000-0000-0000935B0000}"/>
    <cellStyle name="40% - Accent2 3 2 2 3 2 2 2" xfId="11699" xr:uid="{00000000-0005-0000-0000-0000945B0000}"/>
    <cellStyle name="40% - Accent2 3 2 2 3 2 2 2 2" xfId="23000" xr:uid="{00000000-0005-0000-0000-0000955B0000}"/>
    <cellStyle name="40% - Accent2 3 2 2 3 2 2 2 2 2" xfId="45602" xr:uid="{00000000-0005-0000-0000-0000965B0000}"/>
    <cellStyle name="40% - Accent2 3 2 2 3 2 2 2 3" xfId="34301" xr:uid="{00000000-0005-0000-0000-0000975B0000}"/>
    <cellStyle name="40% - Accent2 3 2 2 3 2 2 3" xfId="17350" xr:uid="{00000000-0005-0000-0000-0000985B0000}"/>
    <cellStyle name="40% - Accent2 3 2 2 3 2 2 3 2" xfId="39952" xr:uid="{00000000-0005-0000-0000-0000995B0000}"/>
    <cellStyle name="40% - Accent2 3 2 2 3 2 2 4" xfId="28651" xr:uid="{00000000-0005-0000-0000-00009A5B0000}"/>
    <cellStyle name="40% - Accent2 3 2 2 3 2 3" xfId="8867" xr:uid="{00000000-0005-0000-0000-00009B5B0000}"/>
    <cellStyle name="40% - Accent2 3 2 2 3 2 3 2" xfId="20168" xr:uid="{00000000-0005-0000-0000-00009C5B0000}"/>
    <cellStyle name="40% - Accent2 3 2 2 3 2 3 2 2" xfId="42770" xr:uid="{00000000-0005-0000-0000-00009D5B0000}"/>
    <cellStyle name="40% - Accent2 3 2 2 3 2 3 3" xfId="31469" xr:uid="{00000000-0005-0000-0000-00009E5B0000}"/>
    <cellStyle name="40% - Accent2 3 2 2 3 2 4" xfId="14518" xr:uid="{00000000-0005-0000-0000-00009F5B0000}"/>
    <cellStyle name="40% - Accent2 3 2 2 3 2 4 2" xfId="37120" xr:uid="{00000000-0005-0000-0000-0000A05B0000}"/>
    <cellStyle name="40% - Accent2 3 2 2 3 2 5" xfId="25819" xr:uid="{00000000-0005-0000-0000-0000A15B0000}"/>
    <cellStyle name="40% - Accent2 3 2 2 3 3" xfId="4815" xr:uid="{00000000-0005-0000-0000-0000A25B0000}"/>
    <cellStyle name="40% - Accent2 3 2 2 3 3 2" xfId="10465" xr:uid="{00000000-0005-0000-0000-0000A35B0000}"/>
    <cellStyle name="40% - Accent2 3 2 2 3 3 2 2" xfId="21766" xr:uid="{00000000-0005-0000-0000-0000A45B0000}"/>
    <cellStyle name="40% - Accent2 3 2 2 3 3 2 2 2" xfId="44368" xr:uid="{00000000-0005-0000-0000-0000A55B0000}"/>
    <cellStyle name="40% - Accent2 3 2 2 3 3 2 3" xfId="33067" xr:uid="{00000000-0005-0000-0000-0000A65B0000}"/>
    <cellStyle name="40% - Accent2 3 2 2 3 3 3" xfId="16116" xr:uid="{00000000-0005-0000-0000-0000A75B0000}"/>
    <cellStyle name="40% - Accent2 3 2 2 3 3 3 2" xfId="38718" xr:uid="{00000000-0005-0000-0000-0000A85B0000}"/>
    <cellStyle name="40% - Accent2 3 2 2 3 3 4" xfId="27417" xr:uid="{00000000-0005-0000-0000-0000A95B0000}"/>
    <cellStyle name="40% - Accent2 3 2 2 3 4" xfId="7002" xr:uid="{00000000-0005-0000-0000-0000AA5B0000}"/>
    <cellStyle name="40% - Accent2 3 2 2 3 4 2" xfId="18303" xr:uid="{00000000-0005-0000-0000-0000AB5B0000}"/>
    <cellStyle name="40% - Accent2 3 2 2 3 4 2 2" xfId="40905" xr:uid="{00000000-0005-0000-0000-0000AC5B0000}"/>
    <cellStyle name="40% - Accent2 3 2 2 3 4 3" xfId="29604" xr:uid="{00000000-0005-0000-0000-0000AD5B0000}"/>
    <cellStyle name="40% - Accent2 3 2 2 3 5" xfId="12653" xr:uid="{00000000-0005-0000-0000-0000AE5B0000}"/>
    <cellStyle name="40% - Accent2 3 2 2 3 5 2" xfId="35255" xr:uid="{00000000-0005-0000-0000-0000AF5B0000}"/>
    <cellStyle name="40% - Accent2 3 2 2 3 6" xfId="23954" xr:uid="{00000000-0005-0000-0000-0000B05B0000}"/>
    <cellStyle name="40% - Accent2 3 2 2 4" xfId="1862" xr:uid="{00000000-0005-0000-0000-0000B15B0000}"/>
    <cellStyle name="40% - Accent2 3 2 2 4 2" xfId="3732" xr:uid="{00000000-0005-0000-0000-0000B25B0000}"/>
    <cellStyle name="40% - Accent2 3 2 2 4 2 2" xfId="9442" xr:uid="{00000000-0005-0000-0000-0000B35B0000}"/>
    <cellStyle name="40% - Accent2 3 2 2 4 2 2 2" xfId="20743" xr:uid="{00000000-0005-0000-0000-0000B45B0000}"/>
    <cellStyle name="40% - Accent2 3 2 2 4 2 2 2 2" xfId="43345" xr:uid="{00000000-0005-0000-0000-0000B55B0000}"/>
    <cellStyle name="40% - Accent2 3 2 2 4 2 2 3" xfId="32044" xr:uid="{00000000-0005-0000-0000-0000B65B0000}"/>
    <cellStyle name="40% - Accent2 3 2 2 4 2 3" xfId="15093" xr:uid="{00000000-0005-0000-0000-0000B75B0000}"/>
    <cellStyle name="40% - Accent2 3 2 2 4 2 3 2" xfId="37695" xr:uid="{00000000-0005-0000-0000-0000B85B0000}"/>
    <cellStyle name="40% - Accent2 3 2 2 4 2 4" xfId="26394" xr:uid="{00000000-0005-0000-0000-0000B95B0000}"/>
    <cellStyle name="40% - Accent2 3 2 2 4 3" xfId="5425" xr:uid="{00000000-0005-0000-0000-0000BA5B0000}"/>
    <cellStyle name="40% - Accent2 3 2 2 4 3 2" xfId="11075" xr:uid="{00000000-0005-0000-0000-0000BB5B0000}"/>
    <cellStyle name="40% - Accent2 3 2 2 4 3 2 2" xfId="22376" xr:uid="{00000000-0005-0000-0000-0000BC5B0000}"/>
    <cellStyle name="40% - Accent2 3 2 2 4 3 2 2 2" xfId="44978" xr:uid="{00000000-0005-0000-0000-0000BD5B0000}"/>
    <cellStyle name="40% - Accent2 3 2 2 4 3 2 3" xfId="33677" xr:uid="{00000000-0005-0000-0000-0000BE5B0000}"/>
    <cellStyle name="40% - Accent2 3 2 2 4 3 3" xfId="16726" xr:uid="{00000000-0005-0000-0000-0000BF5B0000}"/>
    <cellStyle name="40% - Accent2 3 2 2 4 3 3 2" xfId="39328" xr:uid="{00000000-0005-0000-0000-0000C05B0000}"/>
    <cellStyle name="40% - Accent2 3 2 2 4 3 4" xfId="28027" xr:uid="{00000000-0005-0000-0000-0000C15B0000}"/>
    <cellStyle name="40% - Accent2 3 2 2 4 4" xfId="7718" xr:uid="{00000000-0005-0000-0000-0000C25B0000}"/>
    <cellStyle name="40% - Accent2 3 2 2 4 4 2" xfId="19019" xr:uid="{00000000-0005-0000-0000-0000C35B0000}"/>
    <cellStyle name="40% - Accent2 3 2 2 4 4 2 2" xfId="41621" xr:uid="{00000000-0005-0000-0000-0000C45B0000}"/>
    <cellStyle name="40% - Accent2 3 2 2 4 4 3" xfId="30320" xr:uid="{00000000-0005-0000-0000-0000C55B0000}"/>
    <cellStyle name="40% - Accent2 3 2 2 4 5" xfId="13369" xr:uid="{00000000-0005-0000-0000-0000C65B0000}"/>
    <cellStyle name="40% - Accent2 3 2 2 4 5 2" xfId="35971" xr:uid="{00000000-0005-0000-0000-0000C75B0000}"/>
    <cellStyle name="40% - Accent2 3 2 2 4 6" xfId="24670" xr:uid="{00000000-0005-0000-0000-0000C85B0000}"/>
    <cellStyle name="40% - Accent2 3 2 2 5" xfId="2406" xr:uid="{00000000-0005-0000-0000-0000C95B0000}"/>
    <cellStyle name="40% - Accent2 3 2 2 5 2" xfId="8242" xr:uid="{00000000-0005-0000-0000-0000CA5B0000}"/>
    <cellStyle name="40% - Accent2 3 2 2 5 2 2" xfId="19543" xr:uid="{00000000-0005-0000-0000-0000CB5B0000}"/>
    <cellStyle name="40% - Accent2 3 2 2 5 2 2 2" xfId="42145" xr:uid="{00000000-0005-0000-0000-0000CC5B0000}"/>
    <cellStyle name="40% - Accent2 3 2 2 5 2 3" xfId="30844" xr:uid="{00000000-0005-0000-0000-0000CD5B0000}"/>
    <cellStyle name="40% - Accent2 3 2 2 5 3" xfId="13893" xr:uid="{00000000-0005-0000-0000-0000CE5B0000}"/>
    <cellStyle name="40% - Accent2 3 2 2 5 3 2" xfId="36495" xr:uid="{00000000-0005-0000-0000-0000CF5B0000}"/>
    <cellStyle name="40% - Accent2 3 2 2 5 4" xfId="25194" xr:uid="{00000000-0005-0000-0000-0000D05B0000}"/>
    <cellStyle name="40% - Accent2 3 2 2 6" xfId="4191" xr:uid="{00000000-0005-0000-0000-0000D15B0000}"/>
    <cellStyle name="40% - Accent2 3 2 2 6 2" xfId="9841" xr:uid="{00000000-0005-0000-0000-0000D25B0000}"/>
    <cellStyle name="40% - Accent2 3 2 2 6 2 2" xfId="21142" xr:uid="{00000000-0005-0000-0000-0000D35B0000}"/>
    <cellStyle name="40% - Accent2 3 2 2 6 2 2 2" xfId="43744" xr:uid="{00000000-0005-0000-0000-0000D45B0000}"/>
    <cellStyle name="40% - Accent2 3 2 2 6 2 3" xfId="32443" xr:uid="{00000000-0005-0000-0000-0000D55B0000}"/>
    <cellStyle name="40% - Accent2 3 2 2 6 3" xfId="15492" xr:uid="{00000000-0005-0000-0000-0000D65B0000}"/>
    <cellStyle name="40% - Accent2 3 2 2 6 3 2" xfId="38094" xr:uid="{00000000-0005-0000-0000-0000D75B0000}"/>
    <cellStyle name="40% - Accent2 3 2 2 6 4" xfId="26793" xr:uid="{00000000-0005-0000-0000-0000D85B0000}"/>
    <cellStyle name="40% - Accent2 3 2 2 7" xfId="6671" xr:uid="{00000000-0005-0000-0000-0000D95B0000}"/>
    <cellStyle name="40% - Accent2 3 2 2 7 2" xfId="17972" xr:uid="{00000000-0005-0000-0000-0000DA5B0000}"/>
    <cellStyle name="40% - Accent2 3 2 2 7 2 2" xfId="40574" xr:uid="{00000000-0005-0000-0000-0000DB5B0000}"/>
    <cellStyle name="40% - Accent2 3 2 2 7 3" xfId="29273" xr:uid="{00000000-0005-0000-0000-0000DC5B0000}"/>
    <cellStyle name="40% - Accent2 3 2 2 8" xfId="12322" xr:uid="{00000000-0005-0000-0000-0000DD5B0000}"/>
    <cellStyle name="40% - Accent2 3 2 2 8 2" xfId="34924" xr:uid="{00000000-0005-0000-0000-0000DE5B0000}"/>
    <cellStyle name="40% - Accent2 3 2 2 9" xfId="23623" xr:uid="{00000000-0005-0000-0000-0000DF5B0000}"/>
    <cellStyle name="40% - Accent2 3 2 3" xfId="1178" xr:uid="{00000000-0005-0000-0000-0000E05B0000}"/>
    <cellStyle name="40% - Accent2 3 2 3 2" xfId="1864" xr:uid="{00000000-0005-0000-0000-0000E15B0000}"/>
    <cellStyle name="40% - Accent2 3 2 3 2 2" xfId="3246" xr:uid="{00000000-0005-0000-0000-0000E25B0000}"/>
    <cellStyle name="40% - Accent2 3 2 3 2 2 2" xfId="6218" xr:uid="{00000000-0005-0000-0000-0000E35B0000}"/>
    <cellStyle name="40% - Accent2 3 2 3 2 2 2 2" xfId="11868" xr:uid="{00000000-0005-0000-0000-0000E45B0000}"/>
    <cellStyle name="40% - Accent2 3 2 3 2 2 2 2 2" xfId="23169" xr:uid="{00000000-0005-0000-0000-0000E55B0000}"/>
    <cellStyle name="40% - Accent2 3 2 3 2 2 2 2 2 2" xfId="45771" xr:uid="{00000000-0005-0000-0000-0000E65B0000}"/>
    <cellStyle name="40% - Accent2 3 2 3 2 2 2 2 3" xfId="34470" xr:uid="{00000000-0005-0000-0000-0000E75B0000}"/>
    <cellStyle name="40% - Accent2 3 2 3 2 2 2 3" xfId="17519" xr:uid="{00000000-0005-0000-0000-0000E85B0000}"/>
    <cellStyle name="40% - Accent2 3 2 3 2 2 2 3 2" xfId="40121" xr:uid="{00000000-0005-0000-0000-0000E95B0000}"/>
    <cellStyle name="40% - Accent2 3 2 3 2 2 2 4" xfId="28820" xr:uid="{00000000-0005-0000-0000-0000EA5B0000}"/>
    <cellStyle name="40% - Accent2 3 2 3 2 2 3" xfId="9036" xr:uid="{00000000-0005-0000-0000-0000EB5B0000}"/>
    <cellStyle name="40% - Accent2 3 2 3 2 2 3 2" xfId="20337" xr:uid="{00000000-0005-0000-0000-0000EC5B0000}"/>
    <cellStyle name="40% - Accent2 3 2 3 2 2 3 2 2" xfId="42939" xr:uid="{00000000-0005-0000-0000-0000ED5B0000}"/>
    <cellStyle name="40% - Accent2 3 2 3 2 2 3 3" xfId="31638" xr:uid="{00000000-0005-0000-0000-0000EE5B0000}"/>
    <cellStyle name="40% - Accent2 3 2 3 2 2 4" xfId="14687" xr:uid="{00000000-0005-0000-0000-0000EF5B0000}"/>
    <cellStyle name="40% - Accent2 3 2 3 2 2 4 2" xfId="37289" xr:uid="{00000000-0005-0000-0000-0000F05B0000}"/>
    <cellStyle name="40% - Accent2 3 2 3 2 2 5" xfId="25988" xr:uid="{00000000-0005-0000-0000-0000F15B0000}"/>
    <cellStyle name="40% - Accent2 3 2 3 2 3" xfId="4984" xr:uid="{00000000-0005-0000-0000-0000F25B0000}"/>
    <cellStyle name="40% - Accent2 3 2 3 2 3 2" xfId="10634" xr:uid="{00000000-0005-0000-0000-0000F35B0000}"/>
    <cellStyle name="40% - Accent2 3 2 3 2 3 2 2" xfId="21935" xr:uid="{00000000-0005-0000-0000-0000F45B0000}"/>
    <cellStyle name="40% - Accent2 3 2 3 2 3 2 2 2" xfId="44537" xr:uid="{00000000-0005-0000-0000-0000F55B0000}"/>
    <cellStyle name="40% - Accent2 3 2 3 2 3 2 3" xfId="33236" xr:uid="{00000000-0005-0000-0000-0000F65B0000}"/>
    <cellStyle name="40% - Accent2 3 2 3 2 3 3" xfId="16285" xr:uid="{00000000-0005-0000-0000-0000F75B0000}"/>
    <cellStyle name="40% - Accent2 3 2 3 2 3 3 2" xfId="38887" xr:uid="{00000000-0005-0000-0000-0000F85B0000}"/>
    <cellStyle name="40% - Accent2 3 2 3 2 3 4" xfId="27586" xr:uid="{00000000-0005-0000-0000-0000F95B0000}"/>
    <cellStyle name="40% - Accent2 3 2 3 2 4" xfId="7720" xr:uid="{00000000-0005-0000-0000-0000FA5B0000}"/>
    <cellStyle name="40% - Accent2 3 2 3 2 4 2" xfId="19021" xr:uid="{00000000-0005-0000-0000-0000FB5B0000}"/>
    <cellStyle name="40% - Accent2 3 2 3 2 4 2 2" xfId="41623" xr:uid="{00000000-0005-0000-0000-0000FC5B0000}"/>
    <cellStyle name="40% - Accent2 3 2 3 2 4 3" xfId="30322" xr:uid="{00000000-0005-0000-0000-0000FD5B0000}"/>
    <cellStyle name="40% - Accent2 3 2 3 2 5" xfId="13371" xr:uid="{00000000-0005-0000-0000-0000FE5B0000}"/>
    <cellStyle name="40% - Accent2 3 2 3 2 5 2" xfId="35973" xr:uid="{00000000-0005-0000-0000-0000FF5B0000}"/>
    <cellStyle name="40% - Accent2 3 2 3 2 6" xfId="24672" xr:uid="{00000000-0005-0000-0000-0000005C0000}"/>
    <cellStyle name="40% - Accent2 3 2 3 3" xfId="2575" xr:uid="{00000000-0005-0000-0000-0000015C0000}"/>
    <cellStyle name="40% - Accent2 3 2 3 3 2" xfId="5594" xr:uid="{00000000-0005-0000-0000-0000025C0000}"/>
    <cellStyle name="40% - Accent2 3 2 3 3 2 2" xfId="11244" xr:uid="{00000000-0005-0000-0000-0000035C0000}"/>
    <cellStyle name="40% - Accent2 3 2 3 3 2 2 2" xfId="22545" xr:uid="{00000000-0005-0000-0000-0000045C0000}"/>
    <cellStyle name="40% - Accent2 3 2 3 3 2 2 2 2" xfId="45147" xr:uid="{00000000-0005-0000-0000-0000055C0000}"/>
    <cellStyle name="40% - Accent2 3 2 3 3 2 2 3" xfId="33846" xr:uid="{00000000-0005-0000-0000-0000065C0000}"/>
    <cellStyle name="40% - Accent2 3 2 3 3 2 3" xfId="16895" xr:uid="{00000000-0005-0000-0000-0000075C0000}"/>
    <cellStyle name="40% - Accent2 3 2 3 3 2 3 2" xfId="39497" xr:uid="{00000000-0005-0000-0000-0000085C0000}"/>
    <cellStyle name="40% - Accent2 3 2 3 3 2 4" xfId="28196" xr:uid="{00000000-0005-0000-0000-0000095C0000}"/>
    <cellStyle name="40% - Accent2 3 2 3 3 3" xfId="8411" xr:uid="{00000000-0005-0000-0000-00000A5C0000}"/>
    <cellStyle name="40% - Accent2 3 2 3 3 3 2" xfId="19712" xr:uid="{00000000-0005-0000-0000-00000B5C0000}"/>
    <cellStyle name="40% - Accent2 3 2 3 3 3 2 2" xfId="42314" xr:uid="{00000000-0005-0000-0000-00000C5C0000}"/>
    <cellStyle name="40% - Accent2 3 2 3 3 3 3" xfId="31013" xr:uid="{00000000-0005-0000-0000-00000D5C0000}"/>
    <cellStyle name="40% - Accent2 3 2 3 3 4" xfId="14062" xr:uid="{00000000-0005-0000-0000-00000E5C0000}"/>
    <cellStyle name="40% - Accent2 3 2 3 3 4 2" xfId="36664" xr:uid="{00000000-0005-0000-0000-00000F5C0000}"/>
    <cellStyle name="40% - Accent2 3 2 3 3 5" xfId="25363" xr:uid="{00000000-0005-0000-0000-0000105C0000}"/>
    <cellStyle name="40% - Accent2 3 2 3 4" xfId="4360" xr:uid="{00000000-0005-0000-0000-0000115C0000}"/>
    <cellStyle name="40% - Accent2 3 2 3 4 2" xfId="10010" xr:uid="{00000000-0005-0000-0000-0000125C0000}"/>
    <cellStyle name="40% - Accent2 3 2 3 4 2 2" xfId="21311" xr:uid="{00000000-0005-0000-0000-0000135C0000}"/>
    <cellStyle name="40% - Accent2 3 2 3 4 2 2 2" xfId="43913" xr:uid="{00000000-0005-0000-0000-0000145C0000}"/>
    <cellStyle name="40% - Accent2 3 2 3 4 2 3" xfId="32612" xr:uid="{00000000-0005-0000-0000-0000155C0000}"/>
    <cellStyle name="40% - Accent2 3 2 3 4 3" xfId="15661" xr:uid="{00000000-0005-0000-0000-0000165C0000}"/>
    <cellStyle name="40% - Accent2 3 2 3 4 3 2" xfId="38263" xr:uid="{00000000-0005-0000-0000-0000175C0000}"/>
    <cellStyle name="40% - Accent2 3 2 3 4 4" xfId="26962" xr:uid="{00000000-0005-0000-0000-0000185C0000}"/>
    <cellStyle name="40% - Accent2 3 2 3 5" xfId="7157" xr:uid="{00000000-0005-0000-0000-0000195C0000}"/>
    <cellStyle name="40% - Accent2 3 2 3 5 2" xfId="18458" xr:uid="{00000000-0005-0000-0000-00001A5C0000}"/>
    <cellStyle name="40% - Accent2 3 2 3 5 2 2" xfId="41060" xr:uid="{00000000-0005-0000-0000-00001B5C0000}"/>
    <cellStyle name="40% - Accent2 3 2 3 5 3" xfId="29759" xr:uid="{00000000-0005-0000-0000-00001C5C0000}"/>
    <cellStyle name="40% - Accent2 3 2 3 6" xfId="12808" xr:uid="{00000000-0005-0000-0000-00001D5C0000}"/>
    <cellStyle name="40% - Accent2 3 2 3 6 2" xfId="35410" xr:uid="{00000000-0005-0000-0000-00001E5C0000}"/>
    <cellStyle name="40% - Accent2 3 2 3 7" xfId="24109" xr:uid="{00000000-0005-0000-0000-00001F5C0000}"/>
    <cellStyle name="40% - Accent2 3 2 4" xfId="867" xr:uid="{00000000-0005-0000-0000-0000205C0000}"/>
    <cellStyle name="40% - Accent2 3 2 4 2" xfId="2939" xr:uid="{00000000-0005-0000-0000-0000215C0000}"/>
    <cellStyle name="40% - Accent2 3 2 4 2 2" xfId="5911" xr:uid="{00000000-0005-0000-0000-0000225C0000}"/>
    <cellStyle name="40% - Accent2 3 2 4 2 2 2" xfId="11561" xr:uid="{00000000-0005-0000-0000-0000235C0000}"/>
    <cellStyle name="40% - Accent2 3 2 4 2 2 2 2" xfId="22862" xr:uid="{00000000-0005-0000-0000-0000245C0000}"/>
    <cellStyle name="40% - Accent2 3 2 4 2 2 2 2 2" xfId="45464" xr:uid="{00000000-0005-0000-0000-0000255C0000}"/>
    <cellStyle name="40% - Accent2 3 2 4 2 2 2 3" xfId="34163" xr:uid="{00000000-0005-0000-0000-0000265C0000}"/>
    <cellStyle name="40% - Accent2 3 2 4 2 2 3" xfId="17212" xr:uid="{00000000-0005-0000-0000-0000275C0000}"/>
    <cellStyle name="40% - Accent2 3 2 4 2 2 3 2" xfId="39814" xr:uid="{00000000-0005-0000-0000-0000285C0000}"/>
    <cellStyle name="40% - Accent2 3 2 4 2 2 4" xfId="28513" xr:uid="{00000000-0005-0000-0000-0000295C0000}"/>
    <cellStyle name="40% - Accent2 3 2 4 2 3" xfId="8729" xr:uid="{00000000-0005-0000-0000-00002A5C0000}"/>
    <cellStyle name="40% - Accent2 3 2 4 2 3 2" xfId="20030" xr:uid="{00000000-0005-0000-0000-00002B5C0000}"/>
    <cellStyle name="40% - Accent2 3 2 4 2 3 2 2" xfId="42632" xr:uid="{00000000-0005-0000-0000-00002C5C0000}"/>
    <cellStyle name="40% - Accent2 3 2 4 2 3 3" xfId="31331" xr:uid="{00000000-0005-0000-0000-00002D5C0000}"/>
    <cellStyle name="40% - Accent2 3 2 4 2 4" xfId="14380" xr:uid="{00000000-0005-0000-0000-00002E5C0000}"/>
    <cellStyle name="40% - Accent2 3 2 4 2 4 2" xfId="36982" xr:uid="{00000000-0005-0000-0000-00002F5C0000}"/>
    <cellStyle name="40% - Accent2 3 2 4 2 5" xfId="25681" xr:uid="{00000000-0005-0000-0000-0000305C0000}"/>
    <cellStyle name="40% - Accent2 3 2 4 3" xfId="4677" xr:uid="{00000000-0005-0000-0000-0000315C0000}"/>
    <cellStyle name="40% - Accent2 3 2 4 3 2" xfId="10327" xr:uid="{00000000-0005-0000-0000-0000325C0000}"/>
    <cellStyle name="40% - Accent2 3 2 4 3 2 2" xfId="21628" xr:uid="{00000000-0005-0000-0000-0000335C0000}"/>
    <cellStyle name="40% - Accent2 3 2 4 3 2 2 2" xfId="44230" xr:uid="{00000000-0005-0000-0000-0000345C0000}"/>
    <cellStyle name="40% - Accent2 3 2 4 3 2 3" xfId="32929" xr:uid="{00000000-0005-0000-0000-0000355C0000}"/>
    <cellStyle name="40% - Accent2 3 2 4 3 3" xfId="15978" xr:uid="{00000000-0005-0000-0000-0000365C0000}"/>
    <cellStyle name="40% - Accent2 3 2 4 3 3 2" xfId="38580" xr:uid="{00000000-0005-0000-0000-0000375C0000}"/>
    <cellStyle name="40% - Accent2 3 2 4 3 4" xfId="27279" xr:uid="{00000000-0005-0000-0000-0000385C0000}"/>
    <cellStyle name="40% - Accent2 3 2 4 4" xfId="6864" xr:uid="{00000000-0005-0000-0000-0000395C0000}"/>
    <cellStyle name="40% - Accent2 3 2 4 4 2" xfId="18165" xr:uid="{00000000-0005-0000-0000-00003A5C0000}"/>
    <cellStyle name="40% - Accent2 3 2 4 4 2 2" xfId="40767" xr:uid="{00000000-0005-0000-0000-00003B5C0000}"/>
    <cellStyle name="40% - Accent2 3 2 4 4 3" xfId="29466" xr:uid="{00000000-0005-0000-0000-00003C5C0000}"/>
    <cellStyle name="40% - Accent2 3 2 4 5" xfId="12515" xr:uid="{00000000-0005-0000-0000-00003D5C0000}"/>
    <cellStyle name="40% - Accent2 3 2 4 5 2" xfId="35117" xr:uid="{00000000-0005-0000-0000-00003E5C0000}"/>
    <cellStyle name="40% - Accent2 3 2 4 6" xfId="23816" xr:uid="{00000000-0005-0000-0000-00003F5C0000}"/>
    <cellStyle name="40% - Accent2 3 2 5" xfId="1861" xr:uid="{00000000-0005-0000-0000-0000405C0000}"/>
    <cellStyle name="40% - Accent2 3 2 5 2" xfId="3731" xr:uid="{00000000-0005-0000-0000-0000415C0000}"/>
    <cellStyle name="40% - Accent2 3 2 5 2 2" xfId="9441" xr:uid="{00000000-0005-0000-0000-0000425C0000}"/>
    <cellStyle name="40% - Accent2 3 2 5 2 2 2" xfId="20742" xr:uid="{00000000-0005-0000-0000-0000435C0000}"/>
    <cellStyle name="40% - Accent2 3 2 5 2 2 2 2" xfId="43344" xr:uid="{00000000-0005-0000-0000-0000445C0000}"/>
    <cellStyle name="40% - Accent2 3 2 5 2 2 3" xfId="32043" xr:uid="{00000000-0005-0000-0000-0000455C0000}"/>
    <cellStyle name="40% - Accent2 3 2 5 2 3" xfId="15092" xr:uid="{00000000-0005-0000-0000-0000465C0000}"/>
    <cellStyle name="40% - Accent2 3 2 5 2 3 2" xfId="37694" xr:uid="{00000000-0005-0000-0000-0000475C0000}"/>
    <cellStyle name="40% - Accent2 3 2 5 2 4" xfId="26393" xr:uid="{00000000-0005-0000-0000-0000485C0000}"/>
    <cellStyle name="40% - Accent2 3 2 5 3" xfId="5287" xr:uid="{00000000-0005-0000-0000-0000495C0000}"/>
    <cellStyle name="40% - Accent2 3 2 5 3 2" xfId="10937" xr:uid="{00000000-0005-0000-0000-00004A5C0000}"/>
    <cellStyle name="40% - Accent2 3 2 5 3 2 2" xfId="22238" xr:uid="{00000000-0005-0000-0000-00004B5C0000}"/>
    <cellStyle name="40% - Accent2 3 2 5 3 2 2 2" xfId="44840" xr:uid="{00000000-0005-0000-0000-00004C5C0000}"/>
    <cellStyle name="40% - Accent2 3 2 5 3 2 3" xfId="33539" xr:uid="{00000000-0005-0000-0000-00004D5C0000}"/>
    <cellStyle name="40% - Accent2 3 2 5 3 3" xfId="16588" xr:uid="{00000000-0005-0000-0000-00004E5C0000}"/>
    <cellStyle name="40% - Accent2 3 2 5 3 3 2" xfId="39190" xr:uid="{00000000-0005-0000-0000-00004F5C0000}"/>
    <cellStyle name="40% - Accent2 3 2 5 3 4" xfId="27889" xr:uid="{00000000-0005-0000-0000-0000505C0000}"/>
    <cellStyle name="40% - Accent2 3 2 5 4" xfId="7717" xr:uid="{00000000-0005-0000-0000-0000515C0000}"/>
    <cellStyle name="40% - Accent2 3 2 5 4 2" xfId="19018" xr:uid="{00000000-0005-0000-0000-0000525C0000}"/>
    <cellStyle name="40% - Accent2 3 2 5 4 2 2" xfId="41620" xr:uid="{00000000-0005-0000-0000-0000535C0000}"/>
    <cellStyle name="40% - Accent2 3 2 5 4 3" xfId="30319" xr:uid="{00000000-0005-0000-0000-0000545C0000}"/>
    <cellStyle name="40% - Accent2 3 2 5 5" xfId="13368" xr:uid="{00000000-0005-0000-0000-0000555C0000}"/>
    <cellStyle name="40% - Accent2 3 2 5 5 2" xfId="35970" xr:uid="{00000000-0005-0000-0000-0000565C0000}"/>
    <cellStyle name="40% - Accent2 3 2 5 6" xfId="24669" xr:uid="{00000000-0005-0000-0000-0000575C0000}"/>
    <cellStyle name="40% - Accent2 3 2 6" xfId="2265" xr:uid="{00000000-0005-0000-0000-0000585C0000}"/>
    <cellStyle name="40% - Accent2 3 2 6 2" xfId="8101" xr:uid="{00000000-0005-0000-0000-0000595C0000}"/>
    <cellStyle name="40% - Accent2 3 2 6 2 2" xfId="19402" xr:uid="{00000000-0005-0000-0000-00005A5C0000}"/>
    <cellStyle name="40% - Accent2 3 2 6 2 2 2" xfId="42004" xr:uid="{00000000-0005-0000-0000-00005B5C0000}"/>
    <cellStyle name="40% - Accent2 3 2 6 2 3" xfId="30703" xr:uid="{00000000-0005-0000-0000-00005C5C0000}"/>
    <cellStyle name="40% - Accent2 3 2 6 3" xfId="13752" xr:uid="{00000000-0005-0000-0000-00005D5C0000}"/>
    <cellStyle name="40% - Accent2 3 2 6 3 2" xfId="36354" xr:uid="{00000000-0005-0000-0000-00005E5C0000}"/>
    <cellStyle name="40% - Accent2 3 2 6 4" xfId="25053" xr:uid="{00000000-0005-0000-0000-00005F5C0000}"/>
    <cellStyle name="40% - Accent2 3 2 7" xfId="4053" xr:uid="{00000000-0005-0000-0000-0000605C0000}"/>
    <cellStyle name="40% - Accent2 3 2 7 2" xfId="9703" xr:uid="{00000000-0005-0000-0000-0000615C0000}"/>
    <cellStyle name="40% - Accent2 3 2 7 2 2" xfId="21004" xr:uid="{00000000-0005-0000-0000-0000625C0000}"/>
    <cellStyle name="40% - Accent2 3 2 7 2 2 2" xfId="43606" xr:uid="{00000000-0005-0000-0000-0000635C0000}"/>
    <cellStyle name="40% - Accent2 3 2 7 2 3" xfId="32305" xr:uid="{00000000-0005-0000-0000-0000645C0000}"/>
    <cellStyle name="40% - Accent2 3 2 7 3" xfId="15354" xr:uid="{00000000-0005-0000-0000-0000655C0000}"/>
    <cellStyle name="40% - Accent2 3 2 7 3 2" xfId="37956" xr:uid="{00000000-0005-0000-0000-0000665C0000}"/>
    <cellStyle name="40% - Accent2 3 2 7 4" xfId="26655" xr:uid="{00000000-0005-0000-0000-0000675C0000}"/>
    <cellStyle name="40% - Accent2 3 2 8" xfId="6504" xr:uid="{00000000-0005-0000-0000-0000685C0000}"/>
    <cellStyle name="40% - Accent2 3 2 8 2" xfId="17805" xr:uid="{00000000-0005-0000-0000-0000695C0000}"/>
    <cellStyle name="40% - Accent2 3 2 8 2 2" xfId="40407" xr:uid="{00000000-0005-0000-0000-00006A5C0000}"/>
    <cellStyle name="40% - Accent2 3 2 8 3" xfId="29106" xr:uid="{00000000-0005-0000-0000-00006B5C0000}"/>
    <cellStyle name="40% - Accent2 3 2 9" xfId="12155" xr:uid="{00000000-0005-0000-0000-00006C5C0000}"/>
    <cellStyle name="40% - Accent2 3 2 9 2" xfId="34757" xr:uid="{00000000-0005-0000-0000-00006D5C0000}"/>
    <cellStyle name="40% - Accent2 3 3" xfId="410" xr:uid="{00000000-0005-0000-0000-00006E5C0000}"/>
    <cellStyle name="40% - Accent2 3 3 10" xfId="23505" xr:uid="{00000000-0005-0000-0000-00006F5C0000}"/>
    <cellStyle name="40% - Accent2 3 3 2" xfId="655" xr:uid="{00000000-0005-0000-0000-0000705C0000}"/>
    <cellStyle name="40% - Accent2 3 3 2 2" xfId="1365" xr:uid="{00000000-0005-0000-0000-0000715C0000}"/>
    <cellStyle name="40% - Accent2 3 3 2 2 2" xfId="1867" xr:uid="{00000000-0005-0000-0000-0000725C0000}"/>
    <cellStyle name="40% - Accent2 3 3 2 2 2 2" xfId="3434" xr:uid="{00000000-0005-0000-0000-0000735C0000}"/>
    <cellStyle name="40% - Accent2 3 3 2 2 2 2 2" xfId="6406" xr:uid="{00000000-0005-0000-0000-0000745C0000}"/>
    <cellStyle name="40% - Accent2 3 3 2 2 2 2 2 2" xfId="12056" xr:uid="{00000000-0005-0000-0000-0000755C0000}"/>
    <cellStyle name="40% - Accent2 3 3 2 2 2 2 2 2 2" xfId="23357" xr:uid="{00000000-0005-0000-0000-0000765C0000}"/>
    <cellStyle name="40% - Accent2 3 3 2 2 2 2 2 2 2 2" xfId="45959" xr:uid="{00000000-0005-0000-0000-0000775C0000}"/>
    <cellStyle name="40% - Accent2 3 3 2 2 2 2 2 2 3" xfId="34658" xr:uid="{00000000-0005-0000-0000-0000785C0000}"/>
    <cellStyle name="40% - Accent2 3 3 2 2 2 2 2 3" xfId="17707" xr:uid="{00000000-0005-0000-0000-0000795C0000}"/>
    <cellStyle name="40% - Accent2 3 3 2 2 2 2 2 3 2" xfId="40309" xr:uid="{00000000-0005-0000-0000-00007A5C0000}"/>
    <cellStyle name="40% - Accent2 3 3 2 2 2 2 2 4" xfId="29008" xr:uid="{00000000-0005-0000-0000-00007B5C0000}"/>
    <cellStyle name="40% - Accent2 3 3 2 2 2 2 3" xfId="9224" xr:uid="{00000000-0005-0000-0000-00007C5C0000}"/>
    <cellStyle name="40% - Accent2 3 3 2 2 2 2 3 2" xfId="20525" xr:uid="{00000000-0005-0000-0000-00007D5C0000}"/>
    <cellStyle name="40% - Accent2 3 3 2 2 2 2 3 2 2" xfId="43127" xr:uid="{00000000-0005-0000-0000-00007E5C0000}"/>
    <cellStyle name="40% - Accent2 3 3 2 2 2 2 3 3" xfId="31826" xr:uid="{00000000-0005-0000-0000-00007F5C0000}"/>
    <cellStyle name="40% - Accent2 3 3 2 2 2 2 4" xfId="14875" xr:uid="{00000000-0005-0000-0000-0000805C0000}"/>
    <cellStyle name="40% - Accent2 3 3 2 2 2 2 4 2" xfId="37477" xr:uid="{00000000-0005-0000-0000-0000815C0000}"/>
    <cellStyle name="40% - Accent2 3 3 2 2 2 2 5" xfId="26176" xr:uid="{00000000-0005-0000-0000-0000825C0000}"/>
    <cellStyle name="40% - Accent2 3 3 2 2 2 3" xfId="5172" xr:uid="{00000000-0005-0000-0000-0000835C0000}"/>
    <cellStyle name="40% - Accent2 3 3 2 2 2 3 2" xfId="10822" xr:uid="{00000000-0005-0000-0000-0000845C0000}"/>
    <cellStyle name="40% - Accent2 3 3 2 2 2 3 2 2" xfId="22123" xr:uid="{00000000-0005-0000-0000-0000855C0000}"/>
    <cellStyle name="40% - Accent2 3 3 2 2 2 3 2 2 2" xfId="44725" xr:uid="{00000000-0005-0000-0000-0000865C0000}"/>
    <cellStyle name="40% - Accent2 3 3 2 2 2 3 2 3" xfId="33424" xr:uid="{00000000-0005-0000-0000-0000875C0000}"/>
    <cellStyle name="40% - Accent2 3 3 2 2 2 3 3" xfId="16473" xr:uid="{00000000-0005-0000-0000-0000885C0000}"/>
    <cellStyle name="40% - Accent2 3 3 2 2 2 3 3 2" xfId="39075" xr:uid="{00000000-0005-0000-0000-0000895C0000}"/>
    <cellStyle name="40% - Accent2 3 3 2 2 2 3 4" xfId="27774" xr:uid="{00000000-0005-0000-0000-00008A5C0000}"/>
    <cellStyle name="40% - Accent2 3 3 2 2 2 4" xfId="7723" xr:uid="{00000000-0005-0000-0000-00008B5C0000}"/>
    <cellStyle name="40% - Accent2 3 3 2 2 2 4 2" xfId="19024" xr:uid="{00000000-0005-0000-0000-00008C5C0000}"/>
    <cellStyle name="40% - Accent2 3 3 2 2 2 4 2 2" xfId="41626" xr:uid="{00000000-0005-0000-0000-00008D5C0000}"/>
    <cellStyle name="40% - Accent2 3 3 2 2 2 4 3" xfId="30325" xr:uid="{00000000-0005-0000-0000-00008E5C0000}"/>
    <cellStyle name="40% - Accent2 3 3 2 2 2 5" xfId="13374" xr:uid="{00000000-0005-0000-0000-00008F5C0000}"/>
    <cellStyle name="40% - Accent2 3 3 2 2 2 5 2" xfId="35976" xr:uid="{00000000-0005-0000-0000-0000905C0000}"/>
    <cellStyle name="40% - Accent2 3 3 2 2 2 6" xfId="24675" xr:uid="{00000000-0005-0000-0000-0000915C0000}"/>
    <cellStyle name="40% - Accent2 3 3 2 2 3" xfId="2763" xr:uid="{00000000-0005-0000-0000-0000925C0000}"/>
    <cellStyle name="40% - Accent2 3 3 2 2 3 2" xfId="5782" xr:uid="{00000000-0005-0000-0000-0000935C0000}"/>
    <cellStyle name="40% - Accent2 3 3 2 2 3 2 2" xfId="11432" xr:uid="{00000000-0005-0000-0000-0000945C0000}"/>
    <cellStyle name="40% - Accent2 3 3 2 2 3 2 2 2" xfId="22733" xr:uid="{00000000-0005-0000-0000-0000955C0000}"/>
    <cellStyle name="40% - Accent2 3 3 2 2 3 2 2 2 2" xfId="45335" xr:uid="{00000000-0005-0000-0000-0000965C0000}"/>
    <cellStyle name="40% - Accent2 3 3 2 2 3 2 2 3" xfId="34034" xr:uid="{00000000-0005-0000-0000-0000975C0000}"/>
    <cellStyle name="40% - Accent2 3 3 2 2 3 2 3" xfId="17083" xr:uid="{00000000-0005-0000-0000-0000985C0000}"/>
    <cellStyle name="40% - Accent2 3 3 2 2 3 2 3 2" xfId="39685" xr:uid="{00000000-0005-0000-0000-0000995C0000}"/>
    <cellStyle name="40% - Accent2 3 3 2 2 3 2 4" xfId="28384" xr:uid="{00000000-0005-0000-0000-00009A5C0000}"/>
    <cellStyle name="40% - Accent2 3 3 2 2 3 3" xfId="8599" xr:uid="{00000000-0005-0000-0000-00009B5C0000}"/>
    <cellStyle name="40% - Accent2 3 3 2 2 3 3 2" xfId="19900" xr:uid="{00000000-0005-0000-0000-00009C5C0000}"/>
    <cellStyle name="40% - Accent2 3 3 2 2 3 3 2 2" xfId="42502" xr:uid="{00000000-0005-0000-0000-00009D5C0000}"/>
    <cellStyle name="40% - Accent2 3 3 2 2 3 3 3" xfId="31201" xr:uid="{00000000-0005-0000-0000-00009E5C0000}"/>
    <cellStyle name="40% - Accent2 3 3 2 2 3 4" xfId="14250" xr:uid="{00000000-0005-0000-0000-00009F5C0000}"/>
    <cellStyle name="40% - Accent2 3 3 2 2 3 4 2" xfId="36852" xr:uid="{00000000-0005-0000-0000-0000A05C0000}"/>
    <cellStyle name="40% - Accent2 3 3 2 2 3 5" xfId="25551" xr:uid="{00000000-0005-0000-0000-0000A15C0000}"/>
    <cellStyle name="40% - Accent2 3 3 2 2 4" xfId="4548" xr:uid="{00000000-0005-0000-0000-0000A25C0000}"/>
    <cellStyle name="40% - Accent2 3 3 2 2 4 2" xfId="10198" xr:uid="{00000000-0005-0000-0000-0000A35C0000}"/>
    <cellStyle name="40% - Accent2 3 3 2 2 4 2 2" xfId="21499" xr:uid="{00000000-0005-0000-0000-0000A45C0000}"/>
    <cellStyle name="40% - Accent2 3 3 2 2 4 2 2 2" xfId="44101" xr:uid="{00000000-0005-0000-0000-0000A55C0000}"/>
    <cellStyle name="40% - Accent2 3 3 2 2 4 2 3" xfId="32800" xr:uid="{00000000-0005-0000-0000-0000A65C0000}"/>
    <cellStyle name="40% - Accent2 3 3 2 2 4 3" xfId="15849" xr:uid="{00000000-0005-0000-0000-0000A75C0000}"/>
    <cellStyle name="40% - Accent2 3 3 2 2 4 3 2" xfId="38451" xr:uid="{00000000-0005-0000-0000-0000A85C0000}"/>
    <cellStyle name="40% - Accent2 3 3 2 2 4 4" xfId="27150" xr:uid="{00000000-0005-0000-0000-0000A95C0000}"/>
    <cellStyle name="40% - Accent2 3 3 2 2 5" xfId="7344" xr:uid="{00000000-0005-0000-0000-0000AA5C0000}"/>
    <cellStyle name="40% - Accent2 3 3 2 2 5 2" xfId="18645" xr:uid="{00000000-0005-0000-0000-0000AB5C0000}"/>
    <cellStyle name="40% - Accent2 3 3 2 2 5 2 2" xfId="41247" xr:uid="{00000000-0005-0000-0000-0000AC5C0000}"/>
    <cellStyle name="40% - Accent2 3 3 2 2 5 3" xfId="29946" xr:uid="{00000000-0005-0000-0000-0000AD5C0000}"/>
    <cellStyle name="40% - Accent2 3 3 2 2 6" xfId="12995" xr:uid="{00000000-0005-0000-0000-0000AE5C0000}"/>
    <cellStyle name="40% - Accent2 3 3 2 2 6 2" xfId="35597" xr:uid="{00000000-0005-0000-0000-0000AF5C0000}"/>
    <cellStyle name="40% - Accent2 3 3 2 2 7" xfId="24296" xr:uid="{00000000-0005-0000-0000-0000B05C0000}"/>
    <cellStyle name="40% - Accent2 3 3 2 3" xfId="1063" xr:uid="{00000000-0005-0000-0000-0000B15C0000}"/>
    <cellStyle name="40% - Accent2 3 3 2 3 2" xfId="3126" xr:uid="{00000000-0005-0000-0000-0000B25C0000}"/>
    <cellStyle name="40% - Accent2 3 3 2 3 2 2" xfId="6098" xr:uid="{00000000-0005-0000-0000-0000B35C0000}"/>
    <cellStyle name="40% - Accent2 3 3 2 3 2 2 2" xfId="11748" xr:uid="{00000000-0005-0000-0000-0000B45C0000}"/>
    <cellStyle name="40% - Accent2 3 3 2 3 2 2 2 2" xfId="23049" xr:uid="{00000000-0005-0000-0000-0000B55C0000}"/>
    <cellStyle name="40% - Accent2 3 3 2 3 2 2 2 2 2" xfId="45651" xr:uid="{00000000-0005-0000-0000-0000B65C0000}"/>
    <cellStyle name="40% - Accent2 3 3 2 3 2 2 2 3" xfId="34350" xr:uid="{00000000-0005-0000-0000-0000B75C0000}"/>
    <cellStyle name="40% - Accent2 3 3 2 3 2 2 3" xfId="17399" xr:uid="{00000000-0005-0000-0000-0000B85C0000}"/>
    <cellStyle name="40% - Accent2 3 3 2 3 2 2 3 2" xfId="40001" xr:uid="{00000000-0005-0000-0000-0000B95C0000}"/>
    <cellStyle name="40% - Accent2 3 3 2 3 2 2 4" xfId="28700" xr:uid="{00000000-0005-0000-0000-0000BA5C0000}"/>
    <cellStyle name="40% - Accent2 3 3 2 3 2 3" xfId="8916" xr:uid="{00000000-0005-0000-0000-0000BB5C0000}"/>
    <cellStyle name="40% - Accent2 3 3 2 3 2 3 2" xfId="20217" xr:uid="{00000000-0005-0000-0000-0000BC5C0000}"/>
    <cellStyle name="40% - Accent2 3 3 2 3 2 3 2 2" xfId="42819" xr:uid="{00000000-0005-0000-0000-0000BD5C0000}"/>
    <cellStyle name="40% - Accent2 3 3 2 3 2 3 3" xfId="31518" xr:uid="{00000000-0005-0000-0000-0000BE5C0000}"/>
    <cellStyle name="40% - Accent2 3 3 2 3 2 4" xfId="14567" xr:uid="{00000000-0005-0000-0000-0000BF5C0000}"/>
    <cellStyle name="40% - Accent2 3 3 2 3 2 4 2" xfId="37169" xr:uid="{00000000-0005-0000-0000-0000C05C0000}"/>
    <cellStyle name="40% - Accent2 3 3 2 3 2 5" xfId="25868" xr:uid="{00000000-0005-0000-0000-0000C15C0000}"/>
    <cellStyle name="40% - Accent2 3 3 2 3 3" xfId="4864" xr:uid="{00000000-0005-0000-0000-0000C25C0000}"/>
    <cellStyle name="40% - Accent2 3 3 2 3 3 2" xfId="10514" xr:uid="{00000000-0005-0000-0000-0000C35C0000}"/>
    <cellStyle name="40% - Accent2 3 3 2 3 3 2 2" xfId="21815" xr:uid="{00000000-0005-0000-0000-0000C45C0000}"/>
    <cellStyle name="40% - Accent2 3 3 2 3 3 2 2 2" xfId="44417" xr:uid="{00000000-0005-0000-0000-0000C55C0000}"/>
    <cellStyle name="40% - Accent2 3 3 2 3 3 2 3" xfId="33116" xr:uid="{00000000-0005-0000-0000-0000C65C0000}"/>
    <cellStyle name="40% - Accent2 3 3 2 3 3 3" xfId="16165" xr:uid="{00000000-0005-0000-0000-0000C75C0000}"/>
    <cellStyle name="40% - Accent2 3 3 2 3 3 3 2" xfId="38767" xr:uid="{00000000-0005-0000-0000-0000C85C0000}"/>
    <cellStyle name="40% - Accent2 3 3 2 3 3 4" xfId="27466" xr:uid="{00000000-0005-0000-0000-0000C95C0000}"/>
    <cellStyle name="40% - Accent2 3 3 2 3 4" xfId="7051" xr:uid="{00000000-0005-0000-0000-0000CA5C0000}"/>
    <cellStyle name="40% - Accent2 3 3 2 3 4 2" xfId="18352" xr:uid="{00000000-0005-0000-0000-0000CB5C0000}"/>
    <cellStyle name="40% - Accent2 3 3 2 3 4 2 2" xfId="40954" xr:uid="{00000000-0005-0000-0000-0000CC5C0000}"/>
    <cellStyle name="40% - Accent2 3 3 2 3 4 3" xfId="29653" xr:uid="{00000000-0005-0000-0000-0000CD5C0000}"/>
    <cellStyle name="40% - Accent2 3 3 2 3 5" xfId="12702" xr:uid="{00000000-0005-0000-0000-0000CE5C0000}"/>
    <cellStyle name="40% - Accent2 3 3 2 3 5 2" xfId="35304" xr:uid="{00000000-0005-0000-0000-0000CF5C0000}"/>
    <cellStyle name="40% - Accent2 3 3 2 3 6" xfId="24003" xr:uid="{00000000-0005-0000-0000-0000D05C0000}"/>
    <cellStyle name="40% - Accent2 3 3 2 4" xfId="1866" xr:uid="{00000000-0005-0000-0000-0000D15C0000}"/>
    <cellStyle name="40% - Accent2 3 3 2 4 2" xfId="3734" xr:uid="{00000000-0005-0000-0000-0000D25C0000}"/>
    <cellStyle name="40% - Accent2 3 3 2 4 2 2" xfId="9444" xr:uid="{00000000-0005-0000-0000-0000D35C0000}"/>
    <cellStyle name="40% - Accent2 3 3 2 4 2 2 2" xfId="20745" xr:uid="{00000000-0005-0000-0000-0000D45C0000}"/>
    <cellStyle name="40% - Accent2 3 3 2 4 2 2 2 2" xfId="43347" xr:uid="{00000000-0005-0000-0000-0000D55C0000}"/>
    <cellStyle name="40% - Accent2 3 3 2 4 2 2 3" xfId="32046" xr:uid="{00000000-0005-0000-0000-0000D65C0000}"/>
    <cellStyle name="40% - Accent2 3 3 2 4 2 3" xfId="15095" xr:uid="{00000000-0005-0000-0000-0000D75C0000}"/>
    <cellStyle name="40% - Accent2 3 3 2 4 2 3 2" xfId="37697" xr:uid="{00000000-0005-0000-0000-0000D85C0000}"/>
    <cellStyle name="40% - Accent2 3 3 2 4 2 4" xfId="26396" xr:uid="{00000000-0005-0000-0000-0000D95C0000}"/>
    <cellStyle name="40% - Accent2 3 3 2 4 3" xfId="5474" xr:uid="{00000000-0005-0000-0000-0000DA5C0000}"/>
    <cellStyle name="40% - Accent2 3 3 2 4 3 2" xfId="11124" xr:uid="{00000000-0005-0000-0000-0000DB5C0000}"/>
    <cellStyle name="40% - Accent2 3 3 2 4 3 2 2" xfId="22425" xr:uid="{00000000-0005-0000-0000-0000DC5C0000}"/>
    <cellStyle name="40% - Accent2 3 3 2 4 3 2 2 2" xfId="45027" xr:uid="{00000000-0005-0000-0000-0000DD5C0000}"/>
    <cellStyle name="40% - Accent2 3 3 2 4 3 2 3" xfId="33726" xr:uid="{00000000-0005-0000-0000-0000DE5C0000}"/>
    <cellStyle name="40% - Accent2 3 3 2 4 3 3" xfId="16775" xr:uid="{00000000-0005-0000-0000-0000DF5C0000}"/>
    <cellStyle name="40% - Accent2 3 3 2 4 3 3 2" xfId="39377" xr:uid="{00000000-0005-0000-0000-0000E05C0000}"/>
    <cellStyle name="40% - Accent2 3 3 2 4 3 4" xfId="28076" xr:uid="{00000000-0005-0000-0000-0000E15C0000}"/>
    <cellStyle name="40% - Accent2 3 3 2 4 4" xfId="7722" xr:uid="{00000000-0005-0000-0000-0000E25C0000}"/>
    <cellStyle name="40% - Accent2 3 3 2 4 4 2" xfId="19023" xr:uid="{00000000-0005-0000-0000-0000E35C0000}"/>
    <cellStyle name="40% - Accent2 3 3 2 4 4 2 2" xfId="41625" xr:uid="{00000000-0005-0000-0000-0000E45C0000}"/>
    <cellStyle name="40% - Accent2 3 3 2 4 4 3" xfId="30324" xr:uid="{00000000-0005-0000-0000-0000E55C0000}"/>
    <cellStyle name="40% - Accent2 3 3 2 4 5" xfId="13373" xr:uid="{00000000-0005-0000-0000-0000E65C0000}"/>
    <cellStyle name="40% - Accent2 3 3 2 4 5 2" xfId="35975" xr:uid="{00000000-0005-0000-0000-0000E75C0000}"/>
    <cellStyle name="40% - Accent2 3 3 2 4 6" xfId="24674" xr:uid="{00000000-0005-0000-0000-0000E85C0000}"/>
    <cellStyle name="40% - Accent2 3 3 2 5" xfId="2455" xr:uid="{00000000-0005-0000-0000-0000E95C0000}"/>
    <cellStyle name="40% - Accent2 3 3 2 5 2" xfId="8291" xr:uid="{00000000-0005-0000-0000-0000EA5C0000}"/>
    <cellStyle name="40% - Accent2 3 3 2 5 2 2" xfId="19592" xr:uid="{00000000-0005-0000-0000-0000EB5C0000}"/>
    <cellStyle name="40% - Accent2 3 3 2 5 2 2 2" xfId="42194" xr:uid="{00000000-0005-0000-0000-0000EC5C0000}"/>
    <cellStyle name="40% - Accent2 3 3 2 5 2 3" xfId="30893" xr:uid="{00000000-0005-0000-0000-0000ED5C0000}"/>
    <cellStyle name="40% - Accent2 3 3 2 5 3" xfId="13942" xr:uid="{00000000-0005-0000-0000-0000EE5C0000}"/>
    <cellStyle name="40% - Accent2 3 3 2 5 3 2" xfId="36544" xr:uid="{00000000-0005-0000-0000-0000EF5C0000}"/>
    <cellStyle name="40% - Accent2 3 3 2 5 4" xfId="25243" xr:uid="{00000000-0005-0000-0000-0000F05C0000}"/>
    <cellStyle name="40% - Accent2 3 3 2 6" xfId="4240" xr:uid="{00000000-0005-0000-0000-0000F15C0000}"/>
    <cellStyle name="40% - Accent2 3 3 2 6 2" xfId="9890" xr:uid="{00000000-0005-0000-0000-0000F25C0000}"/>
    <cellStyle name="40% - Accent2 3 3 2 6 2 2" xfId="21191" xr:uid="{00000000-0005-0000-0000-0000F35C0000}"/>
    <cellStyle name="40% - Accent2 3 3 2 6 2 2 2" xfId="43793" xr:uid="{00000000-0005-0000-0000-0000F45C0000}"/>
    <cellStyle name="40% - Accent2 3 3 2 6 2 3" xfId="32492" xr:uid="{00000000-0005-0000-0000-0000F55C0000}"/>
    <cellStyle name="40% - Accent2 3 3 2 6 3" xfId="15541" xr:uid="{00000000-0005-0000-0000-0000F65C0000}"/>
    <cellStyle name="40% - Accent2 3 3 2 6 3 2" xfId="38143" xr:uid="{00000000-0005-0000-0000-0000F75C0000}"/>
    <cellStyle name="40% - Accent2 3 3 2 6 4" xfId="26842" xr:uid="{00000000-0005-0000-0000-0000F85C0000}"/>
    <cellStyle name="40% - Accent2 3 3 2 7" xfId="6720" xr:uid="{00000000-0005-0000-0000-0000F95C0000}"/>
    <cellStyle name="40% - Accent2 3 3 2 7 2" xfId="18021" xr:uid="{00000000-0005-0000-0000-0000FA5C0000}"/>
    <cellStyle name="40% - Accent2 3 3 2 7 2 2" xfId="40623" xr:uid="{00000000-0005-0000-0000-0000FB5C0000}"/>
    <cellStyle name="40% - Accent2 3 3 2 7 3" xfId="29322" xr:uid="{00000000-0005-0000-0000-0000FC5C0000}"/>
    <cellStyle name="40% - Accent2 3 3 2 8" xfId="12371" xr:uid="{00000000-0005-0000-0000-0000FD5C0000}"/>
    <cellStyle name="40% - Accent2 3 3 2 8 2" xfId="34973" xr:uid="{00000000-0005-0000-0000-0000FE5C0000}"/>
    <cellStyle name="40% - Accent2 3 3 2 9" xfId="23672" xr:uid="{00000000-0005-0000-0000-0000FF5C0000}"/>
    <cellStyle name="40% - Accent2 3 3 3" xfId="1227" xr:uid="{00000000-0005-0000-0000-0000005D0000}"/>
    <cellStyle name="40% - Accent2 3 3 3 2" xfId="1868" xr:uid="{00000000-0005-0000-0000-0000015D0000}"/>
    <cellStyle name="40% - Accent2 3 3 3 2 2" xfId="3295" xr:uid="{00000000-0005-0000-0000-0000025D0000}"/>
    <cellStyle name="40% - Accent2 3 3 3 2 2 2" xfId="6267" xr:uid="{00000000-0005-0000-0000-0000035D0000}"/>
    <cellStyle name="40% - Accent2 3 3 3 2 2 2 2" xfId="11917" xr:uid="{00000000-0005-0000-0000-0000045D0000}"/>
    <cellStyle name="40% - Accent2 3 3 3 2 2 2 2 2" xfId="23218" xr:uid="{00000000-0005-0000-0000-0000055D0000}"/>
    <cellStyle name="40% - Accent2 3 3 3 2 2 2 2 2 2" xfId="45820" xr:uid="{00000000-0005-0000-0000-0000065D0000}"/>
    <cellStyle name="40% - Accent2 3 3 3 2 2 2 2 3" xfId="34519" xr:uid="{00000000-0005-0000-0000-0000075D0000}"/>
    <cellStyle name="40% - Accent2 3 3 3 2 2 2 3" xfId="17568" xr:uid="{00000000-0005-0000-0000-0000085D0000}"/>
    <cellStyle name="40% - Accent2 3 3 3 2 2 2 3 2" xfId="40170" xr:uid="{00000000-0005-0000-0000-0000095D0000}"/>
    <cellStyle name="40% - Accent2 3 3 3 2 2 2 4" xfId="28869" xr:uid="{00000000-0005-0000-0000-00000A5D0000}"/>
    <cellStyle name="40% - Accent2 3 3 3 2 2 3" xfId="9085" xr:uid="{00000000-0005-0000-0000-00000B5D0000}"/>
    <cellStyle name="40% - Accent2 3 3 3 2 2 3 2" xfId="20386" xr:uid="{00000000-0005-0000-0000-00000C5D0000}"/>
    <cellStyle name="40% - Accent2 3 3 3 2 2 3 2 2" xfId="42988" xr:uid="{00000000-0005-0000-0000-00000D5D0000}"/>
    <cellStyle name="40% - Accent2 3 3 3 2 2 3 3" xfId="31687" xr:uid="{00000000-0005-0000-0000-00000E5D0000}"/>
    <cellStyle name="40% - Accent2 3 3 3 2 2 4" xfId="14736" xr:uid="{00000000-0005-0000-0000-00000F5D0000}"/>
    <cellStyle name="40% - Accent2 3 3 3 2 2 4 2" xfId="37338" xr:uid="{00000000-0005-0000-0000-0000105D0000}"/>
    <cellStyle name="40% - Accent2 3 3 3 2 2 5" xfId="26037" xr:uid="{00000000-0005-0000-0000-0000115D0000}"/>
    <cellStyle name="40% - Accent2 3 3 3 2 3" xfId="5033" xr:uid="{00000000-0005-0000-0000-0000125D0000}"/>
    <cellStyle name="40% - Accent2 3 3 3 2 3 2" xfId="10683" xr:uid="{00000000-0005-0000-0000-0000135D0000}"/>
    <cellStyle name="40% - Accent2 3 3 3 2 3 2 2" xfId="21984" xr:uid="{00000000-0005-0000-0000-0000145D0000}"/>
    <cellStyle name="40% - Accent2 3 3 3 2 3 2 2 2" xfId="44586" xr:uid="{00000000-0005-0000-0000-0000155D0000}"/>
    <cellStyle name="40% - Accent2 3 3 3 2 3 2 3" xfId="33285" xr:uid="{00000000-0005-0000-0000-0000165D0000}"/>
    <cellStyle name="40% - Accent2 3 3 3 2 3 3" xfId="16334" xr:uid="{00000000-0005-0000-0000-0000175D0000}"/>
    <cellStyle name="40% - Accent2 3 3 3 2 3 3 2" xfId="38936" xr:uid="{00000000-0005-0000-0000-0000185D0000}"/>
    <cellStyle name="40% - Accent2 3 3 3 2 3 4" xfId="27635" xr:uid="{00000000-0005-0000-0000-0000195D0000}"/>
    <cellStyle name="40% - Accent2 3 3 3 2 4" xfId="7724" xr:uid="{00000000-0005-0000-0000-00001A5D0000}"/>
    <cellStyle name="40% - Accent2 3 3 3 2 4 2" xfId="19025" xr:uid="{00000000-0005-0000-0000-00001B5D0000}"/>
    <cellStyle name="40% - Accent2 3 3 3 2 4 2 2" xfId="41627" xr:uid="{00000000-0005-0000-0000-00001C5D0000}"/>
    <cellStyle name="40% - Accent2 3 3 3 2 4 3" xfId="30326" xr:uid="{00000000-0005-0000-0000-00001D5D0000}"/>
    <cellStyle name="40% - Accent2 3 3 3 2 5" xfId="13375" xr:uid="{00000000-0005-0000-0000-00001E5D0000}"/>
    <cellStyle name="40% - Accent2 3 3 3 2 5 2" xfId="35977" xr:uid="{00000000-0005-0000-0000-00001F5D0000}"/>
    <cellStyle name="40% - Accent2 3 3 3 2 6" xfId="24676" xr:uid="{00000000-0005-0000-0000-0000205D0000}"/>
    <cellStyle name="40% - Accent2 3 3 3 3" xfId="2624" xr:uid="{00000000-0005-0000-0000-0000215D0000}"/>
    <cellStyle name="40% - Accent2 3 3 3 3 2" xfId="5643" xr:uid="{00000000-0005-0000-0000-0000225D0000}"/>
    <cellStyle name="40% - Accent2 3 3 3 3 2 2" xfId="11293" xr:uid="{00000000-0005-0000-0000-0000235D0000}"/>
    <cellStyle name="40% - Accent2 3 3 3 3 2 2 2" xfId="22594" xr:uid="{00000000-0005-0000-0000-0000245D0000}"/>
    <cellStyle name="40% - Accent2 3 3 3 3 2 2 2 2" xfId="45196" xr:uid="{00000000-0005-0000-0000-0000255D0000}"/>
    <cellStyle name="40% - Accent2 3 3 3 3 2 2 3" xfId="33895" xr:uid="{00000000-0005-0000-0000-0000265D0000}"/>
    <cellStyle name="40% - Accent2 3 3 3 3 2 3" xfId="16944" xr:uid="{00000000-0005-0000-0000-0000275D0000}"/>
    <cellStyle name="40% - Accent2 3 3 3 3 2 3 2" xfId="39546" xr:uid="{00000000-0005-0000-0000-0000285D0000}"/>
    <cellStyle name="40% - Accent2 3 3 3 3 2 4" xfId="28245" xr:uid="{00000000-0005-0000-0000-0000295D0000}"/>
    <cellStyle name="40% - Accent2 3 3 3 3 3" xfId="8460" xr:uid="{00000000-0005-0000-0000-00002A5D0000}"/>
    <cellStyle name="40% - Accent2 3 3 3 3 3 2" xfId="19761" xr:uid="{00000000-0005-0000-0000-00002B5D0000}"/>
    <cellStyle name="40% - Accent2 3 3 3 3 3 2 2" xfId="42363" xr:uid="{00000000-0005-0000-0000-00002C5D0000}"/>
    <cellStyle name="40% - Accent2 3 3 3 3 3 3" xfId="31062" xr:uid="{00000000-0005-0000-0000-00002D5D0000}"/>
    <cellStyle name="40% - Accent2 3 3 3 3 4" xfId="14111" xr:uid="{00000000-0005-0000-0000-00002E5D0000}"/>
    <cellStyle name="40% - Accent2 3 3 3 3 4 2" xfId="36713" xr:uid="{00000000-0005-0000-0000-00002F5D0000}"/>
    <cellStyle name="40% - Accent2 3 3 3 3 5" xfId="25412" xr:uid="{00000000-0005-0000-0000-0000305D0000}"/>
    <cellStyle name="40% - Accent2 3 3 3 4" xfId="4409" xr:uid="{00000000-0005-0000-0000-0000315D0000}"/>
    <cellStyle name="40% - Accent2 3 3 3 4 2" xfId="10059" xr:uid="{00000000-0005-0000-0000-0000325D0000}"/>
    <cellStyle name="40% - Accent2 3 3 3 4 2 2" xfId="21360" xr:uid="{00000000-0005-0000-0000-0000335D0000}"/>
    <cellStyle name="40% - Accent2 3 3 3 4 2 2 2" xfId="43962" xr:uid="{00000000-0005-0000-0000-0000345D0000}"/>
    <cellStyle name="40% - Accent2 3 3 3 4 2 3" xfId="32661" xr:uid="{00000000-0005-0000-0000-0000355D0000}"/>
    <cellStyle name="40% - Accent2 3 3 3 4 3" xfId="15710" xr:uid="{00000000-0005-0000-0000-0000365D0000}"/>
    <cellStyle name="40% - Accent2 3 3 3 4 3 2" xfId="38312" xr:uid="{00000000-0005-0000-0000-0000375D0000}"/>
    <cellStyle name="40% - Accent2 3 3 3 4 4" xfId="27011" xr:uid="{00000000-0005-0000-0000-0000385D0000}"/>
    <cellStyle name="40% - Accent2 3 3 3 5" xfId="7206" xr:uid="{00000000-0005-0000-0000-0000395D0000}"/>
    <cellStyle name="40% - Accent2 3 3 3 5 2" xfId="18507" xr:uid="{00000000-0005-0000-0000-00003A5D0000}"/>
    <cellStyle name="40% - Accent2 3 3 3 5 2 2" xfId="41109" xr:uid="{00000000-0005-0000-0000-00003B5D0000}"/>
    <cellStyle name="40% - Accent2 3 3 3 5 3" xfId="29808" xr:uid="{00000000-0005-0000-0000-00003C5D0000}"/>
    <cellStyle name="40% - Accent2 3 3 3 6" xfId="12857" xr:uid="{00000000-0005-0000-0000-00003D5D0000}"/>
    <cellStyle name="40% - Accent2 3 3 3 6 2" xfId="35459" xr:uid="{00000000-0005-0000-0000-00003E5D0000}"/>
    <cellStyle name="40% - Accent2 3 3 3 7" xfId="24158" xr:uid="{00000000-0005-0000-0000-00003F5D0000}"/>
    <cellStyle name="40% - Accent2 3 3 4" xfId="918" xr:uid="{00000000-0005-0000-0000-0000405D0000}"/>
    <cellStyle name="40% - Accent2 3 3 4 2" xfId="2988" xr:uid="{00000000-0005-0000-0000-0000415D0000}"/>
    <cellStyle name="40% - Accent2 3 3 4 2 2" xfId="5960" xr:uid="{00000000-0005-0000-0000-0000425D0000}"/>
    <cellStyle name="40% - Accent2 3 3 4 2 2 2" xfId="11610" xr:uid="{00000000-0005-0000-0000-0000435D0000}"/>
    <cellStyle name="40% - Accent2 3 3 4 2 2 2 2" xfId="22911" xr:uid="{00000000-0005-0000-0000-0000445D0000}"/>
    <cellStyle name="40% - Accent2 3 3 4 2 2 2 2 2" xfId="45513" xr:uid="{00000000-0005-0000-0000-0000455D0000}"/>
    <cellStyle name="40% - Accent2 3 3 4 2 2 2 3" xfId="34212" xr:uid="{00000000-0005-0000-0000-0000465D0000}"/>
    <cellStyle name="40% - Accent2 3 3 4 2 2 3" xfId="17261" xr:uid="{00000000-0005-0000-0000-0000475D0000}"/>
    <cellStyle name="40% - Accent2 3 3 4 2 2 3 2" xfId="39863" xr:uid="{00000000-0005-0000-0000-0000485D0000}"/>
    <cellStyle name="40% - Accent2 3 3 4 2 2 4" xfId="28562" xr:uid="{00000000-0005-0000-0000-0000495D0000}"/>
    <cellStyle name="40% - Accent2 3 3 4 2 3" xfId="8778" xr:uid="{00000000-0005-0000-0000-00004A5D0000}"/>
    <cellStyle name="40% - Accent2 3 3 4 2 3 2" xfId="20079" xr:uid="{00000000-0005-0000-0000-00004B5D0000}"/>
    <cellStyle name="40% - Accent2 3 3 4 2 3 2 2" xfId="42681" xr:uid="{00000000-0005-0000-0000-00004C5D0000}"/>
    <cellStyle name="40% - Accent2 3 3 4 2 3 3" xfId="31380" xr:uid="{00000000-0005-0000-0000-00004D5D0000}"/>
    <cellStyle name="40% - Accent2 3 3 4 2 4" xfId="14429" xr:uid="{00000000-0005-0000-0000-00004E5D0000}"/>
    <cellStyle name="40% - Accent2 3 3 4 2 4 2" xfId="37031" xr:uid="{00000000-0005-0000-0000-00004F5D0000}"/>
    <cellStyle name="40% - Accent2 3 3 4 2 5" xfId="25730" xr:uid="{00000000-0005-0000-0000-0000505D0000}"/>
    <cellStyle name="40% - Accent2 3 3 4 3" xfId="4726" xr:uid="{00000000-0005-0000-0000-0000515D0000}"/>
    <cellStyle name="40% - Accent2 3 3 4 3 2" xfId="10376" xr:uid="{00000000-0005-0000-0000-0000525D0000}"/>
    <cellStyle name="40% - Accent2 3 3 4 3 2 2" xfId="21677" xr:uid="{00000000-0005-0000-0000-0000535D0000}"/>
    <cellStyle name="40% - Accent2 3 3 4 3 2 2 2" xfId="44279" xr:uid="{00000000-0005-0000-0000-0000545D0000}"/>
    <cellStyle name="40% - Accent2 3 3 4 3 2 3" xfId="32978" xr:uid="{00000000-0005-0000-0000-0000555D0000}"/>
    <cellStyle name="40% - Accent2 3 3 4 3 3" xfId="16027" xr:uid="{00000000-0005-0000-0000-0000565D0000}"/>
    <cellStyle name="40% - Accent2 3 3 4 3 3 2" xfId="38629" xr:uid="{00000000-0005-0000-0000-0000575D0000}"/>
    <cellStyle name="40% - Accent2 3 3 4 3 4" xfId="27328" xr:uid="{00000000-0005-0000-0000-0000585D0000}"/>
    <cellStyle name="40% - Accent2 3 3 4 4" xfId="6913" xr:uid="{00000000-0005-0000-0000-0000595D0000}"/>
    <cellStyle name="40% - Accent2 3 3 4 4 2" xfId="18214" xr:uid="{00000000-0005-0000-0000-00005A5D0000}"/>
    <cellStyle name="40% - Accent2 3 3 4 4 2 2" xfId="40816" xr:uid="{00000000-0005-0000-0000-00005B5D0000}"/>
    <cellStyle name="40% - Accent2 3 3 4 4 3" xfId="29515" xr:uid="{00000000-0005-0000-0000-00005C5D0000}"/>
    <cellStyle name="40% - Accent2 3 3 4 5" xfId="12564" xr:uid="{00000000-0005-0000-0000-00005D5D0000}"/>
    <cellStyle name="40% - Accent2 3 3 4 5 2" xfId="35166" xr:uid="{00000000-0005-0000-0000-00005E5D0000}"/>
    <cellStyle name="40% - Accent2 3 3 4 6" xfId="23865" xr:uid="{00000000-0005-0000-0000-00005F5D0000}"/>
    <cellStyle name="40% - Accent2 3 3 5" xfId="1865" xr:uid="{00000000-0005-0000-0000-0000605D0000}"/>
    <cellStyle name="40% - Accent2 3 3 5 2" xfId="3733" xr:uid="{00000000-0005-0000-0000-0000615D0000}"/>
    <cellStyle name="40% - Accent2 3 3 5 2 2" xfId="9443" xr:uid="{00000000-0005-0000-0000-0000625D0000}"/>
    <cellStyle name="40% - Accent2 3 3 5 2 2 2" xfId="20744" xr:uid="{00000000-0005-0000-0000-0000635D0000}"/>
    <cellStyle name="40% - Accent2 3 3 5 2 2 2 2" xfId="43346" xr:uid="{00000000-0005-0000-0000-0000645D0000}"/>
    <cellStyle name="40% - Accent2 3 3 5 2 2 3" xfId="32045" xr:uid="{00000000-0005-0000-0000-0000655D0000}"/>
    <cellStyle name="40% - Accent2 3 3 5 2 3" xfId="15094" xr:uid="{00000000-0005-0000-0000-0000665D0000}"/>
    <cellStyle name="40% - Accent2 3 3 5 2 3 2" xfId="37696" xr:uid="{00000000-0005-0000-0000-0000675D0000}"/>
    <cellStyle name="40% - Accent2 3 3 5 2 4" xfId="26395" xr:uid="{00000000-0005-0000-0000-0000685D0000}"/>
    <cellStyle name="40% - Accent2 3 3 5 3" xfId="5336" xr:uid="{00000000-0005-0000-0000-0000695D0000}"/>
    <cellStyle name="40% - Accent2 3 3 5 3 2" xfId="10986" xr:uid="{00000000-0005-0000-0000-00006A5D0000}"/>
    <cellStyle name="40% - Accent2 3 3 5 3 2 2" xfId="22287" xr:uid="{00000000-0005-0000-0000-00006B5D0000}"/>
    <cellStyle name="40% - Accent2 3 3 5 3 2 2 2" xfId="44889" xr:uid="{00000000-0005-0000-0000-00006C5D0000}"/>
    <cellStyle name="40% - Accent2 3 3 5 3 2 3" xfId="33588" xr:uid="{00000000-0005-0000-0000-00006D5D0000}"/>
    <cellStyle name="40% - Accent2 3 3 5 3 3" xfId="16637" xr:uid="{00000000-0005-0000-0000-00006E5D0000}"/>
    <cellStyle name="40% - Accent2 3 3 5 3 3 2" xfId="39239" xr:uid="{00000000-0005-0000-0000-00006F5D0000}"/>
    <cellStyle name="40% - Accent2 3 3 5 3 4" xfId="27938" xr:uid="{00000000-0005-0000-0000-0000705D0000}"/>
    <cellStyle name="40% - Accent2 3 3 5 4" xfId="7721" xr:uid="{00000000-0005-0000-0000-0000715D0000}"/>
    <cellStyle name="40% - Accent2 3 3 5 4 2" xfId="19022" xr:uid="{00000000-0005-0000-0000-0000725D0000}"/>
    <cellStyle name="40% - Accent2 3 3 5 4 2 2" xfId="41624" xr:uid="{00000000-0005-0000-0000-0000735D0000}"/>
    <cellStyle name="40% - Accent2 3 3 5 4 3" xfId="30323" xr:uid="{00000000-0005-0000-0000-0000745D0000}"/>
    <cellStyle name="40% - Accent2 3 3 5 5" xfId="13372" xr:uid="{00000000-0005-0000-0000-0000755D0000}"/>
    <cellStyle name="40% - Accent2 3 3 5 5 2" xfId="35974" xr:uid="{00000000-0005-0000-0000-0000765D0000}"/>
    <cellStyle name="40% - Accent2 3 3 5 6" xfId="24673" xr:uid="{00000000-0005-0000-0000-0000775D0000}"/>
    <cellStyle name="40% - Accent2 3 3 6" xfId="2315" xr:uid="{00000000-0005-0000-0000-0000785D0000}"/>
    <cellStyle name="40% - Accent2 3 3 6 2" xfId="8151" xr:uid="{00000000-0005-0000-0000-0000795D0000}"/>
    <cellStyle name="40% - Accent2 3 3 6 2 2" xfId="19452" xr:uid="{00000000-0005-0000-0000-00007A5D0000}"/>
    <cellStyle name="40% - Accent2 3 3 6 2 2 2" xfId="42054" xr:uid="{00000000-0005-0000-0000-00007B5D0000}"/>
    <cellStyle name="40% - Accent2 3 3 6 2 3" xfId="30753" xr:uid="{00000000-0005-0000-0000-00007C5D0000}"/>
    <cellStyle name="40% - Accent2 3 3 6 3" xfId="13802" xr:uid="{00000000-0005-0000-0000-00007D5D0000}"/>
    <cellStyle name="40% - Accent2 3 3 6 3 2" xfId="36404" xr:uid="{00000000-0005-0000-0000-00007E5D0000}"/>
    <cellStyle name="40% - Accent2 3 3 6 4" xfId="25103" xr:uid="{00000000-0005-0000-0000-00007F5D0000}"/>
    <cellStyle name="40% - Accent2 3 3 7" xfId="4102" xr:uid="{00000000-0005-0000-0000-0000805D0000}"/>
    <cellStyle name="40% - Accent2 3 3 7 2" xfId="9752" xr:uid="{00000000-0005-0000-0000-0000815D0000}"/>
    <cellStyle name="40% - Accent2 3 3 7 2 2" xfId="21053" xr:uid="{00000000-0005-0000-0000-0000825D0000}"/>
    <cellStyle name="40% - Accent2 3 3 7 2 2 2" xfId="43655" xr:uid="{00000000-0005-0000-0000-0000835D0000}"/>
    <cellStyle name="40% - Accent2 3 3 7 2 3" xfId="32354" xr:uid="{00000000-0005-0000-0000-0000845D0000}"/>
    <cellStyle name="40% - Accent2 3 3 7 3" xfId="15403" xr:uid="{00000000-0005-0000-0000-0000855D0000}"/>
    <cellStyle name="40% - Accent2 3 3 7 3 2" xfId="38005" xr:uid="{00000000-0005-0000-0000-0000865D0000}"/>
    <cellStyle name="40% - Accent2 3 3 7 4" xfId="26704" xr:uid="{00000000-0005-0000-0000-0000875D0000}"/>
    <cellStyle name="40% - Accent2 3 3 8" xfId="6553" xr:uid="{00000000-0005-0000-0000-0000885D0000}"/>
    <cellStyle name="40% - Accent2 3 3 8 2" xfId="17854" xr:uid="{00000000-0005-0000-0000-0000895D0000}"/>
    <cellStyle name="40% - Accent2 3 3 8 2 2" xfId="40456" xr:uid="{00000000-0005-0000-0000-00008A5D0000}"/>
    <cellStyle name="40% - Accent2 3 3 8 3" xfId="29155" xr:uid="{00000000-0005-0000-0000-00008B5D0000}"/>
    <cellStyle name="40% - Accent2 3 3 9" xfId="12204" xr:uid="{00000000-0005-0000-0000-00008C5D0000}"/>
    <cellStyle name="40% - Accent2 3 3 9 2" xfId="34806" xr:uid="{00000000-0005-0000-0000-00008D5D0000}"/>
    <cellStyle name="40% - Accent2 3 4" xfId="548" xr:uid="{00000000-0005-0000-0000-00008E5D0000}"/>
    <cellStyle name="40% - Accent2 3 4 2" xfId="1131" xr:uid="{00000000-0005-0000-0000-00008F5D0000}"/>
    <cellStyle name="40% - Accent2 3 4 2 2" xfId="1870" xr:uid="{00000000-0005-0000-0000-0000905D0000}"/>
    <cellStyle name="40% - Accent2 3 4 2 2 2" xfId="3198" xr:uid="{00000000-0005-0000-0000-0000915D0000}"/>
    <cellStyle name="40% - Accent2 3 4 2 2 2 2" xfId="6170" xr:uid="{00000000-0005-0000-0000-0000925D0000}"/>
    <cellStyle name="40% - Accent2 3 4 2 2 2 2 2" xfId="11820" xr:uid="{00000000-0005-0000-0000-0000935D0000}"/>
    <cellStyle name="40% - Accent2 3 4 2 2 2 2 2 2" xfId="23121" xr:uid="{00000000-0005-0000-0000-0000945D0000}"/>
    <cellStyle name="40% - Accent2 3 4 2 2 2 2 2 2 2" xfId="45723" xr:uid="{00000000-0005-0000-0000-0000955D0000}"/>
    <cellStyle name="40% - Accent2 3 4 2 2 2 2 2 3" xfId="34422" xr:uid="{00000000-0005-0000-0000-0000965D0000}"/>
    <cellStyle name="40% - Accent2 3 4 2 2 2 2 3" xfId="17471" xr:uid="{00000000-0005-0000-0000-0000975D0000}"/>
    <cellStyle name="40% - Accent2 3 4 2 2 2 2 3 2" xfId="40073" xr:uid="{00000000-0005-0000-0000-0000985D0000}"/>
    <cellStyle name="40% - Accent2 3 4 2 2 2 2 4" xfId="28772" xr:uid="{00000000-0005-0000-0000-0000995D0000}"/>
    <cellStyle name="40% - Accent2 3 4 2 2 2 3" xfId="8988" xr:uid="{00000000-0005-0000-0000-00009A5D0000}"/>
    <cellStyle name="40% - Accent2 3 4 2 2 2 3 2" xfId="20289" xr:uid="{00000000-0005-0000-0000-00009B5D0000}"/>
    <cellStyle name="40% - Accent2 3 4 2 2 2 3 2 2" xfId="42891" xr:uid="{00000000-0005-0000-0000-00009C5D0000}"/>
    <cellStyle name="40% - Accent2 3 4 2 2 2 3 3" xfId="31590" xr:uid="{00000000-0005-0000-0000-00009D5D0000}"/>
    <cellStyle name="40% - Accent2 3 4 2 2 2 4" xfId="14639" xr:uid="{00000000-0005-0000-0000-00009E5D0000}"/>
    <cellStyle name="40% - Accent2 3 4 2 2 2 4 2" xfId="37241" xr:uid="{00000000-0005-0000-0000-00009F5D0000}"/>
    <cellStyle name="40% - Accent2 3 4 2 2 2 5" xfId="25940" xr:uid="{00000000-0005-0000-0000-0000A05D0000}"/>
    <cellStyle name="40% - Accent2 3 4 2 2 3" xfId="4936" xr:uid="{00000000-0005-0000-0000-0000A15D0000}"/>
    <cellStyle name="40% - Accent2 3 4 2 2 3 2" xfId="10586" xr:uid="{00000000-0005-0000-0000-0000A25D0000}"/>
    <cellStyle name="40% - Accent2 3 4 2 2 3 2 2" xfId="21887" xr:uid="{00000000-0005-0000-0000-0000A35D0000}"/>
    <cellStyle name="40% - Accent2 3 4 2 2 3 2 2 2" xfId="44489" xr:uid="{00000000-0005-0000-0000-0000A45D0000}"/>
    <cellStyle name="40% - Accent2 3 4 2 2 3 2 3" xfId="33188" xr:uid="{00000000-0005-0000-0000-0000A55D0000}"/>
    <cellStyle name="40% - Accent2 3 4 2 2 3 3" xfId="16237" xr:uid="{00000000-0005-0000-0000-0000A65D0000}"/>
    <cellStyle name="40% - Accent2 3 4 2 2 3 3 2" xfId="38839" xr:uid="{00000000-0005-0000-0000-0000A75D0000}"/>
    <cellStyle name="40% - Accent2 3 4 2 2 3 4" xfId="27538" xr:uid="{00000000-0005-0000-0000-0000A85D0000}"/>
    <cellStyle name="40% - Accent2 3 4 2 2 4" xfId="7726" xr:uid="{00000000-0005-0000-0000-0000A95D0000}"/>
    <cellStyle name="40% - Accent2 3 4 2 2 4 2" xfId="19027" xr:uid="{00000000-0005-0000-0000-0000AA5D0000}"/>
    <cellStyle name="40% - Accent2 3 4 2 2 4 2 2" xfId="41629" xr:uid="{00000000-0005-0000-0000-0000AB5D0000}"/>
    <cellStyle name="40% - Accent2 3 4 2 2 4 3" xfId="30328" xr:uid="{00000000-0005-0000-0000-0000AC5D0000}"/>
    <cellStyle name="40% - Accent2 3 4 2 2 5" xfId="13377" xr:uid="{00000000-0005-0000-0000-0000AD5D0000}"/>
    <cellStyle name="40% - Accent2 3 4 2 2 5 2" xfId="35979" xr:uid="{00000000-0005-0000-0000-0000AE5D0000}"/>
    <cellStyle name="40% - Accent2 3 4 2 2 6" xfId="24678" xr:uid="{00000000-0005-0000-0000-0000AF5D0000}"/>
    <cellStyle name="40% - Accent2 3 4 2 3" xfId="2527" xr:uid="{00000000-0005-0000-0000-0000B05D0000}"/>
    <cellStyle name="40% - Accent2 3 4 2 3 2" xfId="5546" xr:uid="{00000000-0005-0000-0000-0000B15D0000}"/>
    <cellStyle name="40% - Accent2 3 4 2 3 2 2" xfId="11196" xr:uid="{00000000-0005-0000-0000-0000B25D0000}"/>
    <cellStyle name="40% - Accent2 3 4 2 3 2 2 2" xfId="22497" xr:uid="{00000000-0005-0000-0000-0000B35D0000}"/>
    <cellStyle name="40% - Accent2 3 4 2 3 2 2 2 2" xfId="45099" xr:uid="{00000000-0005-0000-0000-0000B45D0000}"/>
    <cellStyle name="40% - Accent2 3 4 2 3 2 2 3" xfId="33798" xr:uid="{00000000-0005-0000-0000-0000B55D0000}"/>
    <cellStyle name="40% - Accent2 3 4 2 3 2 3" xfId="16847" xr:uid="{00000000-0005-0000-0000-0000B65D0000}"/>
    <cellStyle name="40% - Accent2 3 4 2 3 2 3 2" xfId="39449" xr:uid="{00000000-0005-0000-0000-0000B75D0000}"/>
    <cellStyle name="40% - Accent2 3 4 2 3 2 4" xfId="28148" xr:uid="{00000000-0005-0000-0000-0000B85D0000}"/>
    <cellStyle name="40% - Accent2 3 4 2 3 3" xfId="8363" xr:uid="{00000000-0005-0000-0000-0000B95D0000}"/>
    <cellStyle name="40% - Accent2 3 4 2 3 3 2" xfId="19664" xr:uid="{00000000-0005-0000-0000-0000BA5D0000}"/>
    <cellStyle name="40% - Accent2 3 4 2 3 3 2 2" xfId="42266" xr:uid="{00000000-0005-0000-0000-0000BB5D0000}"/>
    <cellStyle name="40% - Accent2 3 4 2 3 3 3" xfId="30965" xr:uid="{00000000-0005-0000-0000-0000BC5D0000}"/>
    <cellStyle name="40% - Accent2 3 4 2 3 4" xfId="14014" xr:uid="{00000000-0005-0000-0000-0000BD5D0000}"/>
    <cellStyle name="40% - Accent2 3 4 2 3 4 2" xfId="36616" xr:uid="{00000000-0005-0000-0000-0000BE5D0000}"/>
    <cellStyle name="40% - Accent2 3 4 2 3 5" xfId="25315" xr:uid="{00000000-0005-0000-0000-0000BF5D0000}"/>
    <cellStyle name="40% - Accent2 3 4 2 4" xfId="4312" xr:uid="{00000000-0005-0000-0000-0000C05D0000}"/>
    <cellStyle name="40% - Accent2 3 4 2 4 2" xfId="9962" xr:uid="{00000000-0005-0000-0000-0000C15D0000}"/>
    <cellStyle name="40% - Accent2 3 4 2 4 2 2" xfId="21263" xr:uid="{00000000-0005-0000-0000-0000C25D0000}"/>
    <cellStyle name="40% - Accent2 3 4 2 4 2 2 2" xfId="43865" xr:uid="{00000000-0005-0000-0000-0000C35D0000}"/>
    <cellStyle name="40% - Accent2 3 4 2 4 2 3" xfId="32564" xr:uid="{00000000-0005-0000-0000-0000C45D0000}"/>
    <cellStyle name="40% - Accent2 3 4 2 4 3" xfId="15613" xr:uid="{00000000-0005-0000-0000-0000C55D0000}"/>
    <cellStyle name="40% - Accent2 3 4 2 4 3 2" xfId="38215" xr:uid="{00000000-0005-0000-0000-0000C65D0000}"/>
    <cellStyle name="40% - Accent2 3 4 2 4 4" xfId="26914" xr:uid="{00000000-0005-0000-0000-0000C75D0000}"/>
    <cellStyle name="40% - Accent2 3 4 2 5" xfId="7110" xr:uid="{00000000-0005-0000-0000-0000C85D0000}"/>
    <cellStyle name="40% - Accent2 3 4 2 5 2" xfId="18411" xr:uid="{00000000-0005-0000-0000-0000C95D0000}"/>
    <cellStyle name="40% - Accent2 3 4 2 5 2 2" xfId="41013" xr:uid="{00000000-0005-0000-0000-0000CA5D0000}"/>
    <cellStyle name="40% - Accent2 3 4 2 5 3" xfId="29712" xr:uid="{00000000-0005-0000-0000-0000CB5D0000}"/>
    <cellStyle name="40% - Accent2 3 4 2 6" xfId="12761" xr:uid="{00000000-0005-0000-0000-0000CC5D0000}"/>
    <cellStyle name="40% - Accent2 3 4 2 6 2" xfId="35363" xr:uid="{00000000-0005-0000-0000-0000CD5D0000}"/>
    <cellStyle name="40% - Accent2 3 4 2 7" xfId="24062" xr:uid="{00000000-0005-0000-0000-0000CE5D0000}"/>
    <cellStyle name="40% - Accent2 3 4 3" xfId="802" xr:uid="{00000000-0005-0000-0000-0000CF5D0000}"/>
    <cellStyle name="40% - Accent2 3 4 3 2" xfId="2892" xr:uid="{00000000-0005-0000-0000-0000D05D0000}"/>
    <cellStyle name="40% - Accent2 3 4 3 2 2" xfId="5864" xr:uid="{00000000-0005-0000-0000-0000D15D0000}"/>
    <cellStyle name="40% - Accent2 3 4 3 2 2 2" xfId="11514" xr:uid="{00000000-0005-0000-0000-0000D25D0000}"/>
    <cellStyle name="40% - Accent2 3 4 3 2 2 2 2" xfId="22815" xr:uid="{00000000-0005-0000-0000-0000D35D0000}"/>
    <cellStyle name="40% - Accent2 3 4 3 2 2 2 2 2" xfId="45417" xr:uid="{00000000-0005-0000-0000-0000D45D0000}"/>
    <cellStyle name="40% - Accent2 3 4 3 2 2 2 3" xfId="34116" xr:uid="{00000000-0005-0000-0000-0000D55D0000}"/>
    <cellStyle name="40% - Accent2 3 4 3 2 2 3" xfId="17165" xr:uid="{00000000-0005-0000-0000-0000D65D0000}"/>
    <cellStyle name="40% - Accent2 3 4 3 2 2 3 2" xfId="39767" xr:uid="{00000000-0005-0000-0000-0000D75D0000}"/>
    <cellStyle name="40% - Accent2 3 4 3 2 2 4" xfId="28466" xr:uid="{00000000-0005-0000-0000-0000D85D0000}"/>
    <cellStyle name="40% - Accent2 3 4 3 2 3" xfId="8682" xr:uid="{00000000-0005-0000-0000-0000D95D0000}"/>
    <cellStyle name="40% - Accent2 3 4 3 2 3 2" xfId="19983" xr:uid="{00000000-0005-0000-0000-0000DA5D0000}"/>
    <cellStyle name="40% - Accent2 3 4 3 2 3 2 2" xfId="42585" xr:uid="{00000000-0005-0000-0000-0000DB5D0000}"/>
    <cellStyle name="40% - Accent2 3 4 3 2 3 3" xfId="31284" xr:uid="{00000000-0005-0000-0000-0000DC5D0000}"/>
    <cellStyle name="40% - Accent2 3 4 3 2 4" xfId="14333" xr:uid="{00000000-0005-0000-0000-0000DD5D0000}"/>
    <cellStyle name="40% - Accent2 3 4 3 2 4 2" xfId="36935" xr:uid="{00000000-0005-0000-0000-0000DE5D0000}"/>
    <cellStyle name="40% - Accent2 3 4 3 2 5" xfId="25634" xr:uid="{00000000-0005-0000-0000-0000DF5D0000}"/>
    <cellStyle name="40% - Accent2 3 4 3 3" xfId="4630" xr:uid="{00000000-0005-0000-0000-0000E05D0000}"/>
    <cellStyle name="40% - Accent2 3 4 3 3 2" xfId="10280" xr:uid="{00000000-0005-0000-0000-0000E15D0000}"/>
    <cellStyle name="40% - Accent2 3 4 3 3 2 2" xfId="21581" xr:uid="{00000000-0005-0000-0000-0000E25D0000}"/>
    <cellStyle name="40% - Accent2 3 4 3 3 2 2 2" xfId="44183" xr:uid="{00000000-0005-0000-0000-0000E35D0000}"/>
    <cellStyle name="40% - Accent2 3 4 3 3 2 3" xfId="32882" xr:uid="{00000000-0005-0000-0000-0000E45D0000}"/>
    <cellStyle name="40% - Accent2 3 4 3 3 3" xfId="15931" xr:uid="{00000000-0005-0000-0000-0000E55D0000}"/>
    <cellStyle name="40% - Accent2 3 4 3 3 3 2" xfId="38533" xr:uid="{00000000-0005-0000-0000-0000E65D0000}"/>
    <cellStyle name="40% - Accent2 3 4 3 3 4" xfId="27232" xr:uid="{00000000-0005-0000-0000-0000E75D0000}"/>
    <cellStyle name="40% - Accent2 3 4 3 4" xfId="6813" xr:uid="{00000000-0005-0000-0000-0000E85D0000}"/>
    <cellStyle name="40% - Accent2 3 4 3 4 2" xfId="18114" xr:uid="{00000000-0005-0000-0000-0000E95D0000}"/>
    <cellStyle name="40% - Accent2 3 4 3 4 2 2" xfId="40716" xr:uid="{00000000-0005-0000-0000-0000EA5D0000}"/>
    <cellStyle name="40% - Accent2 3 4 3 4 3" xfId="29415" xr:uid="{00000000-0005-0000-0000-0000EB5D0000}"/>
    <cellStyle name="40% - Accent2 3 4 3 5" xfId="12464" xr:uid="{00000000-0005-0000-0000-0000EC5D0000}"/>
    <cellStyle name="40% - Accent2 3 4 3 5 2" xfId="35066" xr:uid="{00000000-0005-0000-0000-0000ED5D0000}"/>
    <cellStyle name="40% - Accent2 3 4 3 6" xfId="23765" xr:uid="{00000000-0005-0000-0000-0000EE5D0000}"/>
    <cellStyle name="40% - Accent2 3 4 4" xfId="1869" xr:uid="{00000000-0005-0000-0000-0000EF5D0000}"/>
    <cellStyle name="40% - Accent2 3 4 4 2" xfId="3735" xr:uid="{00000000-0005-0000-0000-0000F05D0000}"/>
    <cellStyle name="40% - Accent2 3 4 4 2 2" xfId="9445" xr:uid="{00000000-0005-0000-0000-0000F15D0000}"/>
    <cellStyle name="40% - Accent2 3 4 4 2 2 2" xfId="20746" xr:uid="{00000000-0005-0000-0000-0000F25D0000}"/>
    <cellStyle name="40% - Accent2 3 4 4 2 2 2 2" xfId="43348" xr:uid="{00000000-0005-0000-0000-0000F35D0000}"/>
    <cellStyle name="40% - Accent2 3 4 4 2 2 3" xfId="32047" xr:uid="{00000000-0005-0000-0000-0000F45D0000}"/>
    <cellStyle name="40% - Accent2 3 4 4 2 3" xfId="15096" xr:uid="{00000000-0005-0000-0000-0000F55D0000}"/>
    <cellStyle name="40% - Accent2 3 4 4 2 3 2" xfId="37698" xr:uid="{00000000-0005-0000-0000-0000F65D0000}"/>
    <cellStyle name="40% - Accent2 3 4 4 2 4" xfId="26397" xr:uid="{00000000-0005-0000-0000-0000F75D0000}"/>
    <cellStyle name="40% - Accent2 3 4 4 3" xfId="5240" xr:uid="{00000000-0005-0000-0000-0000F85D0000}"/>
    <cellStyle name="40% - Accent2 3 4 4 3 2" xfId="10890" xr:uid="{00000000-0005-0000-0000-0000F95D0000}"/>
    <cellStyle name="40% - Accent2 3 4 4 3 2 2" xfId="22191" xr:uid="{00000000-0005-0000-0000-0000FA5D0000}"/>
    <cellStyle name="40% - Accent2 3 4 4 3 2 2 2" xfId="44793" xr:uid="{00000000-0005-0000-0000-0000FB5D0000}"/>
    <cellStyle name="40% - Accent2 3 4 4 3 2 3" xfId="33492" xr:uid="{00000000-0005-0000-0000-0000FC5D0000}"/>
    <cellStyle name="40% - Accent2 3 4 4 3 3" xfId="16541" xr:uid="{00000000-0005-0000-0000-0000FD5D0000}"/>
    <cellStyle name="40% - Accent2 3 4 4 3 3 2" xfId="39143" xr:uid="{00000000-0005-0000-0000-0000FE5D0000}"/>
    <cellStyle name="40% - Accent2 3 4 4 3 4" xfId="27842" xr:uid="{00000000-0005-0000-0000-0000FF5D0000}"/>
    <cellStyle name="40% - Accent2 3 4 4 4" xfId="7725" xr:uid="{00000000-0005-0000-0000-0000005E0000}"/>
    <cellStyle name="40% - Accent2 3 4 4 4 2" xfId="19026" xr:uid="{00000000-0005-0000-0000-0000015E0000}"/>
    <cellStyle name="40% - Accent2 3 4 4 4 2 2" xfId="41628" xr:uid="{00000000-0005-0000-0000-0000025E0000}"/>
    <cellStyle name="40% - Accent2 3 4 4 4 3" xfId="30327" xr:uid="{00000000-0005-0000-0000-0000035E0000}"/>
    <cellStyle name="40% - Accent2 3 4 4 5" xfId="13376" xr:uid="{00000000-0005-0000-0000-0000045E0000}"/>
    <cellStyle name="40% - Accent2 3 4 4 5 2" xfId="35978" xr:uid="{00000000-0005-0000-0000-0000055E0000}"/>
    <cellStyle name="40% - Accent2 3 4 4 6" xfId="24677" xr:uid="{00000000-0005-0000-0000-0000065E0000}"/>
    <cellStyle name="40% - Accent2 3 4 5" xfId="2212" xr:uid="{00000000-0005-0000-0000-0000075E0000}"/>
    <cellStyle name="40% - Accent2 3 4 5 2" xfId="8054" xr:uid="{00000000-0005-0000-0000-0000085E0000}"/>
    <cellStyle name="40% - Accent2 3 4 5 2 2" xfId="19355" xr:uid="{00000000-0005-0000-0000-0000095E0000}"/>
    <cellStyle name="40% - Accent2 3 4 5 2 2 2" xfId="41957" xr:uid="{00000000-0005-0000-0000-00000A5E0000}"/>
    <cellStyle name="40% - Accent2 3 4 5 2 3" xfId="30656" xr:uid="{00000000-0005-0000-0000-00000B5E0000}"/>
    <cellStyle name="40% - Accent2 3 4 5 3" xfId="13705" xr:uid="{00000000-0005-0000-0000-00000C5E0000}"/>
    <cellStyle name="40% - Accent2 3 4 5 3 2" xfId="36307" xr:uid="{00000000-0005-0000-0000-00000D5E0000}"/>
    <cellStyle name="40% - Accent2 3 4 5 4" xfId="25006" xr:uid="{00000000-0005-0000-0000-00000E5E0000}"/>
    <cellStyle name="40% - Accent2 3 4 6" xfId="4006" xr:uid="{00000000-0005-0000-0000-00000F5E0000}"/>
    <cellStyle name="40% - Accent2 3 4 6 2" xfId="9656" xr:uid="{00000000-0005-0000-0000-0000105E0000}"/>
    <cellStyle name="40% - Accent2 3 4 6 2 2" xfId="20957" xr:uid="{00000000-0005-0000-0000-0000115E0000}"/>
    <cellStyle name="40% - Accent2 3 4 6 2 2 2" xfId="43559" xr:uid="{00000000-0005-0000-0000-0000125E0000}"/>
    <cellStyle name="40% - Accent2 3 4 6 2 3" xfId="32258" xr:uid="{00000000-0005-0000-0000-0000135E0000}"/>
    <cellStyle name="40% - Accent2 3 4 6 3" xfId="15307" xr:uid="{00000000-0005-0000-0000-0000145E0000}"/>
    <cellStyle name="40% - Accent2 3 4 6 3 2" xfId="37909" xr:uid="{00000000-0005-0000-0000-0000155E0000}"/>
    <cellStyle name="40% - Accent2 3 4 6 4" xfId="26608" xr:uid="{00000000-0005-0000-0000-0000165E0000}"/>
    <cellStyle name="40% - Accent2 3 4 7" xfId="6624" xr:uid="{00000000-0005-0000-0000-0000175E0000}"/>
    <cellStyle name="40% - Accent2 3 4 7 2" xfId="17925" xr:uid="{00000000-0005-0000-0000-0000185E0000}"/>
    <cellStyle name="40% - Accent2 3 4 7 2 2" xfId="40527" xr:uid="{00000000-0005-0000-0000-0000195E0000}"/>
    <cellStyle name="40% - Accent2 3 4 7 3" xfId="29226" xr:uid="{00000000-0005-0000-0000-00001A5E0000}"/>
    <cellStyle name="40% - Accent2 3 4 8" xfId="12275" xr:uid="{00000000-0005-0000-0000-00001B5E0000}"/>
    <cellStyle name="40% - Accent2 3 4 8 2" xfId="34877" xr:uid="{00000000-0005-0000-0000-00001C5E0000}"/>
    <cellStyle name="40% - Accent2 3 4 9" xfId="23576" xr:uid="{00000000-0005-0000-0000-00001D5E0000}"/>
    <cellStyle name="40% - Accent2 3 5" xfId="456" xr:uid="{00000000-0005-0000-0000-00001E5E0000}"/>
    <cellStyle name="40% - Accent2 3 6" xfId="1434" xr:uid="{00000000-0005-0000-0000-00001F5E0000}"/>
    <cellStyle name="40% - Accent2 3 7" xfId="6457" xr:uid="{00000000-0005-0000-0000-0000205E0000}"/>
    <cellStyle name="40% - Accent2 3 7 2" xfId="17758" xr:uid="{00000000-0005-0000-0000-0000215E0000}"/>
    <cellStyle name="40% - Accent2 3 7 2 2" xfId="40360" xr:uid="{00000000-0005-0000-0000-0000225E0000}"/>
    <cellStyle name="40% - Accent2 3 7 3" xfId="29059" xr:uid="{00000000-0005-0000-0000-0000235E0000}"/>
    <cellStyle name="40% - Accent2 3 8" xfId="12108" xr:uid="{00000000-0005-0000-0000-0000245E0000}"/>
    <cellStyle name="40% - Accent2 3 8 2" xfId="34710" xr:uid="{00000000-0005-0000-0000-0000255E0000}"/>
    <cellStyle name="40% - Accent2 3 9" xfId="23409" xr:uid="{00000000-0005-0000-0000-0000265E0000}"/>
    <cellStyle name="40% - Accent2 4" xfId="239" xr:uid="{00000000-0005-0000-0000-0000275E0000}"/>
    <cellStyle name="40% - Accent2 4 10" xfId="3992" xr:uid="{00000000-0005-0000-0000-0000285E0000}"/>
    <cellStyle name="40% - Accent2 4 10 2" xfId="9642" xr:uid="{00000000-0005-0000-0000-0000295E0000}"/>
    <cellStyle name="40% - Accent2 4 10 2 2" xfId="20943" xr:uid="{00000000-0005-0000-0000-00002A5E0000}"/>
    <cellStyle name="40% - Accent2 4 10 2 2 2" xfId="43545" xr:uid="{00000000-0005-0000-0000-00002B5E0000}"/>
    <cellStyle name="40% - Accent2 4 10 2 3" xfId="32244" xr:uid="{00000000-0005-0000-0000-00002C5E0000}"/>
    <cellStyle name="40% - Accent2 4 10 3" xfId="15293" xr:uid="{00000000-0005-0000-0000-00002D5E0000}"/>
    <cellStyle name="40% - Accent2 4 10 3 2" xfId="37895" xr:uid="{00000000-0005-0000-0000-00002E5E0000}"/>
    <cellStyle name="40% - Accent2 4 10 4" xfId="26594" xr:uid="{00000000-0005-0000-0000-00002F5E0000}"/>
    <cellStyle name="40% - Accent2 4 11" xfId="6471" xr:uid="{00000000-0005-0000-0000-0000305E0000}"/>
    <cellStyle name="40% - Accent2 4 11 2" xfId="17772" xr:uid="{00000000-0005-0000-0000-0000315E0000}"/>
    <cellStyle name="40% - Accent2 4 11 2 2" xfId="40374" xr:uid="{00000000-0005-0000-0000-0000325E0000}"/>
    <cellStyle name="40% - Accent2 4 11 3" xfId="29073" xr:uid="{00000000-0005-0000-0000-0000335E0000}"/>
    <cellStyle name="40% - Accent2 4 12" xfId="12122" xr:uid="{00000000-0005-0000-0000-0000345E0000}"/>
    <cellStyle name="40% - Accent2 4 12 2" xfId="34724" xr:uid="{00000000-0005-0000-0000-0000355E0000}"/>
    <cellStyle name="40% - Accent2 4 13" xfId="23423" xr:uid="{00000000-0005-0000-0000-0000365E0000}"/>
    <cellStyle name="40% - Accent2 4 2" xfId="362" xr:uid="{00000000-0005-0000-0000-0000375E0000}"/>
    <cellStyle name="40% - Accent2 4 2 10" xfId="23470" xr:uid="{00000000-0005-0000-0000-0000385E0000}"/>
    <cellStyle name="40% - Accent2 4 2 2" xfId="620" xr:uid="{00000000-0005-0000-0000-0000395E0000}"/>
    <cellStyle name="40% - Accent2 4 2 2 2" xfId="1330" xr:uid="{00000000-0005-0000-0000-00003A5E0000}"/>
    <cellStyle name="40% - Accent2 4 2 2 2 2" xfId="1874" xr:uid="{00000000-0005-0000-0000-00003B5E0000}"/>
    <cellStyle name="40% - Accent2 4 2 2 2 2 2" xfId="3399" xr:uid="{00000000-0005-0000-0000-00003C5E0000}"/>
    <cellStyle name="40% - Accent2 4 2 2 2 2 2 2" xfId="6371" xr:uid="{00000000-0005-0000-0000-00003D5E0000}"/>
    <cellStyle name="40% - Accent2 4 2 2 2 2 2 2 2" xfId="12021" xr:uid="{00000000-0005-0000-0000-00003E5E0000}"/>
    <cellStyle name="40% - Accent2 4 2 2 2 2 2 2 2 2" xfId="23322" xr:uid="{00000000-0005-0000-0000-00003F5E0000}"/>
    <cellStyle name="40% - Accent2 4 2 2 2 2 2 2 2 2 2" xfId="45924" xr:uid="{00000000-0005-0000-0000-0000405E0000}"/>
    <cellStyle name="40% - Accent2 4 2 2 2 2 2 2 2 3" xfId="34623" xr:uid="{00000000-0005-0000-0000-0000415E0000}"/>
    <cellStyle name="40% - Accent2 4 2 2 2 2 2 2 3" xfId="17672" xr:uid="{00000000-0005-0000-0000-0000425E0000}"/>
    <cellStyle name="40% - Accent2 4 2 2 2 2 2 2 3 2" xfId="40274" xr:uid="{00000000-0005-0000-0000-0000435E0000}"/>
    <cellStyle name="40% - Accent2 4 2 2 2 2 2 2 4" xfId="28973" xr:uid="{00000000-0005-0000-0000-0000445E0000}"/>
    <cellStyle name="40% - Accent2 4 2 2 2 2 2 3" xfId="9189" xr:uid="{00000000-0005-0000-0000-0000455E0000}"/>
    <cellStyle name="40% - Accent2 4 2 2 2 2 2 3 2" xfId="20490" xr:uid="{00000000-0005-0000-0000-0000465E0000}"/>
    <cellStyle name="40% - Accent2 4 2 2 2 2 2 3 2 2" xfId="43092" xr:uid="{00000000-0005-0000-0000-0000475E0000}"/>
    <cellStyle name="40% - Accent2 4 2 2 2 2 2 3 3" xfId="31791" xr:uid="{00000000-0005-0000-0000-0000485E0000}"/>
    <cellStyle name="40% - Accent2 4 2 2 2 2 2 4" xfId="14840" xr:uid="{00000000-0005-0000-0000-0000495E0000}"/>
    <cellStyle name="40% - Accent2 4 2 2 2 2 2 4 2" xfId="37442" xr:uid="{00000000-0005-0000-0000-00004A5E0000}"/>
    <cellStyle name="40% - Accent2 4 2 2 2 2 2 5" xfId="26141" xr:uid="{00000000-0005-0000-0000-00004B5E0000}"/>
    <cellStyle name="40% - Accent2 4 2 2 2 2 3" xfId="5137" xr:uid="{00000000-0005-0000-0000-00004C5E0000}"/>
    <cellStyle name="40% - Accent2 4 2 2 2 2 3 2" xfId="10787" xr:uid="{00000000-0005-0000-0000-00004D5E0000}"/>
    <cellStyle name="40% - Accent2 4 2 2 2 2 3 2 2" xfId="22088" xr:uid="{00000000-0005-0000-0000-00004E5E0000}"/>
    <cellStyle name="40% - Accent2 4 2 2 2 2 3 2 2 2" xfId="44690" xr:uid="{00000000-0005-0000-0000-00004F5E0000}"/>
    <cellStyle name="40% - Accent2 4 2 2 2 2 3 2 3" xfId="33389" xr:uid="{00000000-0005-0000-0000-0000505E0000}"/>
    <cellStyle name="40% - Accent2 4 2 2 2 2 3 3" xfId="16438" xr:uid="{00000000-0005-0000-0000-0000515E0000}"/>
    <cellStyle name="40% - Accent2 4 2 2 2 2 3 3 2" xfId="39040" xr:uid="{00000000-0005-0000-0000-0000525E0000}"/>
    <cellStyle name="40% - Accent2 4 2 2 2 2 3 4" xfId="27739" xr:uid="{00000000-0005-0000-0000-0000535E0000}"/>
    <cellStyle name="40% - Accent2 4 2 2 2 2 4" xfId="7730" xr:uid="{00000000-0005-0000-0000-0000545E0000}"/>
    <cellStyle name="40% - Accent2 4 2 2 2 2 4 2" xfId="19031" xr:uid="{00000000-0005-0000-0000-0000555E0000}"/>
    <cellStyle name="40% - Accent2 4 2 2 2 2 4 2 2" xfId="41633" xr:uid="{00000000-0005-0000-0000-0000565E0000}"/>
    <cellStyle name="40% - Accent2 4 2 2 2 2 4 3" xfId="30332" xr:uid="{00000000-0005-0000-0000-0000575E0000}"/>
    <cellStyle name="40% - Accent2 4 2 2 2 2 5" xfId="13381" xr:uid="{00000000-0005-0000-0000-0000585E0000}"/>
    <cellStyle name="40% - Accent2 4 2 2 2 2 5 2" xfId="35983" xr:uid="{00000000-0005-0000-0000-0000595E0000}"/>
    <cellStyle name="40% - Accent2 4 2 2 2 2 6" xfId="24682" xr:uid="{00000000-0005-0000-0000-00005A5E0000}"/>
    <cellStyle name="40% - Accent2 4 2 2 2 3" xfId="2728" xr:uid="{00000000-0005-0000-0000-00005B5E0000}"/>
    <cellStyle name="40% - Accent2 4 2 2 2 3 2" xfId="5747" xr:uid="{00000000-0005-0000-0000-00005C5E0000}"/>
    <cellStyle name="40% - Accent2 4 2 2 2 3 2 2" xfId="11397" xr:uid="{00000000-0005-0000-0000-00005D5E0000}"/>
    <cellStyle name="40% - Accent2 4 2 2 2 3 2 2 2" xfId="22698" xr:uid="{00000000-0005-0000-0000-00005E5E0000}"/>
    <cellStyle name="40% - Accent2 4 2 2 2 3 2 2 2 2" xfId="45300" xr:uid="{00000000-0005-0000-0000-00005F5E0000}"/>
    <cellStyle name="40% - Accent2 4 2 2 2 3 2 2 3" xfId="33999" xr:uid="{00000000-0005-0000-0000-0000605E0000}"/>
    <cellStyle name="40% - Accent2 4 2 2 2 3 2 3" xfId="17048" xr:uid="{00000000-0005-0000-0000-0000615E0000}"/>
    <cellStyle name="40% - Accent2 4 2 2 2 3 2 3 2" xfId="39650" xr:uid="{00000000-0005-0000-0000-0000625E0000}"/>
    <cellStyle name="40% - Accent2 4 2 2 2 3 2 4" xfId="28349" xr:uid="{00000000-0005-0000-0000-0000635E0000}"/>
    <cellStyle name="40% - Accent2 4 2 2 2 3 3" xfId="8564" xr:uid="{00000000-0005-0000-0000-0000645E0000}"/>
    <cellStyle name="40% - Accent2 4 2 2 2 3 3 2" xfId="19865" xr:uid="{00000000-0005-0000-0000-0000655E0000}"/>
    <cellStyle name="40% - Accent2 4 2 2 2 3 3 2 2" xfId="42467" xr:uid="{00000000-0005-0000-0000-0000665E0000}"/>
    <cellStyle name="40% - Accent2 4 2 2 2 3 3 3" xfId="31166" xr:uid="{00000000-0005-0000-0000-0000675E0000}"/>
    <cellStyle name="40% - Accent2 4 2 2 2 3 4" xfId="14215" xr:uid="{00000000-0005-0000-0000-0000685E0000}"/>
    <cellStyle name="40% - Accent2 4 2 2 2 3 4 2" xfId="36817" xr:uid="{00000000-0005-0000-0000-0000695E0000}"/>
    <cellStyle name="40% - Accent2 4 2 2 2 3 5" xfId="25516" xr:uid="{00000000-0005-0000-0000-00006A5E0000}"/>
    <cellStyle name="40% - Accent2 4 2 2 2 4" xfId="4513" xr:uid="{00000000-0005-0000-0000-00006B5E0000}"/>
    <cellStyle name="40% - Accent2 4 2 2 2 4 2" xfId="10163" xr:uid="{00000000-0005-0000-0000-00006C5E0000}"/>
    <cellStyle name="40% - Accent2 4 2 2 2 4 2 2" xfId="21464" xr:uid="{00000000-0005-0000-0000-00006D5E0000}"/>
    <cellStyle name="40% - Accent2 4 2 2 2 4 2 2 2" xfId="44066" xr:uid="{00000000-0005-0000-0000-00006E5E0000}"/>
    <cellStyle name="40% - Accent2 4 2 2 2 4 2 3" xfId="32765" xr:uid="{00000000-0005-0000-0000-00006F5E0000}"/>
    <cellStyle name="40% - Accent2 4 2 2 2 4 3" xfId="15814" xr:uid="{00000000-0005-0000-0000-0000705E0000}"/>
    <cellStyle name="40% - Accent2 4 2 2 2 4 3 2" xfId="38416" xr:uid="{00000000-0005-0000-0000-0000715E0000}"/>
    <cellStyle name="40% - Accent2 4 2 2 2 4 4" xfId="27115" xr:uid="{00000000-0005-0000-0000-0000725E0000}"/>
    <cellStyle name="40% - Accent2 4 2 2 2 5" xfId="7309" xr:uid="{00000000-0005-0000-0000-0000735E0000}"/>
    <cellStyle name="40% - Accent2 4 2 2 2 5 2" xfId="18610" xr:uid="{00000000-0005-0000-0000-0000745E0000}"/>
    <cellStyle name="40% - Accent2 4 2 2 2 5 2 2" xfId="41212" xr:uid="{00000000-0005-0000-0000-0000755E0000}"/>
    <cellStyle name="40% - Accent2 4 2 2 2 5 3" xfId="29911" xr:uid="{00000000-0005-0000-0000-0000765E0000}"/>
    <cellStyle name="40% - Accent2 4 2 2 2 6" xfId="12960" xr:uid="{00000000-0005-0000-0000-0000775E0000}"/>
    <cellStyle name="40% - Accent2 4 2 2 2 6 2" xfId="35562" xr:uid="{00000000-0005-0000-0000-0000785E0000}"/>
    <cellStyle name="40% - Accent2 4 2 2 2 7" xfId="24261" xr:uid="{00000000-0005-0000-0000-0000795E0000}"/>
    <cellStyle name="40% - Accent2 4 2 2 3" xfId="1028" xr:uid="{00000000-0005-0000-0000-00007A5E0000}"/>
    <cellStyle name="40% - Accent2 4 2 2 3 2" xfId="3091" xr:uid="{00000000-0005-0000-0000-00007B5E0000}"/>
    <cellStyle name="40% - Accent2 4 2 2 3 2 2" xfId="6063" xr:uid="{00000000-0005-0000-0000-00007C5E0000}"/>
    <cellStyle name="40% - Accent2 4 2 2 3 2 2 2" xfId="11713" xr:uid="{00000000-0005-0000-0000-00007D5E0000}"/>
    <cellStyle name="40% - Accent2 4 2 2 3 2 2 2 2" xfId="23014" xr:uid="{00000000-0005-0000-0000-00007E5E0000}"/>
    <cellStyle name="40% - Accent2 4 2 2 3 2 2 2 2 2" xfId="45616" xr:uid="{00000000-0005-0000-0000-00007F5E0000}"/>
    <cellStyle name="40% - Accent2 4 2 2 3 2 2 2 3" xfId="34315" xr:uid="{00000000-0005-0000-0000-0000805E0000}"/>
    <cellStyle name="40% - Accent2 4 2 2 3 2 2 3" xfId="17364" xr:uid="{00000000-0005-0000-0000-0000815E0000}"/>
    <cellStyle name="40% - Accent2 4 2 2 3 2 2 3 2" xfId="39966" xr:uid="{00000000-0005-0000-0000-0000825E0000}"/>
    <cellStyle name="40% - Accent2 4 2 2 3 2 2 4" xfId="28665" xr:uid="{00000000-0005-0000-0000-0000835E0000}"/>
    <cellStyle name="40% - Accent2 4 2 2 3 2 3" xfId="8881" xr:uid="{00000000-0005-0000-0000-0000845E0000}"/>
    <cellStyle name="40% - Accent2 4 2 2 3 2 3 2" xfId="20182" xr:uid="{00000000-0005-0000-0000-0000855E0000}"/>
    <cellStyle name="40% - Accent2 4 2 2 3 2 3 2 2" xfId="42784" xr:uid="{00000000-0005-0000-0000-0000865E0000}"/>
    <cellStyle name="40% - Accent2 4 2 2 3 2 3 3" xfId="31483" xr:uid="{00000000-0005-0000-0000-0000875E0000}"/>
    <cellStyle name="40% - Accent2 4 2 2 3 2 4" xfId="14532" xr:uid="{00000000-0005-0000-0000-0000885E0000}"/>
    <cellStyle name="40% - Accent2 4 2 2 3 2 4 2" xfId="37134" xr:uid="{00000000-0005-0000-0000-0000895E0000}"/>
    <cellStyle name="40% - Accent2 4 2 2 3 2 5" xfId="25833" xr:uid="{00000000-0005-0000-0000-00008A5E0000}"/>
    <cellStyle name="40% - Accent2 4 2 2 3 3" xfId="4829" xr:uid="{00000000-0005-0000-0000-00008B5E0000}"/>
    <cellStyle name="40% - Accent2 4 2 2 3 3 2" xfId="10479" xr:uid="{00000000-0005-0000-0000-00008C5E0000}"/>
    <cellStyle name="40% - Accent2 4 2 2 3 3 2 2" xfId="21780" xr:uid="{00000000-0005-0000-0000-00008D5E0000}"/>
    <cellStyle name="40% - Accent2 4 2 2 3 3 2 2 2" xfId="44382" xr:uid="{00000000-0005-0000-0000-00008E5E0000}"/>
    <cellStyle name="40% - Accent2 4 2 2 3 3 2 3" xfId="33081" xr:uid="{00000000-0005-0000-0000-00008F5E0000}"/>
    <cellStyle name="40% - Accent2 4 2 2 3 3 3" xfId="16130" xr:uid="{00000000-0005-0000-0000-0000905E0000}"/>
    <cellStyle name="40% - Accent2 4 2 2 3 3 3 2" xfId="38732" xr:uid="{00000000-0005-0000-0000-0000915E0000}"/>
    <cellStyle name="40% - Accent2 4 2 2 3 3 4" xfId="27431" xr:uid="{00000000-0005-0000-0000-0000925E0000}"/>
    <cellStyle name="40% - Accent2 4 2 2 3 4" xfId="7016" xr:uid="{00000000-0005-0000-0000-0000935E0000}"/>
    <cellStyle name="40% - Accent2 4 2 2 3 4 2" xfId="18317" xr:uid="{00000000-0005-0000-0000-0000945E0000}"/>
    <cellStyle name="40% - Accent2 4 2 2 3 4 2 2" xfId="40919" xr:uid="{00000000-0005-0000-0000-0000955E0000}"/>
    <cellStyle name="40% - Accent2 4 2 2 3 4 3" xfId="29618" xr:uid="{00000000-0005-0000-0000-0000965E0000}"/>
    <cellStyle name="40% - Accent2 4 2 2 3 5" xfId="12667" xr:uid="{00000000-0005-0000-0000-0000975E0000}"/>
    <cellStyle name="40% - Accent2 4 2 2 3 5 2" xfId="35269" xr:uid="{00000000-0005-0000-0000-0000985E0000}"/>
    <cellStyle name="40% - Accent2 4 2 2 3 6" xfId="23968" xr:uid="{00000000-0005-0000-0000-0000995E0000}"/>
    <cellStyle name="40% - Accent2 4 2 2 4" xfId="1873" xr:uid="{00000000-0005-0000-0000-00009A5E0000}"/>
    <cellStyle name="40% - Accent2 4 2 2 4 2" xfId="3738" xr:uid="{00000000-0005-0000-0000-00009B5E0000}"/>
    <cellStyle name="40% - Accent2 4 2 2 4 2 2" xfId="9448" xr:uid="{00000000-0005-0000-0000-00009C5E0000}"/>
    <cellStyle name="40% - Accent2 4 2 2 4 2 2 2" xfId="20749" xr:uid="{00000000-0005-0000-0000-00009D5E0000}"/>
    <cellStyle name="40% - Accent2 4 2 2 4 2 2 2 2" xfId="43351" xr:uid="{00000000-0005-0000-0000-00009E5E0000}"/>
    <cellStyle name="40% - Accent2 4 2 2 4 2 2 3" xfId="32050" xr:uid="{00000000-0005-0000-0000-00009F5E0000}"/>
    <cellStyle name="40% - Accent2 4 2 2 4 2 3" xfId="15099" xr:uid="{00000000-0005-0000-0000-0000A05E0000}"/>
    <cellStyle name="40% - Accent2 4 2 2 4 2 3 2" xfId="37701" xr:uid="{00000000-0005-0000-0000-0000A15E0000}"/>
    <cellStyle name="40% - Accent2 4 2 2 4 2 4" xfId="26400" xr:uid="{00000000-0005-0000-0000-0000A25E0000}"/>
    <cellStyle name="40% - Accent2 4 2 2 4 3" xfId="5439" xr:uid="{00000000-0005-0000-0000-0000A35E0000}"/>
    <cellStyle name="40% - Accent2 4 2 2 4 3 2" xfId="11089" xr:uid="{00000000-0005-0000-0000-0000A45E0000}"/>
    <cellStyle name="40% - Accent2 4 2 2 4 3 2 2" xfId="22390" xr:uid="{00000000-0005-0000-0000-0000A55E0000}"/>
    <cellStyle name="40% - Accent2 4 2 2 4 3 2 2 2" xfId="44992" xr:uid="{00000000-0005-0000-0000-0000A65E0000}"/>
    <cellStyle name="40% - Accent2 4 2 2 4 3 2 3" xfId="33691" xr:uid="{00000000-0005-0000-0000-0000A75E0000}"/>
    <cellStyle name="40% - Accent2 4 2 2 4 3 3" xfId="16740" xr:uid="{00000000-0005-0000-0000-0000A85E0000}"/>
    <cellStyle name="40% - Accent2 4 2 2 4 3 3 2" xfId="39342" xr:uid="{00000000-0005-0000-0000-0000A95E0000}"/>
    <cellStyle name="40% - Accent2 4 2 2 4 3 4" xfId="28041" xr:uid="{00000000-0005-0000-0000-0000AA5E0000}"/>
    <cellStyle name="40% - Accent2 4 2 2 4 4" xfId="7729" xr:uid="{00000000-0005-0000-0000-0000AB5E0000}"/>
    <cellStyle name="40% - Accent2 4 2 2 4 4 2" xfId="19030" xr:uid="{00000000-0005-0000-0000-0000AC5E0000}"/>
    <cellStyle name="40% - Accent2 4 2 2 4 4 2 2" xfId="41632" xr:uid="{00000000-0005-0000-0000-0000AD5E0000}"/>
    <cellStyle name="40% - Accent2 4 2 2 4 4 3" xfId="30331" xr:uid="{00000000-0005-0000-0000-0000AE5E0000}"/>
    <cellStyle name="40% - Accent2 4 2 2 4 5" xfId="13380" xr:uid="{00000000-0005-0000-0000-0000AF5E0000}"/>
    <cellStyle name="40% - Accent2 4 2 2 4 5 2" xfId="35982" xr:uid="{00000000-0005-0000-0000-0000B05E0000}"/>
    <cellStyle name="40% - Accent2 4 2 2 4 6" xfId="24681" xr:uid="{00000000-0005-0000-0000-0000B15E0000}"/>
    <cellStyle name="40% - Accent2 4 2 2 5" xfId="2420" xr:uid="{00000000-0005-0000-0000-0000B25E0000}"/>
    <cellStyle name="40% - Accent2 4 2 2 5 2" xfId="8256" xr:uid="{00000000-0005-0000-0000-0000B35E0000}"/>
    <cellStyle name="40% - Accent2 4 2 2 5 2 2" xfId="19557" xr:uid="{00000000-0005-0000-0000-0000B45E0000}"/>
    <cellStyle name="40% - Accent2 4 2 2 5 2 2 2" xfId="42159" xr:uid="{00000000-0005-0000-0000-0000B55E0000}"/>
    <cellStyle name="40% - Accent2 4 2 2 5 2 3" xfId="30858" xr:uid="{00000000-0005-0000-0000-0000B65E0000}"/>
    <cellStyle name="40% - Accent2 4 2 2 5 3" xfId="13907" xr:uid="{00000000-0005-0000-0000-0000B75E0000}"/>
    <cellStyle name="40% - Accent2 4 2 2 5 3 2" xfId="36509" xr:uid="{00000000-0005-0000-0000-0000B85E0000}"/>
    <cellStyle name="40% - Accent2 4 2 2 5 4" xfId="25208" xr:uid="{00000000-0005-0000-0000-0000B95E0000}"/>
    <cellStyle name="40% - Accent2 4 2 2 6" xfId="4205" xr:uid="{00000000-0005-0000-0000-0000BA5E0000}"/>
    <cellStyle name="40% - Accent2 4 2 2 6 2" xfId="9855" xr:uid="{00000000-0005-0000-0000-0000BB5E0000}"/>
    <cellStyle name="40% - Accent2 4 2 2 6 2 2" xfId="21156" xr:uid="{00000000-0005-0000-0000-0000BC5E0000}"/>
    <cellStyle name="40% - Accent2 4 2 2 6 2 2 2" xfId="43758" xr:uid="{00000000-0005-0000-0000-0000BD5E0000}"/>
    <cellStyle name="40% - Accent2 4 2 2 6 2 3" xfId="32457" xr:uid="{00000000-0005-0000-0000-0000BE5E0000}"/>
    <cellStyle name="40% - Accent2 4 2 2 6 3" xfId="15506" xr:uid="{00000000-0005-0000-0000-0000BF5E0000}"/>
    <cellStyle name="40% - Accent2 4 2 2 6 3 2" xfId="38108" xr:uid="{00000000-0005-0000-0000-0000C05E0000}"/>
    <cellStyle name="40% - Accent2 4 2 2 6 4" xfId="26807" xr:uid="{00000000-0005-0000-0000-0000C15E0000}"/>
    <cellStyle name="40% - Accent2 4 2 2 7" xfId="6685" xr:uid="{00000000-0005-0000-0000-0000C25E0000}"/>
    <cellStyle name="40% - Accent2 4 2 2 7 2" xfId="17986" xr:uid="{00000000-0005-0000-0000-0000C35E0000}"/>
    <cellStyle name="40% - Accent2 4 2 2 7 2 2" xfId="40588" xr:uid="{00000000-0005-0000-0000-0000C45E0000}"/>
    <cellStyle name="40% - Accent2 4 2 2 7 3" xfId="29287" xr:uid="{00000000-0005-0000-0000-0000C55E0000}"/>
    <cellStyle name="40% - Accent2 4 2 2 8" xfId="12336" xr:uid="{00000000-0005-0000-0000-0000C65E0000}"/>
    <cellStyle name="40% - Accent2 4 2 2 8 2" xfId="34938" xr:uid="{00000000-0005-0000-0000-0000C75E0000}"/>
    <cellStyle name="40% - Accent2 4 2 2 9" xfId="23637" xr:uid="{00000000-0005-0000-0000-0000C85E0000}"/>
    <cellStyle name="40% - Accent2 4 2 3" xfId="1192" xr:uid="{00000000-0005-0000-0000-0000C95E0000}"/>
    <cellStyle name="40% - Accent2 4 2 3 2" xfId="1875" xr:uid="{00000000-0005-0000-0000-0000CA5E0000}"/>
    <cellStyle name="40% - Accent2 4 2 3 2 2" xfId="3260" xr:uid="{00000000-0005-0000-0000-0000CB5E0000}"/>
    <cellStyle name="40% - Accent2 4 2 3 2 2 2" xfId="6232" xr:uid="{00000000-0005-0000-0000-0000CC5E0000}"/>
    <cellStyle name="40% - Accent2 4 2 3 2 2 2 2" xfId="11882" xr:uid="{00000000-0005-0000-0000-0000CD5E0000}"/>
    <cellStyle name="40% - Accent2 4 2 3 2 2 2 2 2" xfId="23183" xr:uid="{00000000-0005-0000-0000-0000CE5E0000}"/>
    <cellStyle name="40% - Accent2 4 2 3 2 2 2 2 2 2" xfId="45785" xr:uid="{00000000-0005-0000-0000-0000CF5E0000}"/>
    <cellStyle name="40% - Accent2 4 2 3 2 2 2 2 3" xfId="34484" xr:uid="{00000000-0005-0000-0000-0000D05E0000}"/>
    <cellStyle name="40% - Accent2 4 2 3 2 2 2 3" xfId="17533" xr:uid="{00000000-0005-0000-0000-0000D15E0000}"/>
    <cellStyle name="40% - Accent2 4 2 3 2 2 2 3 2" xfId="40135" xr:uid="{00000000-0005-0000-0000-0000D25E0000}"/>
    <cellStyle name="40% - Accent2 4 2 3 2 2 2 4" xfId="28834" xr:uid="{00000000-0005-0000-0000-0000D35E0000}"/>
    <cellStyle name="40% - Accent2 4 2 3 2 2 3" xfId="9050" xr:uid="{00000000-0005-0000-0000-0000D45E0000}"/>
    <cellStyle name="40% - Accent2 4 2 3 2 2 3 2" xfId="20351" xr:uid="{00000000-0005-0000-0000-0000D55E0000}"/>
    <cellStyle name="40% - Accent2 4 2 3 2 2 3 2 2" xfId="42953" xr:uid="{00000000-0005-0000-0000-0000D65E0000}"/>
    <cellStyle name="40% - Accent2 4 2 3 2 2 3 3" xfId="31652" xr:uid="{00000000-0005-0000-0000-0000D75E0000}"/>
    <cellStyle name="40% - Accent2 4 2 3 2 2 4" xfId="14701" xr:uid="{00000000-0005-0000-0000-0000D85E0000}"/>
    <cellStyle name="40% - Accent2 4 2 3 2 2 4 2" xfId="37303" xr:uid="{00000000-0005-0000-0000-0000D95E0000}"/>
    <cellStyle name="40% - Accent2 4 2 3 2 2 5" xfId="26002" xr:uid="{00000000-0005-0000-0000-0000DA5E0000}"/>
    <cellStyle name="40% - Accent2 4 2 3 2 3" xfId="4998" xr:uid="{00000000-0005-0000-0000-0000DB5E0000}"/>
    <cellStyle name="40% - Accent2 4 2 3 2 3 2" xfId="10648" xr:uid="{00000000-0005-0000-0000-0000DC5E0000}"/>
    <cellStyle name="40% - Accent2 4 2 3 2 3 2 2" xfId="21949" xr:uid="{00000000-0005-0000-0000-0000DD5E0000}"/>
    <cellStyle name="40% - Accent2 4 2 3 2 3 2 2 2" xfId="44551" xr:uid="{00000000-0005-0000-0000-0000DE5E0000}"/>
    <cellStyle name="40% - Accent2 4 2 3 2 3 2 3" xfId="33250" xr:uid="{00000000-0005-0000-0000-0000DF5E0000}"/>
    <cellStyle name="40% - Accent2 4 2 3 2 3 3" xfId="16299" xr:uid="{00000000-0005-0000-0000-0000E05E0000}"/>
    <cellStyle name="40% - Accent2 4 2 3 2 3 3 2" xfId="38901" xr:uid="{00000000-0005-0000-0000-0000E15E0000}"/>
    <cellStyle name="40% - Accent2 4 2 3 2 3 4" xfId="27600" xr:uid="{00000000-0005-0000-0000-0000E25E0000}"/>
    <cellStyle name="40% - Accent2 4 2 3 2 4" xfId="7731" xr:uid="{00000000-0005-0000-0000-0000E35E0000}"/>
    <cellStyle name="40% - Accent2 4 2 3 2 4 2" xfId="19032" xr:uid="{00000000-0005-0000-0000-0000E45E0000}"/>
    <cellStyle name="40% - Accent2 4 2 3 2 4 2 2" xfId="41634" xr:uid="{00000000-0005-0000-0000-0000E55E0000}"/>
    <cellStyle name="40% - Accent2 4 2 3 2 4 3" xfId="30333" xr:uid="{00000000-0005-0000-0000-0000E65E0000}"/>
    <cellStyle name="40% - Accent2 4 2 3 2 5" xfId="13382" xr:uid="{00000000-0005-0000-0000-0000E75E0000}"/>
    <cellStyle name="40% - Accent2 4 2 3 2 5 2" xfId="35984" xr:uid="{00000000-0005-0000-0000-0000E85E0000}"/>
    <cellStyle name="40% - Accent2 4 2 3 2 6" xfId="24683" xr:uid="{00000000-0005-0000-0000-0000E95E0000}"/>
    <cellStyle name="40% - Accent2 4 2 3 3" xfId="2589" xr:uid="{00000000-0005-0000-0000-0000EA5E0000}"/>
    <cellStyle name="40% - Accent2 4 2 3 3 2" xfId="5608" xr:uid="{00000000-0005-0000-0000-0000EB5E0000}"/>
    <cellStyle name="40% - Accent2 4 2 3 3 2 2" xfId="11258" xr:uid="{00000000-0005-0000-0000-0000EC5E0000}"/>
    <cellStyle name="40% - Accent2 4 2 3 3 2 2 2" xfId="22559" xr:uid="{00000000-0005-0000-0000-0000ED5E0000}"/>
    <cellStyle name="40% - Accent2 4 2 3 3 2 2 2 2" xfId="45161" xr:uid="{00000000-0005-0000-0000-0000EE5E0000}"/>
    <cellStyle name="40% - Accent2 4 2 3 3 2 2 3" xfId="33860" xr:uid="{00000000-0005-0000-0000-0000EF5E0000}"/>
    <cellStyle name="40% - Accent2 4 2 3 3 2 3" xfId="16909" xr:uid="{00000000-0005-0000-0000-0000F05E0000}"/>
    <cellStyle name="40% - Accent2 4 2 3 3 2 3 2" xfId="39511" xr:uid="{00000000-0005-0000-0000-0000F15E0000}"/>
    <cellStyle name="40% - Accent2 4 2 3 3 2 4" xfId="28210" xr:uid="{00000000-0005-0000-0000-0000F25E0000}"/>
    <cellStyle name="40% - Accent2 4 2 3 3 3" xfId="8425" xr:uid="{00000000-0005-0000-0000-0000F35E0000}"/>
    <cellStyle name="40% - Accent2 4 2 3 3 3 2" xfId="19726" xr:uid="{00000000-0005-0000-0000-0000F45E0000}"/>
    <cellStyle name="40% - Accent2 4 2 3 3 3 2 2" xfId="42328" xr:uid="{00000000-0005-0000-0000-0000F55E0000}"/>
    <cellStyle name="40% - Accent2 4 2 3 3 3 3" xfId="31027" xr:uid="{00000000-0005-0000-0000-0000F65E0000}"/>
    <cellStyle name="40% - Accent2 4 2 3 3 4" xfId="14076" xr:uid="{00000000-0005-0000-0000-0000F75E0000}"/>
    <cellStyle name="40% - Accent2 4 2 3 3 4 2" xfId="36678" xr:uid="{00000000-0005-0000-0000-0000F85E0000}"/>
    <cellStyle name="40% - Accent2 4 2 3 3 5" xfId="25377" xr:uid="{00000000-0005-0000-0000-0000F95E0000}"/>
    <cellStyle name="40% - Accent2 4 2 3 4" xfId="4374" xr:uid="{00000000-0005-0000-0000-0000FA5E0000}"/>
    <cellStyle name="40% - Accent2 4 2 3 4 2" xfId="10024" xr:uid="{00000000-0005-0000-0000-0000FB5E0000}"/>
    <cellStyle name="40% - Accent2 4 2 3 4 2 2" xfId="21325" xr:uid="{00000000-0005-0000-0000-0000FC5E0000}"/>
    <cellStyle name="40% - Accent2 4 2 3 4 2 2 2" xfId="43927" xr:uid="{00000000-0005-0000-0000-0000FD5E0000}"/>
    <cellStyle name="40% - Accent2 4 2 3 4 2 3" xfId="32626" xr:uid="{00000000-0005-0000-0000-0000FE5E0000}"/>
    <cellStyle name="40% - Accent2 4 2 3 4 3" xfId="15675" xr:uid="{00000000-0005-0000-0000-0000FF5E0000}"/>
    <cellStyle name="40% - Accent2 4 2 3 4 3 2" xfId="38277" xr:uid="{00000000-0005-0000-0000-0000005F0000}"/>
    <cellStyle name="40% - Accent2 4 2 3 4 4" xfId="26976" xr:uid="{00000000-0005-0000-0000-0000015F0000}"/>
    <cellStyle name="40% - Accent2 4 2 3 5" xfId="7171" xr:uid="{00000000-0005-0000-0000-0000025F0000}"/>
    <cellStyle name="40% - Accent2 4 2 3 5 2" xfId="18472" xr:uid="{00000000-0005-0000-0000-0000035F0000}"/>
    <cellStyle name="40% - Accent2 4 2 3 5 2 2" xfId="41074" xr:uid="{00000000-0005-0000-0000-0000045F0000}"/>
    <cellStyle name="40% - Accent2 4 2 3 5 3" xfId="29773" xr:uid="{00000000-0005-0000-0000-0000055F0000}"/>
    <cellStyle name="40% - Accent2 4 2 3 6" xfId="12822" xr:uid="{00000000-0005-0000-0000-0000065F0000}"/>
    <cellStyle name="40% - Accent2 4 2 3 6 2" xfId="35424" xr:uid="{00000000-0005-0000-0000-0000075F0000}"/>
    <cellStyle name="40% - Accent2 4 2 3 7" xfId="24123" xr:uid="{00000000-0005-0000-0000-0000085F0000}"/>
    <cellStyle name="40% - Accent2 4 2 4" xfId="882" xr:uid="{00000000-0005-0000-0000-0000095F0000}"/>
    <cellStyle name="40% - Accent2 4 2 4 2" xfId="2953" xr:uid="{00000000-0005-0000-0000-00000A5F0000}"/>
    <cellStyle name="40% - Accent2 4 2 4 2 2" xfId="5925" xr:uid="{00000000-0005-0000-0000-00000B5F0000}"/>
    <cellStyle name="40% - Accent2 4 2 4 2 2 2" xfId="11575" xr:uid="{00000000-0005-0000-0000-00000C5F0000}"/>
    <cellStyle name="40% - Accent2 4 2 4 2 2 2 2" xfId="22876" xr:uid="{00000000-0005-0000-0000-00000D5F0000}"/>
    <cellStyle name="40% - Accent2 4 2 4 2 2 2 2 2" xfId="45478" xr:uid="{00000000-0005-0000-0000-00000E5F0000}"/>
    <cellStyle name="40% - Accent2 4 2 4 2 2 2 3" xfId="34177" xr:uid="{00000000-0005-0000-0000-00000F5F0000}"/>
    <cellStyle name="40% - Accent2 4 2 4 2 2 3" xfId="17226" xr:uid="{00000000-0005-0000-0000-0000105F0000}"/>
    <cellStyle name="40% - Accent2 4 2 4 2 2 3 2" xfId="39828" xr:uid="{00000000-0005-0000-0000-0000115F0000}"/>
    <cellStyle name="40% - Accent2 4 2 4 2 2 4" xfId="28527" xr:uid="{00000000-0005-0000-0000-0000125F0000}"/>
    <cellStyle name="40% - Accent2 4 2 4 2 3" xfId="8743" xr:uid="{00000000-0005-0000-0000-0000135F0000}"/>
    <cellStyle name="40% - Accent2 4 2 4 2 3 2" xfId="20044" xr:uid="{00000000-0005-0000-0000-0000145F0000}"/>
    <cellStyle name="40% - Accent2 4 2 4 2 3 2 2" xfId="42646" xr:uid="{00000000-0005-0000-0000-0000155F0000}"/>
    <cellStyle name="40% - Accent2 4 2 4 2 3 3" xfId="31345" xr:uid="{00000000-0005-0000-0000-0000165F0000}"/>
    <cellStyle name="40% - Accent2 4 2 4 2 4" xfId="14394" xr:uid="{00000000-0005-0000-0000-0000175F0000}"/>
    <cellStyle name="40% - Accent2 4 2 4 2 4 2" xfId="36996" xr:uid="{00000000-0005-0000-0000-0000185F0000}"/>
    <cellStyle name="40% - Accent2 4 2 4 2 5" xfId="25695" xr:uid="{00000000-0005-0000-0000-0000195F0000}"/>
    <cellStyle name="40% - Accent2 4 2 4 3" xfId="4691" xr:uid="{00000000-0005-0000-0000-00001A5F0000}"/>
    <cellStyle name="40% - Accent2 4 2 4 3 2" xfId="10341" xr:uid="{00000000-0005-0000-0000-00001B5F0000}"/>
    <cellStyle name="40% - Accent2 4 2 4 3 2 2" xfId="21642" xr:uid="{00000000-0005-0000-0000-00001C5F0000}"/>
    <cellStyle name="40% - Accent2 4 2 4 3 2 2 2" xfId="44244" xr:uid="{00000000-0005-0000-0000-00001D5F0000}"/>
    <cellStyle name="40% - Accent2 4 2 4 3 2 3" xfId="32943" xr:uid="{00000000-0005-0000-0000-00001E5F0000}"/>
    <cellStyle name="40% - Accent2 4 2 4 3 3" xfId="15992" xr:uid="{00000000-0005-0000-0000-00001F5F0000}"/>
    <cellStyle name="40% - Accent2 4 2 4 3 3 2" xfId="38594" xr:uid="{00000000-0005-0000-0000-0000205F0000}"/>
    <cellStyle name="40% - Accent2 4 2 4 3 4" xfId="27293" xr:uid="{00000000-0005-0000-0000-0000215F0000}"/>
    <cellStyle name="40% - Accent2 4 2 4 4" xfId="6878" xr:uid="{00000000-0005-0000-0000-0000225F0000}"/>
    <cellStyle name="40% - Accent2 4 2 4 4 2" xfId="18179" xr:uid="{00000000-0005-0000-0000-0000235F0000}"/>
    <cellStyle name="40% - Accent2 4 2 4 4 2 2" xfId="40781" xr:uid="{00000000-0005-0000-0000-0000245F0000}"/>
    <cellStyle name="40% - Accent2 4 2 4 4 3" xfId="29480" xr:uid="{00000000-0005-0000-0000-0000255F0000}"/>
    <cellStyle name="40% - Accent2 4 2 4 5" xfId="12529" xr:uid="{00000000-0005-0000-0000-0000265F0000}"/>
    <cellStyle name="40% - Accent2 4 2 4 5 2" xfId="35131" xr:uid="{00000000-0005-0000-0000-0000275F0000}"/>
    <cellStyle name="40% - Accent2 4 2 4 6" xfId="23830" xr:uid="{00000000-0005-0000-0000-0000285F0000}"/>
    <cellStyle name="40% - Accent2 4 2 5" xfId="1872" xr:uid="{00000000-0005-0000-0000-0000295F0000}"/>
    <cellStyle name="40% - Accent2 4 2 5 2" xfId="3737" xr:uid="{00000000-0005-0000-0000-00002A5F0000}"/>
    <cellStyle name="40% - Accent2 4 2 5 2 2" xfId="9447" xr:uid="{00000000-0005-0000-0000-00002B5F0000}"/>
    <cellStyle name="40% - Accent2 4 2 5 2 2 2" xfId="20748" xr:uid="{00000000-0005-0000-0000-00002C5F0000}"/>
    <cellStyle name="40% - Accent2 4 2 5 2 2 2 2" xfId="43350" xr:uid="{00000000-0005-0000-0000-00002D5F0000}"/>
    <cellStyle name="40% - Accent2 4 2 5 2 2 3" xfId="32049" xr:uid="{00000000-0005-0000-0000-00002E5F0000}"/>
    <cellStyle name="40% - Accent2 4 2 5 2 3" xfId="15098" xr:uid="{00000000-0005-0000-0000-00002F5F0000}"/>
    <cellStyle name="40% - Accent2 4 2 5 2 3 2" xfId="37700" xr:uid="{00000000-0005-0000-0000-0000305F0000}"/>
    <cellStyle name="40% - Accent2 4 2 5 2 4" xfId="26399" xr:uid="{00000000-0005-0000-0000-0000315F0000}"/>
    <cellStyle name="40% - Accent2 4 2 5 3" xfId="5301" xr:uid="{00000000-0005-0000-0000-0000325F0000}"/>
    <cellStyle name="40% - Accent2 4 2 5 3 2" xfId="10951" xr:uid="{00000000-0005-0000-0000-0000335F0000}"/>
    <cellStyle name="40% - Accent2 4 2 5 3 2 2" xfId="22252" xr:uid="{00000000-0005-0000-0000-0000345F0000}"/>
    <cellStyle name="40% - Accent2 4 2 5 3 2 2 2" xfId="44854" xr:uid="{00000000-0005-0000-0000-0000355F0000}"/>
    <cellStyle name="40% - Accent2 4 2 5 3 2 3" xfId="33553" xr:uid="{00000000-0005-0000-0000-0000365F0000}"/>
    <cellStyle name="40% - Accent2 4 2 5 3 3" xfId="16602" xr:uid="{00000000-0005-0000-0000-0000375F0000}"/>
    <cellStyle name="40% - Accent2 4 2 5 3 3 2" xfId="39204" xr:uid="{00000000-0005-0000-0000-0000385F0000}"/>
    <cellStyle name="40% - Accent2 4 2 5 3 4" xfId="27903" xr:uid="{00000000-0005-0000-0000-0000395F0000}"/>
    <cellStyle name="40% - Accent2 4 2 5 4" xfId="7728" xr:uid="{00000000-0005-0000-0000-00003A5F0000}"/>
    <cellStyle name="40% - Accent2 4 2 5 4 2" xfId="19029" xr:uid="{00000000-0005-0000-0000-00003B5F0000}"/>
    <cellStyle name="40% - Accent2 4 2 5 4 2 2" xfId="41631" xr:uid="{00000000-0005-0000-0000-00003C5F0000}"/>
    <cellStyle name="40% - Accent2 4 2 5 4 3" xfId="30330" xr:uid="{00000000-0005-0000-0000-00003D5F0000}"/>
    <cellStyle name="40% - Accent2 4 2 5 5" xfId="13379" xr:uid="{00000000-0005-0000-0000-00003E5F0000}"/>
    <cellStyle name="40% - Accent2 4 2 5 5 2" xfId="35981" xr:uid="{00000000-0005-0000-0000-00003F5F0000}"/>
    <cellStyle name="40% - Accent2 4 2 5 6" xfId="24680" xr:uid="{00000000-0005-0000-0000-0000405F0000}"/>
    <cellStyle name="40% - Accent2 4 2 6" xfId="2280" xr:uid="{00000000-0005-0000-0000-0000415F0000}"/>
    <cellStyle name="40% - Accent2 4 2 6 2" xfId="8116" xr:uid="{00000000-0005-0000-0000-0000425F0000}"/>
    <cellStyle name="40% - Accent2 4 2 6 2 2" xfId="19417" xr:uid="{00000000-0005-0000-0000-0000435F0000}"/>
    <cellStyle name="40% - Accent2 4 2 6 2 2 2" xfId="42019" xr:uid="{00000000-0005-0000-0000-0000445F0000}"/>
    <cellStyle name="40% - Accent2 4 2 6 2 3" xfId="30718" xr:uid="{00000000-0005-0000-0000-0000455F0000}"/>
    <cellStyle name="40% - Accent2 4 2 6 3" xfId="13767" xr:uid="{00000000-0005-0000-0000-0000465F0000}"/>
    <cellStyle name="40% - Accent2 4 2 6 3 2" xfId="36369" xr:uid="{00000000-0005-0000-0000-0000475F0000}"/>
    <cellStyle name="40% - Accent2 4 2 6 4" xfId="25068" xr:uid="{00000000-0005-0000-0000-0000485F0000}"/>
    <cellStyle name="40% - Accent2 4 2 7" xfId="4067" xr:uid="{00000000-0005-0000-0000-0000495F0000}"/>
    <cellStyle name="40% - Accent2 4 2 7 2" xfId="9717" xr:uid="{00000000-0005-0000-0000-00004A5F0000}"/>
    <cellStyle name="40% - Accent2 4 2 7 2 2" xfId="21018" xr:uid="{00000000-0005-0000-0000-00004B5F0000}"/>
    <cellStyle name="40% - Accent2 4 2 7 2 2 2" xfId="43620" xr:uid="{00000000-0005-0000-0000-00004C5F0000}"/>
    <cellStyle name="40% - Accent2 4 2 7 2 3" xfId="32319" xr:uid="{00000000-0005-0000-0000-00004D5F0000}"/>
    <cellStyle name="40% - Accent2 4 2 7 3" xfId="15368" xr:uid="{00000000-0005-0000-0000-00004E5F0000}"/>
    <cellStyle name="40% - Accent2 4 2 7 3 2" xfId="37970" xr:uid="{00000000-0005-0000-0000-00004F5F0000}"/>
    <cellStyle name="40% - Accent2 4 2 7 4" xfId="26669" xr:uid="{00000000-0005-0000-0000-0000505F0000}"/>
    <cellStyle name="40% - Accent2 4 2 8" xfId="6518" xr:uid="{00000000-0005-0000-0000-0000515F0000}"/>
    <cellStyle name="40% - Accent2 4 2 8 2" xfId="17819" xr:uid="{00000000-0005-0000-0000-0000525F0000}"/>
    <cellStyle name="40% - Accent2 4 2 8 2 2" xfId="40421" xr:uid="{00000000-0005-0000-0000-0000535F0000}"/>
    <cellStyle name="40% - Accent2 4 2 8 3" xfId="29120" xr:uid="{00000000-0005-0000-0000-0000545F0000}"/>
    <cellStyle name="40% - Accent2 4 2 9" xfId="12169" xr:uid="{00000000-0005-0000-0000-0000555F0000}"/>
    <cellStyle name="40% - Accent2 4 2 9 2" xfId="34771" xr:uid="{00000000-0005-0000-0000-0000565F0000}"/>
    <cellStyle name="40% - Accent2 4 3" xfId="424" xr:uid="{00000000-0005-0000-0000-0000575F0000}"/>
    <cellStyle name="40% - Accent2 4 3 10" xfId="23519" xr:uid="{00000000-0005-0000-0000-0000585F0000}"/>
    <cellStyle name="40% - Accent2 4 3 2" xfId="669" xr:uid="{00000000-0005-0000-0000-0000595F0000}"/>
    <cellStyle name="40% - Accent2 4 3 2 2" xfId="1379" xr:uid="{00000000-0005-0000-0000-00005A5F0000}"/>
    <cellStyle name="40% - Accent2 4 3 2 2 2" xfId="1878" xr:uid="{00000000-0005-0000-0000-00005B5F0000}"/>
    <cellStyle name="40% - Accent2 4 3 2 2 2 2" xfId="3448" xr:uid="{00000000-0005-0000-0000-00005C5F0000}"/>
    <cellStyle name="40% - Accent2 4 3 2 2 2 2 2" xfId="6420" xr:uid="{00000000-0005-0000-0000-00005D5F0000}"/>
    <cellStyle name="40% - Accent2 4 3 2 2 2 2 2 2" xfId="12070" xr:uid="{00000000-0005-0000-0000-00005E5F0000}"/>
    <cellStyle name="40% - Accent2 4 3 2 2 2 2 2 2 2" xfId="23371" xr:uid="{00000000-0005-0000-0000-00005F5F0000}"/>
    <cellStyle name="40% - Accent2 4 3 2 2 2 2 2 2 2 2" xfId="45973" xr:uid="{00000000-0005-0000-0000-0000605F0000}"/>
    <cellStyle name="40% - Accent2 4 3 2 2 2 2 2 2 3" xfId="34672" xr:uid="{00000000-0005-0000-0000-0000615F0000}"/>
    <cellStyle name="40% - Accent2 4 3 2 2 2 2 2 3" xfId="17721" xr:uid="{00000000-0005-0000-0000-0000625F0000}"/>
    <cellStyle name="40% - Accent2 4 3 2 2 2 2 2 3 2" xfId="40323" xr:uid="{00000000-0005-0000-0000-0000635F0000}"/>
    <cellStyle name="40% - Accent2 4 3 2 2 2 2 2 4" xfId="29022" xr:uid="{00000000-0005-0000-0000-0000645F0000}"/>
    <cellStyle name="40% - Accent2 4 3 2 2 2 2 3" xfId="9238" xr:uid="{00000000-0005-0000-0000-0000655F0000}"/>
    <cellStyle name="40% - Accent2 4 3 2 2 2 2 3 2" xfId="20539" xr:uid="{00000000-0005-0000-0000-0000665F0000}"/>
    <cellStyle name="40% - Accent2 4 3 2 2 2 2 3 2 2" xfId="43141" xr:uid="{00000000-0005-0000-0000-0000675F0000}"/>
    <cellStyle name="40% - Accent2 4 3 2 2 2 2 3 3" xfId="31840" xr:uid="{00000000-0005-0000-0000-0000685F0000}"/>
    <cellStyle name="40% - Accent2 4 3 2 2 2 2 4" xfId="14889" xr:uid="{00000000-0005-0000-0000-0000695F0000}"/>
    <cellStyle name="40% - Accent2 4 3 2 2 2 2 4 2" xfId="37491" xr:uid="{00000000-0005-0000-0000-00006A5F0000}"/>
    <cellStyle name="40% - Accent2 4 3 2 2 2 2 5" xfId="26190" xr:uid="{00000000-0005-0000-0000-00006B5F0000}"/>
    <cellStyle name="40% - Accent2 4 3 2 2 2 3" xfId="5186" xr:uid="{00000000-0005-0000-0000-00006C5F0000}"/>
    <cellStyle name="40% - Accent2 4 3 2 2 2 3 2" xfId="10836" xr:uid="{00000000-0005-0000-0000-00006D5F0000}"/>
    <cellStyle name="40% - Accent2 4 3 2 2 2 3 2 2" xfId="22137" xr:uid="{00000000-0005-0000-0000-00006E5F0000}"/>
    <cellStyle name="40% - Accent2 4 3 2 2 2 3 2 2 2" xfId="44739" xr:uid="{00000000-0005-0000-0000-00006F5F0000}"/>
    <cellStyle name="40% - Accent2 4 3 2 2 2 3 2 3" xfId="33438" xr:uid="{00000000-0005-0000-0000-0000705F0000}"/>
    <cellStyle name="40% - Accent2 4 3 2 2 2 3 3" xfId="16487" xr:uid="{00000000-0005-0000-0000-0000715F0000}"/>
    <cellStyle name="40% - Accent2 4 3 2 2 2 3 3 2" xfId="39089" xr:uid="{00000000-0005-0000-0000-0000725F0000}"/>
    <cellStyle name="40% - Accent2 4 3 2 2 2 3 4" xfId="27788" xr:uid="{00000000-0005-0000-0000-0000735F0000}"/>
    <cellStyle name="40% - Accent2 4 3 2 2 2 4" xfId="7734" xr:uid="{00000000-0005-0000-0000-0000745F0000}"/>
    <cellStyle name="40% - Accent2 4 3 2 2 2 4 2" xfId="19035" xr:uid="{00000000-0005-0000-0000-0000755F0000}"/>
    <cellStyle name="40% - Accent2 4 3 2 2 2 4 2 2" xfId="41637" xr:uid="{00000000-0005-0000-0000-0000765F0000}"/>
    <cellStyle name="40% - Accent2 4 3 2 2 2 4 3" xfId="30336" xr:uid="{00000000-0005-0000-0000-0000775F0000}"/>
    <cellStyle name="40% - Accent2 4 3 2 2 2 5" xfId="13385" xr:uid="{00000000-0005-0000-0000-0000785F0000}"/>
    <cellStyle name="40% - Accent2 4 3 2 2 2 5 2" xfId="35987" xr:uid="{00000000-0005-0000-0000-0000795F0000}"/>
    <cellStyle name="40% - Accent2 4 3 2 2 2 6" xfId="24686" xr:uid="{00000000-0005-0000-0000-00007A5F0000}"/>
    <cellStyle name="40% - Accent2 4 3 2 2 3" xfId="2777" xr:uid="{00000000-0005-0000-0000-00007B5F0000}"/>
    <cellStyle name="40% - Accent2 4 3 2 2 3 2" xfId="5796" xr:uid="{00000000-0005-0000-0000-00007C5F0000}"/>
    <cellStyle name="40% - Accent2 4 3 2 2 3 2 2" xfId="11446" xr:uid="{00000000-0005-0000-0000-00007D5F0000}"/>
    <cellStyle name="40% - Accent2 4 3 2 2 3 2 2 2" xfId="22747" xr:uid="{00000000-0005-0000-0000-00007E5F0000}"/>
    <cellStyle name="40% - Accent2 4 3 2 2 3 2 2 2 2" xfId="45349" xr:uid="{00000000-0005-0000-0000-00007F5F0000}"/>
    <cellStyle name="40% - Accent2 4 3 2 2 3 2 2 3" xfId="34048" xr:uid="{00000000-0005-0000-0000-0000805F0000}"/>
    <cellStyle name="40% - Accent2 4 3 2 2 3 2 3" xfId="17097" xr:uid="{00000000-0005-0000-0000-0000815F0000}"/>
    <cellStyle name="40% - Accent2 4 3 2 2 3 2 3 2" xfId="39699" xr:uid="{00000000-0005-0000-0000-0000825F0000}"/>
    <cellStyle name="40% - Accent2 4 3 2 2 3 2 4" xfId="28398" xr:uid="{00000000-0005-0000-0000-0000835F0000}"/>
    <cellStyle name="40% - Accent2 4 3 2 2 3 3" xfId="8613" xr:uid="{00000000-0005-0000-0000-0000845F0000}"/>
    <cellStyle name="40% - Accent2 4 3 2 2 3 3 2" xfId="19914" xr:uid="{00000000-0005-0000-0000-0000855F0000}"/>
    <cellStyle name="40% - Accent2 4 3 2 2 3 3 2 2" xfId="42516" xr:uid="{00000000-0005-0000-0000-0000865F0000}"/>
    <cellStyle name="40% - Accent2 4 3 2 2 3 3 3" xfId="31215" xr:uid="{00000000-0005-0000-0000-0000875F0000}"/>
    <cellStyle name="40% - Accent2 4 3 2 2 3 4" xfId="14264" xr:uid="{00000000-0005-0000-0000-0000885F0000}"/>
    <cellStyle name="40% - Accent2 4 3 2 2 3 4 2" xfId="36866" xr:uid="{00000000-0005-0000-0000-0000895F0000}"/>
    <cellStyle name="40% - Accent2 4 3 2 2 3 5" xfId="25565" xr:uid="{00000000-0005-0000-0000-00008A5F0000}"/>
    <cellStyle name="40% - Accent2 4 3 2 2 4" xfId="4562" xr:uid="{00000000-0005-0000-0000-00008B5F0000}"/>
    <cellStyle name="40% - Accent2 4 3 2 2 4 2" xfId="10212" xr:uid="{00000000-0005-0000-0000-00008C5F0000}"/>
    <cellStyle name="40% - Accent2 4 3 2 2 4 2 2" xfId="21513" xr:uid="{00000000-0005-0000-0000-00008D5F0000}"/>
    <cellStyle name="40% - Accent2 4 3 2 2 4 2 2 2" xfId="44115" xr:uid="{00000000-0005-0000-0000-00008E5F0000}"/>
    <cellStyle name="40% - Accent2 4 3 2 2 4 2 3" xfId="32814" xr:uid="{00000000-0005-0000-0000-00008F5F0000}"/>
    <cellStyle name="40% - Accent2 4 3 2 2 4 3" xfId="15863" xr:uid="{00000000-0005-0000-0000-0000905F0000}"/>
    <cellStyle name="40% - Accent2 4 3 2 2 4 3 2" xfId="38465" xr:uid="{00000000-0005-0000-0000-0000915F0000}"/>
    <cellStyle name="40% - Accent2 4 3 2 2 4 4" xfId="27164" xr:uid="{00000000-0005-0000-0000-0000925F0000}"/>
    <cellStyle name="40% - Accent2 4 3 2 2 5" xfId="7358" xr:uid="{00000000-0005-0000-0000-0000935F0000}"/>
    <cellStyle name="40% - Accent2 4 3 2 2 5 2" xfId="18659" xr:uid="{00000000-0005-0000-0000-0000945F0000}"/>
    <cellStyle name="40% - Accent2 4 3 2 2 5 2 2" xfId="41261" xr:uid="{00000000-0005-0000-0000-0000955F0000}"/>
    <cellStyle name="40% - Accent2 4 3 2 2 5 3" xfId="29960" xr:uid="{00000000-0005-0000-0000-0000965F0000}"/>
    <cellStyle name="40% - Accent2 4 3 2 2 6" xfId="13009" xr:uid="{00000000-0005-0000-0000-0000975F0000}"/>
    <cellStyle name="40% - Accent2 4 3 2 2 6 2" xfId="35611" xr:uid="{00000000-0005-0000-0000-0000985F0000}"/>
    <cellStyle name="40% - Accent2 4 3 2 2 7" xfId="24310" xr:uid="{00000000-0005-0000-0000-0000995F0000}"/>
    <cellStyle name="40% - Accent2 4 3 2 3" xfId="1077" xr:uid="{00000000-0005-0000-0000-00009A5F0000}"/>
    <cellStyle name="40% - Accent2 4 3 2 3 2" xfId="3140" xr:uid="{00000000-0005-0000-0000-00009B5F0000}"/>
    <cellStyle name="40% - Accent2 4 3 2 3 2 2" xfId="6112" xr:uid="{00000000-0005-0000-0000-00009C5F0000}"/>
    <cellStyle name="40% - Accent2 4 3 2 3 2 2 2" xfId="11762" xr:uid="{00000000-0005-0000-0000-00009D5F0000}"/>
    <cellStyle name="40% - Accent2 4 3 2 3 2 2 2 2" xfId="23063" xr:uid="{00000000-0005-0000-0000-00009E5F0000}"/>
    <cellStyle name="40% - Accent2 4 3 2 3 2 2 2 2 2" xfId="45665" xr:uid="{00000000-0005-0000-0000-00009F5F0000}"/>
    <cellStyle name="40% - Accent2 4 3 2 3 2 2 2 3" xfId="34364" xr:uid="{00000000-0005-0000-0000-0000A05F0000}"/>
    <cellStyle name="40% - Accent2 4 3 2 3 2 2 3" xfId="17413" xr:uid="{00000000-0005-0000-0000-0000A15F0000}"/>
    <cellStyle name="40% - Accent2 4 3 2 3 2 2 3 2" xfId="40015" xr:uid="{00000000-0005-0000-0000-0000A25F0000}"/>
    <cellStyle name="40% - Accent2 4 3 2 3 2 2 4" xfId="28714" xr:uid="{00000000-0005-0000-0000-0000A35F0000}"/>
    <cellStyle name="40% - Accent2 4 3 2 3 2 3" xfId="8930" xr:uid="{00000000-0005-0000-0000-0000A45F0000}"/>
    <cellStyle name="40% - Accent2 4 3 2 3 2 3 2" xfId="20231" xr:uid="{00000000-0005-0000-0000-0000A55F0000}"/>
    <cellStyle name="40% - Accent2 4 3 2 3 2 3 2 2" xfId="42833" xr:uid="{00000000-0005-0000-0000-0000A65F0000}"/>
    <cellStyle name="40% - Accent2 4 3 2 3 2 3 3" xfId="31532" xr:uid="{00000000-0005-0000-0000-0000A75F0000}"/>
    <cellStyle name="40% - Accent2 4 3 2 3 2 4" xfId="14581" xr:uid="{00000000-0005-0000-0000-0000A85F0000}"/>
    <cellStyle name="40% - Accent2 4 3 2 3 2 4 2" xfId="37183" xr:uid="{00000000-0005-0000-0000-0000A95F0000}"/>
    <cellStyle name="40% - Accent2 4 3 2 3 2 5" xfId="25882" xr:uid="{00000000-0005-0000-0000-0000AA5F0000}"/>
    <cellStyle name="40% - Accent2 4 3 2 3 3" xfId="4878" xr:uid="{00000000-0005-0000-0000-0000AB5F0000}"/>
    <cellStyle name="40% - Accent2 4 3 2 3 3 2" xfId="10528" xr:uid="{00000000-0005-0000-0000-0000AC5F0000}"/>
    <cellStyle name="40% - Accent2 4 3 2 3 3 2 2" xfId="21829" xr:uid="{00000000-0005-0000-0000-0000AD5F0000}"/>
    <cellStyle name="40% - Accent2 4 3 2 3 3 2 2 2" xfId="44431" xr:uid="{00000000-0005-0000-0000-0000AE5F0000}"/>
    <cellStyle name="40% - Accent2 4 3 2 3 3 2 3" xfId="33130" xr:uid="{00000000-0005-0000-0000-0000AF5F0000}"/>
    <cellStyle name="40% - Accent2 4 3 2 3 3 3" xfId="16179" xr:uid="{00000000-0005-0000-0000-0000B05F0000}"/>
    <cellStyle name="40% - Accent2 4 3 2 3 3 3 2" xfId="38781" xr:uid="{00000000-0005-0000-0000-0000B15F0000}"/>
    <cellStyle name="40% - Accent2 4 3 2 3 3 4" xfId="27480" xr:uid="{00000000-0005-0000-0000-0000B25F0000}"/>
    <cellStyle name="40% - Accent2 4 3 2 3 4" xfId="7065" xr:uid="{00000000-0005-0000-0000-0000B35F0000}"/>
    <cellStyle name="40% - Accent2 4 3 2 3 4 2" xfId="18366" xr:uid="{00000000-0005-0000-0000-0000B45F0000}"/>
    <cellStyle name="40% - Accent2 4 3 2 3 4 2 2" xfId="40968" xr:uid="{00000000-0005-0000-0000-0000B55F0000}"/>
    <cellStyle name="40% - Accent2 4 3 2 3 4 3" xfId="29667" xr:uid="{00000000-0005-0000-0000-0000B65F0000}"/>
    <cellStyle name="40% - Accent2 4 3 2 3 5" xfId="12716" xr:uid="{00000000-0005-0000-0000-0000B75F0000}"/>
    <cellStyle name="40% - Accent2 4 3 2 3 5 2" xfId="35318" xr:uid="{00000000-0005-0000-0000-0000B85F0000}"/>
    <cellStyle name="40% - Accent2 4 3 2 3 6" xfId="24017" xr:uid="{00000000-0005-0000-0000-0000B95F0000}"/>
    <cellStyle name="40% - Accent2 4 3 2 4" xfId="1877" xr:uid="{00000000-0005-0000-0000-0000BA5F0000}"/>
    <cellStyle name="40% - Accent2 4 3 2 4 2" xfId="3740" xr:uid="{00000000-0005-0000-0000-0000BB5F0000}"/>
    <cellStyle name="40% - Accent2 4 3 2 4 2 2" xfId="9450" xr:uid="{00000000-0005-0000-0000-0000BC5F0000}"/>
    <cellStyle name="40% - Accent2 4 3 2 4 2 2 2" xfId="20751" xr:uid="{00000000-0005-0000-0000-0000BD5F0000}"/>
    <cellStyle name="40% - Accent2 4 3 2 4 2 2 2 2" xfId="43353" xr:uid="{00000000-0005-0000-0000-0000BE5F0000}"/>
    <cellStyle name="40% - Accent2 4 3 2 4 2 2 3" xfId="32052" xr:uid="{00000000-0005-0000-0000-0000BF5F0000}"/>
    <cellStyle name="40% - Accent2 4 3 2 4 2 3" xfId="15101" xr:uid="{00000000-0005-0000-0000-0000C05F0000}"/>
    <cellStyle name="40% - Accent2 4 3 2 4 2 3 2" xfId="37703" xr:uid="{00000000-0005-0000-0000-0000C15F0000}"/>
    <cellStyle name="40% - Accent2 4 3 2 4 2 4" xfId="26402" xr:uid="{00000000-0005-0000-0000-0000C25F0000}"/>
    <cellStyle name="40% - Accent2 4 3 2 4 3" xfId="5488" xr:uid="{00000000-0005-0000-0000-0000C35F0000}"/>
    <cellStyle name="40% - Accent2 4 3 2 4 3 2" xfId="11138" xr:uid="{00000000-0005-0000-0000-0000C45F0000}"/>
    <cellStyle name="40% - Accent2 4 3 2 4 3 2 2" xfId="22439" xr:uid="{00000000-0005-0000-0000-0000C55F0000}"/>
    <cellStyle name="40% - Accent2 4 3 2 4 3 2 2 2" xfId="45041" xr:uid="{00000000-0005-0000-0000-0000C65F0000}"/>
    <cellStyle name="40% - Accent2 4 3 2 4 3 2 3" xfId="33740" xr:uid="{00000000-0005-0000-0000-0000C75F0000}"/>
    <cellStyle name="40% - Accent2 4 3 2 4 3 3" xfId="16789" xr:uid="{00000000-0005-0000-0000-0000C85F0000}"/>
    <cellStyle name="40% - Accent2 4 3 2 4 3 3 2" xfId="39391" xr:uid="{00000000-0005-0000-0000-0000C95F0000}"/>
    <cellStyle name="40% - Accent2 4 3 2 4 3 4" xfId="28090" xr:uid="{00000000-0005-0000-0000-0000CA5F0000}"/>
    <cellStyle name="40% - Accent2 4 3 2 4 4" xfId="7733" xr:uid="{00000000-0005-0000-0000-0000CB5F0000}"/>
    <cellStyle name="40% - Accent2 4 3 2 4 4 2" xfId="19034" xr:uid="{00000000-0005-0000-0000-0000CC5F0000}"/>
    <cellStyle name="40% - Accent2 4 3 2 4 4 2 2" xfId="41636" xr:uid="{00000000-0005-0000-0000-0000CD5F0000}"/>
    <cellStyle name="40% - Accent2 4 3 2 4 4 3" xfId="30335" xr:uid="{00000000-0005-0000-0000-0000CE5F0000}"/>
    <cellStyle name="40% - Accent2 4 3 2 4 5" xfId="13384" xr:uid="{00000000-0005-0000-0000-0000CF5F0000}"/>
    <cellStyle name="40% - Accent2 4 3 2 4 5 2" xfId="35986" xr:uid="{00000000-0005-0000-0000-0000D05F0000}"/>
    <cellStyle name="40% - Accent2 4 3 2 4 6" xfId="24685" xr:uid="{00000000-0005-0000-0000-0000D15F0000}"/>
    <cellStyle name="40% - Accent2 4 3 2 5" xfId="2469" xr:uid="{00000000-0005-0000-0000-0000D25F0000}"/>
    <cellStyle name="40% - Accent2 4 3 2 5 2" xfId="8305" xr:uid="{00000000-0005-0000-0000-0000D35F0000}"/>
    <cellStyle name="40% - Accent2 4 3 2 5 2 2" xfId="19606" xr:uid="{00000000-0005-0000-0000-0000D45F0000}"/>
    <cellStyle name="40% - Accent2 4 3 2 5 2 2 2" xfId="42208" xr:uid="{00000000-0005-0000-0000-0000D55F0000}"/>
    <cellStyle name="40% - Accent2 4 3 2 5 2 3" xfId="30907" xr:uid="{00000000-0005-0000-0000-0000D65F0000}"/>
    <cellStyle name="40% - Accent2 4 3 2 5 3" xfId="13956" xr:uid="{00000000-0005-0000-0000-0000D75F0000}"/>
    <cellStyle name="40% - Accent2 4 3 2 5 3 2" xfId="36558" xr:uid="{00000000-0005-0000-0000-0000D85F0000}"/>
    <cellStyle name="40% - Accent2 4 3 2 5 4" xfId="25257" xr:uid="{00000000-0005-0000-0000-0000D95F0000}"/>
    <cellStyle name="40% - Accent2 4 3 2 6" xfId="4254" xr:uid="{00000000-0005-0000-0000-0000DA5F0000}"/>
    <cellStyle name="40% - Accent2 4 3 2 6 2" xfId="9904" xr:uid="{00000000-0005-0000-0000-0000DB5F0000}"/>
    <cellStyle name="40% - Accent2 4 3 2 6 2 2" xfId="21205" xr:uid="{00000000-0005-0000-0000-0000DC5F0000}"/>
    <cellStyle name="40% - Accent2 4 3 2 6 2 2 2" xfId="43807" xr:uid="{00000000-0005-0000-0000-0000DD5F0000}"/>
    <cellStyle name="40% - Accent2 4 3 2 6 2 3" xfId="32506" xr:uid="{00000000-0005-0000-0000-0000DE5F0000}"/>
    <cellStyle name="40% - Accent2 4 3 2 6 3" xfId="15555" xr:uid="{00000000-0005-0000-0000-0000DF5F0000}"/>
    <cellStyle name="40% - Accent2 4 3 2 6 3 2" xfId="38157" xr:uid="{00000000-0005-0000-0000-0000E05F0000}"/>
    <cellStyle name="40% - Accent2 4 3 2 6 4" xfId="26856" xr:uid="{00000000-0005-0000-0000-0000E15F0000}"/>
    <cellStyle name="40% - Accent2 4 3 2 7" xfId="6734" xr:uid="{00000000-0005-0000-0000-0000E25F0000}"/>
    <cellStyle name="40% - Accent2 4 3 2 7 2" xfId="18035" xr:uid="{00000000-0005-0000-0000-0000E35F0000}"/>
    <cellStyle name="40% - Accent2 4 3 2 7 2 2" xfId="40637" xr:uid="{00000000-0005-0000-0000-0000E45F0000}"/>
    <cellStyle name="40% - Accent2 4 3 2 7 3" xfId="29336" xr:uid="{00000000-0005-0000-0000-0000E55F0000}"/>
    <cellStyle name="40% - Accent2 4 3 2 8" xfId="12385" xr:uid="{00000000-0005-0000-0000-0000E65F0000}"/>
    <cellStyle name="40% - Accent2 4 3 2 8 2" xfId="34987" xr:uid="{00000000-0005-0000-0000-0000E75F0000}"/>
    <cellStyle name="40% - Accent2 4 3 2 9" xfId="23686" xr:uid="{00000000-0005-0000-0000-0000E85F0000}"/>
    <cellStyle name="40% - Accent2 4 3 3" xfId="1241" xr:uid="{00000000-0005-0000-0000-0000E95F0000}"/>
    <cellStyle name="40% - Accent2 4 3 3 2" xfId="1879" xr:uid="{00000000-0005-0000-0000-0000EA5F0000}"/>
    <cellStyle name="40% - Accent2 4 3 3 2 2" xfId="3309" xr:uid="{00000000-0005-0000-0000-0000EB5F0000}"/>
    <cellStyle name="40% - Accent2 4 3 3 2 2 2" xfId="6281" xr:uid="{00000000-0005-0000-0000-0000EC5F0000}"/>
    <cellStyle name="40% - Accent2 4 3 3 2 2 2 2" xfId="11931" xr:uid="{00000000-0005-0000-0000-0000ED5F0000}"/>
    <cellStyle name="40% - Accent2 4 3 3 2 2 2 2 2" xfId="23232" xr:uid="{00000000-0005-0000-0000-0000EE5F0000}"/>
    <cellStyle name="40% - Accent2 4 3 3 2 2 2 2 2 2" xfId="45834" xr:uid="{00000000-0005-0000-0000-0000EF5F0000}"/>
    <cellStyle name="40% - Accent2 4 3 3 2 2 2 2 3" xfId="34533" xr:uid="{00000000-0005-0000-0000-0000F05F0000}"/>
    <cellStyle name="40% - Accent2 4 3 3 2 2 2 3" xfId="17582" xr:uid="{00000000-0005-0000-0000-0000F15F0000}"/>
    <cellStyle name="40% - Accent2 4 3 3 2 2 2 3 2" xfId="40184" xr:uid="{00000000-0005-0000-0000-0000F25F0000}"/>
    <cellStyle name="40% - Accent2 4 3 3 2 2 2 4" xfId="28883" xr:uid="{00000000-0005-0000-0000-0000F35F0000}"/>
    <cellStyle name="40% - Accent2 4 3 3 2 2 3" xfId="9099" xr:uid="{00000000-0005-0000-0000-0000F45F0000}"/>
    <cellStyle name="40% - Accent2 4 3 3 2 2 3 2" xfId="20400" xr:uid="{00000000-0005-0000-0000-0000F55F0000}"/>
    <cellStyle name="40% - Accent2 4 3 3 2 2 3 2 2" xfId="43002" xr:uid="{00000000-0005-0000-0000-0000F65F0000}"/>
    <cellStyle name="40% - Accent2 4 3 3 2 2 3 3" xfId="31701" xr:uid="{00000000-0005-0000-0000-0000F75F0000}"/>
    <cellStyle name="40% - Accent2 4 3 3 2 2 4" xfId="14750" xr:uid="{00000000-0005-0000-0000-0000F85F0000}"/>
    <cellStyle name="40% - Accent2 4 3 3 2 2 4 2" xfId="37352" xr:uid="{00000000-0005-0000-0000-0000F95F0000}"/>
    <cellStyle name="40% - Accent2 4 3 3 2 2 5" xfId="26051" xr:uid="{00000000-0005-0000-0000-0000FA5F0000}"/>
    <cellStyle name="40% - Accent2 4 3 3 2 3" xfId="5047" xr:uid="{00000000-0005-0000-0000-0000FB5F0000}"/>
    <cellStyle name="40% - Accent2 4 3 3 2 3 2" xfId="10697" xr:uid="{00000000-0005-0000-0000-0000FC5F0000}"/>
    <cellStyle name="40% - Accent2 4 3 3 2 3 2 2" xfId="21998" xr:uid="{00000000-0005-0000-0000-0000FD5F0000}"/>
    <cellStyle name="40% - Accent2 4 3 3 2 3 2 2 2" xfId="44600" xr:uid="{00000000-0005-0000-0000-0000FE5F0000}"/>
    <cellStyle name="40% - Accent2 4 3 3 2 3 2 3" xfId="33299" xr:uid="{00000000-0005-0000-0000-0000FF5F0000}"/>
    <cellStyle name="40% - Accent2 4 3 3 2 3 3" xfId="16348" xr:uid="{00000000-0005-0000-0000-000000600000}"/>
    <cellStyle name="40% - Accent2 4 3 3 2 3 3 2" xfId="38950" xr:uid="{00000000-0005-0000-0000-000001600000}"/>
    <cellStyle name="40% - Accent2 4 3 3 2 3 4" xfId="27649" xr:uid="{00000000-0005-0000-0000-000002600000}"/>
    <cellStyle name="40% - Accent2 4 3 3 2 4" xfId="7735" xr:uid="{00000000-0005-0000-0000-000003600000}"/>
    <cellStyle name="40% - Accent2 4 3 3 2 4 2" xfId="19036" xr:uid="{00000000-0005-0000-0000-000004600000}"/>
    <cellStyle name="40% - Accent2 4 3 3 2 4 2 2" xfId="41638" xr:uid="{00000000-0005-0000-0000-000005600000}"/>
    <cellStyle name="40% - Accent2 4 3 3 2 4 3" xfId="30337" xr:uid="{00000000-0005-0000-0000-000006600000}"/>
    <cellStyle name="40% - Accent2 4 3 3 2 5" xfId="13386" xr:uid="{00000000-0005-0000-0000-000007600000}"/>
    <cellStyle name="40% - Accent2 4 3 3 2 5 2" xfId="35988" xr:uid="{00000000-0005-0000-0000-000008600000}"/>
    <cellStyle name="40% - Accent2 4 3 3 2 6" xfId="24687" xr:uid="{00000000-0005-0000-0000-000009600000}"/>
    <cellStyle name="40% - Accent2 4 3 3 3" xfId="2638" xr:uid="{00000000-0005-0000-0000-00000A600000}"/>
    <cellStyle name="40% - Accent2 4 3 3 3 2" xfId="5657" xr:uid="{00000000-0005-0000-0000-00000B600000}"/>
    <cellStyle name="40% - Accent2 4 3 3 3 2 2" xfId="11307" xr:uid="{00000000-0005-0000-0000-00000C600000}"/>
    <cellStyle name="40% - Accent2 4 3 3 3 2 2 2" xfId="22608" xr:uid="{00000000-0005-0000-0000-00000D600000}"/>
    <cellStyle name="40% - Accent2 4 3 3 3 2 2 2 2" xfId="45210" xr:uid="{00000000-0005-0000-0000-00000E600000}"/>
    <cellStyle name="40% - Accent2 4 3 3 3 2 2 3" xfId="33909" xr:uid="{00000000-0005-0000-0000-00000F600000}"/>
    <cellStyle name="40% - Accent2 4 3 3 3 2 3" xfId="16958" xr:uid="{00000000-0005-0000-0000-000010600000}"/>
    <cellStyle name="40% - Accent2 4 3 3 3 2 3 2" xfId="39560" xr:uid="{00000000-0005-0000-0000-000011600000}"/>
    <cellStyle name="40% - Accent2 4 3 3 3 2 4" xfId="28259" xr:uid="{00000000-0005-0000-0000-000012600000}"/>
    <cellStyle name="40% - Accent2 4 3 3 3 3" xfId="8474" xr:uid="{00000000-0005-0000-0000-000013600000}"/>
    <cellStyle name="40% - Accent2 4 3 3 3 3 2" xfId="19775" xr:uid="{00000000-0005-0000-0000-000014600000}"/>
    <cellStyle name="40% - Accent2 4 3 3 3 3 2 2" xfId="42377" xr:uid="{00000000-0005-0000-0000-000015600000}"/>
    <cellStyle name="40% - Accent2 4 3 3 3 3 3" xfId="31076" xr:uid="{00000000-0005-0000-0000-000016600000}"/>
    <cellStyle name="40% - Accent2 4 3 3 3 4" xfId="14125" xr:uid="{00000000-0005-0000-0000-000017600000}"/>
    <cellStyle name="40% - Accent2 4 3 3 3 4 2" xfId="36727" xr:uid="{00000000-0005-0000-0000-000018600000}"/>
    <cellStyle name="40% - Accent2 4 3 3 3 5" xfId="25426" xr:uid="{00000000-0005-0000-0000-000019600000}"/>
    <cellStyle name="40% - Accent2 4 3 3 4" xfId="4423" xr:uid="{00000000-0005-0000-0000-00001A600000}"/>
    <cellStyle name="40% - Accent2 4 3 3 4 2" xfId="10073" xr:uid="{00000000-0005-0000-0000-00001B600000}"/>
    <cellStyle name="40% - Accent2 4 3 3 4 2 2" xfId="21374" xr:uid="{00000000-0005-0000-0000-00001C600000}"/>
    <cellStyle name="40% - Accent2 4 3 3 4 2 2 2" xfId="43976" xr:uid="{00000000-0005-0000-0000-00001D600000}"/>
    <cellStyle name="40% - Accent2 4 3 3 4 2 3" xfId="32675" xr:uid="{00000000-0005-0000-0000-00001E600000}"/>
    <cellStyle name="40% - Accent2 4 3 3 4 3" xfId="15724" xr:uid="{00000000-0005-0000-0000-00001F600000}"/>
    <cellStyle name="40% - Accent2 4 3 3 4 3 2" xfId="38326" xr:uid="{00000000-0005-0000-0000-000020600000}"/>
    <cellStyle name="40% - Accent2 4 3 3 4 4" xfId="27025" xr:uid="{00000000-0005-0000-0000-000021600000}"/>
    <cellStyle name="40% - Accent2 4 3 3 5" xfId="7220" xr:uid="{00000000-0005-0000-0000-000022600000}"/>
    <cellStyle name="40% - Accent2 4 3 3 5 2" xfId="18521" xr:uid="{00000000-0005-0000-0000-000023600000}"/>
    <cellStyle name="40% - Accent2 4 3 3 5 2 2" xfId="41123" xr:uid="{00000000-0005-0000-0000-000024600000}"/>
    <cellStyle name="40% - Accent2 4 3 3 5 3" xfId="29822" xr:uid="{00000000-0005-0000-0000-000025600000}"/>
    <cellStyle name="40% - Accent2 4 3 3 6" xfId="12871" xr:uid="{00000000-0005-0000-0000-000026600000}"/>
    <cellStyle name="40% - Accent2 4 3 3 6 2" xfId="35473" xr:uid="{00000000-0005-0000-0000-000027600000}"/>
    <cellStyle name="40% - Accent2 4 3 3 7" xfId="24172" xr:uid="{00000000-0005-0000-0000-000028600000}"/>
    <cellStyle name="40% - Accent2 4 3 4" xfId="932" xr:uid="{00000000-0005-0000-0000-000029600000}"/>
    <cellStyle name="40% - Accent2 4 3 4 2" xfId="3002" xr:uid="{00000000-0005-0000-0000-00002A600000}"/>
    <cellStyle name="40% - Accent2 4 3 4 2 2" xfId="5974" xr:uid="{00000000-0005-0000-0000-00002B600000}"/>
    <cellStyle name="40% - Accent2 4 3 4 2 2 2" xfId="11624" xr:uid="{00000000-0005-0000-0000-00002C600000}"/>
    <cellStyle name="40% - Accent2 4 3 4 2 2 2 2" xfId="22925" xr:uid="{00000000-0005-0000-0000-00002D600000}"/>
    <cellStyle name="40% - Accent2 4 3 4 2 2 2 2 2" xfId="45527" xr:uid="{00000000-0005-0000-0000-00002E600000}"/>
    <cellStyle name="40% - Accent2 4 3 4 2 2 2 3" xfId="34226" xr:uid="{00000000-0005-0000-0000-00002F600000}"/>
    <cellStyle name="40% - Accent2 4 3 4 2 2 3" xfId="17275" xr:uid="{00000000-0005-0000-0000-000030600000}"/>
    <cellStyle name="40% - Accent2 4 3 4 2 2 3 2" xfId="39877" xr:uid="{00000000-0005-0000-0000-000031600000}"/>
    <cellStyle name="40% - Accent2 4 3 4 2 2 4" xfId="28576" xr:uid="{00000000-0005-0000-0000-000032600000}"/>
    <cellStyle name="40% - Accent2 4 3 4 2 3" xfId="8792" xr:uid="{00000000-0005-0000-0000-000033600000}"/>
    <cellStyle name="40% - Accent2 4 3 4 2 3 2" xfId="20093" xr:uid="{00000000-0005-0000-0000-000034600000}"/>
    <cellStyle name="40% - Accent2 4 3 4 2 3 2 2" xfId="42695" xr:uid="{00000000-0005-0000-0000-000035600000}"/>
    <cellStyle name="40% - Accent2 4 3 4 2 3 3" xfId="31394" xr:uid="{00000000-0005-0000-0000-000036600000}"/>
    <cellStyle name="40% - Accent2 4 3 4 2 4" xfId="14443" xr:uid="{00000000-0005-0000-0000-000037600000}"/>
    <cellStyle name="40% - Accent2 4 3 4 2 4 2" xfId="37045" xr:uid="{00000000-0005-0000-0000-000038600000}"/>
    <cellStyle name="40% - Accent2 4 3 4 2 5" xfId="25744" xr:uid="{00000000-0005-0000-0000-000039600000}"/>
    <cellStyle name="40% - Accent2 4 3 4 3" xfId="4740" xr:uid="{00000000-0005-0000-0000-00003A600000}"/>
    <cellStyle name="40% - Accent2 4 3 4 3 2" xfId="10390" xr:uid="{00000000-0005-0000-0000-00003B600000}"/>
    <cellStyle name="40% - Accent2 4 3 4 3 2 2" xfId="21691" xr:uid="{00000000-0005-0000-0000-00003C600000}"/>
    <cellStyle name="40% - Accent2 4 3 4 3 2 2 2" xfId="44293" xr:uid="{00000000-0005-0000-0000-00003D600000}"/>
    <cellStyle name="40% - Accent2 4 3 4 3 2 3" xfId="32992" xr:uid="{00000000-0005-0000-0000-00003E600000}"/>
    <cellStyle name="40% - Accent2 4 3 4 3 3" xfId="16041" xr:uid="{00000000-0005-0000-0000-00003F600000}"/>
    <cellStyle name="40% - Accent2 4 3 4 3 3 2" xfId="38643" xr:uid="{00000000-0005-0000-0000-000040600000}"/>
    <cellStyle name="40% - Accent2 4 3 4 3 4" xfId="27342" xr:uid="{00000000-0005-0000-0000-000041600000}"/>
    <cellStyle name="40% - Accent2 4 3 4 4" xfId="6927" xr:uid="{00000000-0005-0000-0000-000042600000}"/>
    <cellStyle name="40% - Accent2 4 3 4 4 2" xfId="18228" xr:uid="{00000000-0005-0000-0000-000043600000}"/>
    <cellStyle name="40% - Accent2 4 3 4 4 2 2" xfId="40830" xr:uid="{00000000-0005-0000-0000-000044600000}"/>
    <cellStyle name="40% - Accent2 4 3 4 4 3" xfId="29529" xr:uid="{00000000-0005-0000-0000-000045600000}"/>
    <cellStyle name="40% - Accent2 4 3 4 5" xfId="12578" xr:uid="{00000000-0005-0000-0000-000046600000}"/>
    <cellStyle name="40% - Accent2 4 3 4 5 2" xfId="35180" xr:uid="{00000000-0005-0000-0000-000047600000}"/>
    <cellStyle name="40% - Accent2 4 3 4 6" xfId="23879" xr:uid="{00000000-0005-0000-0000-000048600000}"/>
    <cellStyle name="40% - Accent2 4 3 5" xfId="1876" xr:uid="{00000000-0005-0000-0000-000049600000}"/>
    <cellStyle name="40% - Accent2 4 3 5 2" xfId="3739" xr:uid="{00000000-0005-0000-0000-00004A600000}"/>
    <cellStyle name="40% - Accent2 4 3 5 2 2" xfId="9449" xr:uid="{00000000-0005-0000-0000-00004B600000}"/>
    <cellStyle name="40% - Accent2 4 3 5 2 2 2" xfId="20750" xr:uid="{00000000-0005-0000-0000-00004C600000}"/>
    <cellStyle name="40% - Accent2 4 3 5 2 2 2 2" xfId="43352" xr:uid="{00000000-0005-0000-0000-00004D600000}"/>
    <cellStyle name="40% - Accent2 4 3 5 2 2 3" xfId="32051" xr:uid="{00000000-0005-0000-0000-00004E600000}"/>
    <cellStyle name="40% - Accent2 4 3 5 2 3" xfId="15100" xr:uid="{00000000-0005-0000-0000-00004F600000}"/>
    <cellStyle name="40% - Accent2 4 3 5 2 3 2" xfId="37702" xr:uid="{00000000-0005-0000-0000-000050600000}"/>
    <cellStyle name="40% - Accent2 4 3 5 2 4" xfId="26401" xr:uid="{00000000-0005-0000-0000-000051600000}"/>
    <cellStyle name="40% - Accent2 4 3 5 3" xfId="5350" xr:uid="{00000000-0005-0000-0000-000052600000}"/>
    <cellStyle name="40% - Accent2 4 3 5 3 2" xfId="11000" xr:uid="{00000000-0005-0000-0000-000053600000}"/>
    <cellStyle name="40% - Accent2 4 3 5 3 2 2" xfId="22301" xr:uid="{00000000-0005-0000-0000-000054600000}"/>
    <cellStyle name="40% - Accent2 4 3 5 3 2 2 2" xfId="44903" xr:uid="{00000000-0005-0000-0000-000055600000}"/>
    <cellStyle name="40% - Accent2 4 3 5 3 2 3" xfId="33602" xr:uid="{00000000-0005-0000-0000-000056600000}"/>
    <cellStyle name="40% - Accent2 4 3 5 3 3" xfId="16651" xr:uid="{00000000-0005-0000-0000-000057600000}"/>
    <cellStyle name="40% - Accent2 4 3 5 3 3 2" xfId="39253" xr:uid="{00000000-0005-0000-0000-000058600000}"/>
    <cellStyle name="40% - Accent2 4 3 5 3 4" xfId="27952" xr:uid="{00000000-0005-0000-0000-000059600000}"/>
    <cellStyle name="40% - Accent2 4 3 5 4" xfId="7732" xr:uid="{00000000-0005-0000-0000-00005A600000}"/>
    <cellStyle name="40% - Accent2 4 3 5 4 2" xfId="19033" xr:uid="{00000000-0005-0000-0000-00005B600000}"/>
    <cellStyle name="40% - Accent2 4 3 5 4 2 2" xfId="41635" xr:uid="{00000000-0005-0000-0000-00005C600000}"/>
    <cellStyle name="40% - Accent2 4 3 5 4 3" xfId="30334" xr:uid="{00000000-0005-0000-0000-00005D600000}"/>
    <cellStyle name="40% - Accent2 4 3 5 5" xfId="13383" xr:uid="{00000000-0005-0000-0000-00005E600000}"/>
    <cellStyle name="40% - Accent2 4 3 5 5 2" xfId="35985" xr:uid="{00000000-0005-0000-0000-00005F600000}"/>
    <cellStyle name="40% - Accent2 4 3 5 6" xfId="24684" xr:uid="{00000000-0005-0000-0000-000060600000}"/>
    <cellStyle name="40% - Accent2 4 3 6" xfId="2329" xr:uid="{00000000-0005-0000-0000-000061600000}"/>
    <cellStyle name="40% - Accent2 4 3 6 2" xfId="8165" xr:uid="{00000000-0005-0000-0000-000062600000}"/>
    <cellStyle name="40% - Accent2 4 3 6 2 2" xfId="19466" xr:uid="{00000000-0005-0000-0000-000063600000}"/>
    <cellStyle name="40% - Accent2 4 3 6 2 2 2" xfId="42068" xr:uid="{00000000-0005-0000-0000-000064600000}"/>
    <cellStyle name="40% - Accent2 4 3 6 2 3" xfId="30767" xr:uid="{00000000-0005-0000-0000-000065600000}"/>
    <cellStyle name="40% - Accent2 4 3 6 3" xfId="13816" xr:uid="{00000000-0005-0000-0000-000066600000}"/>
    <cellStyle name="40% - Accent2 4 3 6 3 2" xfId="36418" xr:uid="{00000000-0005-0000-0000-000067600000}"/>
    <cellStyle name="40% - Accent2 4 3 6 4" xfId="25117" xr:uid="{00000000-0005-0000-0000-000068600000}"/>
    <cellStyle name="40% - Accent2 4 3 7" xfId="4116" xr:uid="{00000000-0005-0000-0000-000069600000}"/>
    <cellStyle name="40% - Accent2 4 3 7 2" xfId="9766" xr:uid="{00000000-0005-0000-0000-00006A600000}"/>
    <cellStyle name="40% - Accent2 4 3 7 2 2" xfId="21067" xr:uid="{00000000-0005-0000-0000-00006B600000}"/>
    <cellStyle name="40% - Accent2 4 3 7 2 2 2" xfId="43669" xr:uid="{00000000-0005-0000-0000-00006C600000}"/>
    <cellStyle name="40% - Accent2 4 3 7 2 3" xfId="32368" xr:uid="{00000000-0005-0000-0000-00006D600000}"/>
    <cellStyle name="40% - Accent2 4 3 7 3" xfId="15417" xr:uid="{00000000-0005-0000-0000-00006E600000}"/>
    <cellStyle name="40% - Accent2 4 3 7 3 2" xfId="38019" xr:uid="{00000000-0005-0000-0000-00006F600000}"/>
    <cellStyle name="40% - Accent2 4 3 7 4" xfId="26718" xr:uid="{00000000-0005-0000-0000-000070600000}"/>
    <cellStyle name="40% - Accent2 4 3 8" xfId="6567" xr:uid="{00000000-0005-0000-0000-000071600000}"/>
    <cellStyle name="40% - Accent2 4 3 8 2" xfId="17868" xr:uid="{00000000-0005-0000-0000-000072600000}"/>
    <cellStyle name="40% - Accent2 4 3 8 2 2" xfId="40470" xr:uid="{00000000-0005-0000-0000-000073600000}"/>
    <cellStyle name="40% - Accent2 4 3 8 3" xfId="29169" xr:uid="{00000000-0005-0000-0000-000074600000}"/>
    <cellStyle name="40% - Accent2 4 3 9" xfId="12218" xr:uid="{00000000-0005-0000-0000-000075600000}"/>
    <cellStyle name="40% - Accent2 4 3 9 2" xfId="34820" xr:uid="{00000000-0005-0000-0000-000076600000}"/>
    <cellStyle name="40% - Accent2 4 4" xfId="571" xr:uid="{00000000-0005-0000-0000-000077600000}"/>
    <cellStyle name="40% - Accent2 4 4 2" xfId="1145" xr:uid="{00000000-0005-0000-0000-000078600000}"/>
    <cellStyle name="40% - Accent2 4 4 2 2" xfId="1881" xr:uid="{00000000-0005-0000-0000-000079600000}"/>
    <cellStyle name="40% - Accent2 4 4 2 2 2" xfId="3213" xr:uid="{00000000-0005-0000-0000-00007A600000}"/>
    <cellStyle name="40% - Accent2 4 4 2 2 2 2" xfId="6185" xr:uid="{00000000-0005-0000-0000-00007B600000}"/>
    <cellStyle name="40% - Accent2 4 4 2 2 2 2 2" xfId="11835" xr:uid="{00000000-0005-0000-0000-00007C600000}"/>
    <cellStyle name="40% - Accent2 4 4 2 2 2 2 2 2" xfId="23136" xr:uid="{00000000-0005-0000-0000-00007D600000}"/>
    <cellStyle name="40% - Accent2 4 4 2 2 2 2 2 2 2" xfId="45738" xr:uid="{00000000-0005-0000-0000-00007E600000}"/>
    <cellStyle name="40% - Accent2 4 4 2 2 2 2 2 3" xfId="34437" xr:uid="{00000000-0005-0000-0000-00007F600000}"/>
    <cellStyle name="40% - Accent2 4 4 2 2 2 2 3" xfId="17486" xr:uid="{00000000-0005-0000-0000-000080600000}"/>
    <cellStyle name="40% - Accent2 4 4 2 2 2 2 3 2" xfId="40088" xr:uid="{00000000-0005-0000-0000-000081600000}"/>
    <cellStyle name="40% - Accent2 4 4 2 2 2 2 4" xfId="28787" xr:uid="{00000000-0005-0000-0000-000082600000}"/>
    <cellStyle name="40% - Accent2 4 4 2 2 2 3" xfId="9003" xr:uid="{00000000-0005-0000-0000-000083600000}"/>
    <cellStyle name="40% - Accent2 4 4 2 2 2 3 2" xfId="20304" xr:uid="{00000000-0005-0000-0000-000084600000}"/>
    <cellStyle name="40% - Accent2 4 4 2 2 2 3 2 2" xfId="42906" xr:uid="{00000000-0005-0000-0000-000085600000}"/>
    <cellStyle name="40% - Accent2 4 4 2 2 2 3 3" xfId="31605" xr:uid="{00000000-0005-0000-0000-000086600000}"/>
    <cellStyle name="40% - Accent2 4 4 2 2 2 4" xfId="14654" xr:uid="{00000000-0005-0000-0000-000087600000}"/>
    <cellStyle name="40% - Accent2 4 4 2 2 2 4 2" xfId="37256" xr:uid="{00000000-0005-0000-0000-000088600000}"/>
    <cellStyle name="40% - Accent2 4 4 2 2 2 5" xfId="25955" xr:uid="{00000000-0005-0000-0000-000089600000}"/>
    <cellStyle name="40% - Accent2 4 4 2 2 3" xfId="4951" xr:uid="{00000000-0005-0000-0000-00008A600000}"/>
    <cellStyle name="40% - Accent2 4 4 2 2 3 2" xfId="10601" xr:uid="{00000000-0005-0000-0000-00008B600000}"/>
    <cellStyle name="40% - Accent2 4 4 2 2 3 2 2" xfId="21902" xr:uid="{00000000-0005-0000-0000-00008C600000}"/>
    <cellStyle name="40% - Accent2 4 4 2 2 3 2 2 2" xfId="44504" xr:uid="{00000000-0005-0000-0000-00008D600000}"/>
    <cellStyle name="40% - Accent2 4 4 2 2 3 2 3" xfId="33203" xr:uid="{00000000-0005-0000-0000-00008E600000}"/>
    <cellStyle name="40% - Accent2 4 4 2 2 3 3" xfId="16252" xr:uid="{00000000-0005-0000-0000-00008F600000}"/>
    <cellStyle name="40% - Accent2 4 4 2 2 3 3 2" xfId="38854" xr:uid="{00000000-0005-0000-0000-000090600000}"/>
    <cellStyle name="40% - Accent2 4 4 2 2 3 4" xfId="27553" xr:uid="{00000000-0005-0000-0000-000091600000}"/>
    <cellStyle name="40% - Accent2 4 4 2 2 4" xfId="7737" xr:uid="{00000000-0005-0000-0000-000092600000}"/>
    <cellStyle name="40% - Accent2 4 4 2 2 4 2" xfId="19038" xr:uid="{00000000-0005-0000-0000-000093600000}"/>
    <cellStyle name="40% - Accent2 4 4 2 2 4 2 2" xfId="41640" xr:uid="{00000000-0005-0000-0000-000094600000}"/>
    <cellStyle name="40% - Accent2 4 4 2 2 4 3" xfId="30339" xr:uid="{00000000-0005-0000-0000-000095600000}"/>
    <cellStyle name="40% - Accent2 4 4 2 2 5" xfId="13388" xr:uid="{00000000-0005-0000-0000-000096600000}"/>
    <cellStyle name="40% - Accent2 4 4 2 2 5 2" xfId="35990" xr:uid="{00000000-0005-0000-0000-000097600000}"/>
    <cellStyle name="40% - Accent2 4 4 2 2 6" xfId="24689" xr:uid="{00000000-0005-0000-0000-000098600000}"/>
    <cellStyle name="40% - Accent2 4 4 2 3" xfId="2542" xr:uid="{00000000-0005-0000-0000-000099600000}"/>
    <cellStyle name="40% - Accent2 4 4 2 3 2" xfId="5561" xr:uid="{00000000-0005-0000-0000-00009A600000}"/>
    <cellStyle name="40% - Accent2 4 4 2 3 2 2" xfId="11211" xr:uid="{00000000-0005-0000-0000-00009B600000}"/>
    <cellStyle name="40% - Accent2 4 4 2 3 2 2 2" xfId="22512" xr:uid="{00000000-0005-0000-0000-00009C600000}"/>
    <cellStyle name="40% - Accent2 4 4 2 3 2 2 2 2" xfId="45114" xr:uid="{00000000-0005-0000-0000-00009D600000}"/>
    <cellStyle name="40% - Accent2 4 4 2 3 2 2 3" xfId="33813" xr:uid="{00000000-0005-0000-0000-00009E600000}"/>
    <cellStyle name="40% - Accent2 4 4 2 3 2 3" xfId="16862" xr:uid="{00000000-0005-0000-0000-00009F600000}"/>
    <cellStyle name="40% - Accent2 4 4 2 3 2 3 2" xfId="39464" xr:uid="{00000000-0005-0000-0000-0000A0600000}"/>
    <cellStyle name="40% - Accent2 4 4 2 3 2 4" xfId="28163" xr:uid="{00000000-0005-0000-0000-0000A1600000}"/>
    <cellStyle name="40% - Accent2 4 4 2 3 3" xfId="8378" xr:uid="{00000000-0005-0000-0000-0000A2600000}"/>
    <cellStyle name="40% - Accent2 4 4 2 3 3 2" xfId="19679" xr:uid="{00000000-0005-0000-0000-0000A3600000}"/>
    <cellStyle name="40% - Accent2 4 4 2 3 3 2 2" xfId="42281" xr:uid="{00000000-0005-0000-0000-0000A4600000}"/>
    <cellStyle name="40% - Accent2 4 4 2 3 3 3" xfId="30980" xr:uid="{00000000-0005-0000-0000-0000A5600000}"/>
    <cellStyle name="40% - Accent2 4 4 2 3 4" xfId="14029" xr:uid="{00000000-0005-0000-0000-0000A6600000}"/>
    <cellStyle name="40% - Accent2 4 4 2 3 4 2" xfId="36631" xr:uid="{00000000-0005-0000-0000-0000A7600000}"/>
    <cellStyle name="40% - Accent2 4 4 2 3 5" xfId="25330" xr:uid="{00000000-0005-0000-0000-0000A8600000}"/>
    <cellStyle name="40% - Accent2 4 4 2 4" xfId="4327" xr:uid="{00000000-0005-0000-0000-0000A9600000}"/>
    <cellStyle name="40% - Accent2 4 4 2 4 2" xfId="9977" xr:uid="{00000000-0005-0000-0000-0000AA600000}"/>
    <cellStyle name="40% - Accent2 4 4 2 4 2 2" xfId="21278" xr:uid="{00000000-0005-0000-0000-0000AB600000}"/>
    <cellStyle name="40% - Accent2 4 4 2 4 2 2 2" xfId="43880" xr:uid="{00000000-0005-0000-0000-0000AC600000}"/>
    <cellStyle name="40% - Accent2 4 4 2 4 2 3" xfId="32579" xr:uid="{00000000-0005-0000-0000-0000AD600000}"/>
    <cellStyle name="40% - Accent2 4 4 2 4 3" xfId="15628" xr:uid="{00000000-0005-0000-0000-0000AE600000}"/>
    <cellStyle name="40% - Accent2 4 4 2 4 3 2" xfId="38230" xr:uid="{00000000-0005-0000-0000-0000AF600000}"/>
    <cellStyle name="40% - Accent2 4 4 2 4 4" xfId="26929" xr:uid="{00000000-0005-0000-0000-0000B0600000}"/>
    <cellStyle name="40% - Accent2 4 4 2 5" xfId="7124" xr:uid="{00000000-0005-0000-0000-0000B1600000}"/>
    <cellStyle name="40% - Accent2 4 4 2 5 2" xfId="18425" xr:uid="{00000000-0005-0000-0000-0000B2600000}"/>
    <cellStyle name="40% - Accent2 4 4 2 5 2 2" xfId="41027" xr:uid="{00000000-0005-0000-0000-0000B3600000}"/>
    <cellStyle name="40% - Accent2 4 4 2 5 3" xfId="29726" xr:uid="{00000000-0005-0000-0000-0000B4600000}"/>
    <cellStyle name="40% - Accent2 4 4 2 6" xfId="12775" xr:uid="{00000000-0005-0000-0000-0000B5600000}"/>
    <cellStyle name="40% - Accent2 4 4 2 6 2" xfId="35377" xr:uid="{00000000-0005-0000-0000-0000B6600000}"/>
    <cellStyle name="40% - Accent2 4 4 2 7" xfId="24076" xr:uid="{00000000-0005-0000-0000-0000B7600000}"/>
    <cellStyle name="40% - Accent2 4 4 3" xfId="819" xr:uid="{00000000-0005-0000-0000-0000B8600000}"/>
    <cellStyle name="40% - Accent2 4 4 3 2" xfId="2906" xr:uid="{00000000-0005-0000-0000-0000B9600000}"/>
    <cellStyle name="40% - Accent2 4 4 3 2 2" xfId="5878" xr:uid="{00000000-0005-0000-0000-0000BA600000}"/>
    <cellStyle name="40% - Accent2 4 4 3 2 2 2" xfId="11528" xr:uid="{00000000-0005-0000-0000-0000BB600000}"/>
    <cellStyle name="40% - Accent2 4 4 3 2 2 2 2" xfId="22829" xr:uid="{00000000-0005-0000-0000-0000BC600000}"/>
    <cellStyle name="40% - Accent2 4 4 3 2 2 2 2 2" xfId="45431" xr:uid="{00000000-0005-0000-0000-0000BD600000}"/>
    <cellStyle name="40% - Accent2 4 4 3 2 2 2 3" xfId="34130" xr:uid="{00000000-0005-0000-0000-0000BE600000}"/>
    <cellStyle name="40% - Accent2 4 4 3 2 2 3" xfId="17179" xr:uid="{00000000-0005-0000-0000-0000BF600000}"/>
    <cellStyle name="40% - Accent2 4 4 3 2 2 3 2" xfId="39781" xr:uid="{00000000-0005-0000-0000-0000C0600000}"/>
    <cellStyle name="40% - Accent2 4 4 3 2 2 4" xfId="28480" xr:uid="{00000000-0005-0000-0000-0000C1600000}"/>
    <cellStyle name="40% - Accent2 4 4 3 2 3" xfId="8696" xr:uid="{00000000-0005-0000-0000-0000C2600000}"/>
    <cellStyle name="40% - Accent2 4 4 3 2 3 2" xfId="19997" xr:uid="{00000000-0005-0000-0000-0000C3600000}"/>
    <cellStyle name="40% - Accent2 4 4 3 2 3 2 2" xfId="42599" xr:uid="{00000000-0005-0000-0000-0000C4600000}"/>
    <cellStyle name="40% - Accent2 4 4 3 2 3 3" xfId="31298" xr:uid="{00000000-0005-0000-0000-0000C5600000}"/>
    <cellStyle name="40% - Accent2 4 4 3 2 4" xfId="14347" xr:uid="{00000000-0005-0000-0000-0000C6600000}"/>
    <cellStyle name="40% - Accent2 4 4 3 2 4 2" xfId="36949" xr:uid="{00000000-0005-0000-0000-0000C7600000}"/>
    <cellStyle name="40% - Accent2 4 4 3 2 5" xfId="25648" xr:uid="{00000000-0005-0000-0000-0000C8600000}"/>
    <cellStyle name="40% - Accent2 4 4 3 3" xfId="4644" xr:uid="{00000000-0005-0000-0000-0000C9600000}"/>
    <cellStyle name="40% - Accent2 4 4 3 3 2" xfId="10294" xr:uid="{00000000-0005-0000-0000-0000CA600000}"/>
    <cellStyle name="40% - Accent2 4 4 3 3 2 2" xfId="21595" xr:uid="{00000000-0005-0000-0000-0000CB600000}"/>
    <cellStyle name="40% - Accent2 4 4 3 3 2 2 2" xfId="44197" xr:uid="{00000000-0005-0000-0000-0000CC600000}"/>
    <cellStyle name="40% - Accent2 4 4 3 3 2 3" xfId="32896" xr:uid="{00000000-0005-0000-0000-0000CD600000}"/>
    <cellStyle name="40% - Accent2 4 4 3 3 3" xfId="15945" xr:uid="{00000000-0005-0000-0000-0000CE600000}"/>
    <cellStyle name="40% - Accent2 4 4 3 3 3 2" xfId="38547" xr:uid="{00000000-0005-0000-0000-0000CF600000}"/>
    <cellStyle name="40% - Accent2 4 4 3 3 4" xfId="27246" xr:uid="{00000000-0005-0000-0000-0000D0600000}"/>
    <cellStyle name="40% - Accent2 4 4 3 4" xfId="6827" xr:uid="{00000000-0005-0000-0000-0000D1600000}"/>
    <cellStyle name="40% - Accent2 4 4 3 4 2" xfId="18128" xr:uid="{00000000-0005-0000-0000-0000D2600000}"/>
    <cellStyle name="40% - Accent2 4 4 3 4 2 2" xfId="40730" xr:uid="{00000000-0005-0000-0000-0000D3600000}"/>
    <cellStyle name="40% - Accent2 4 4 3 4 3" xfId="29429" xr:uid="{00000000-0005-0000-0000-0000D4600000}"/>
    <cellStyle name="40% - Accent2 4 4 3 5" xfId="12478" xr:uid="{00000000-0005-0000-0000-0000D5600000}"/>
    <cellStyle name="40% - Accent2 4 4 3 5 2" xfId="35080" xr:uid="{00000000-0005-0000-0000-0000D6600000}"/>
    <cellStyle name="40% - Accent2 4 4 3 6" xfId="23779" xr:uid="{00000000-0005-0000-0000-0000D7600000}"/>
    <cellStyle name="40% - Accent2 4 4 4" xfId="1880" xr:uid="{00000000-0005-0000-0000-0000D8600000}"/>
    <cellStyle name="40% - Accent2 4 4 4 2" xfId="3741" xr:uid="{00000000-0005-0000-0000-0000D9600000}"/>
    <cellStyle name="40% - Accent2 4 4 4 2 2" xfId="9451" xr:uid="{00000000-0005-0000-0000-0000DA600000}"/>
    <cellStyle name="40% - Accent2 4 4 4 2 2 2" xfId="20752" xr:uid="{00000000-0005-0000-0000-0000DB600000}"/>
    <cellStyle name="40% - Accent2 4 4 4 2 2 2 2" xfId="43354" xr:uid="{00000000-0005-0000-0000-0000DC600000}"/>
    <cellStyle name="40% - Accent2 4 4 4 2 2 3" xfId="32053" xr:uid="{00000000-0005-0000-0000-0000DD600000}"/>
    <cellStyle name="40% - Accent2 4 4 4 2 3" xfId="15102" xr:uid="{00000000-0005-0000-0000-0000DE600000}"/>
    <cellStyle name="40% - Accent2 4 4 4 2 3 2" xfId="37704" xr:uid="{00000000-0005-0000-0000-0000DF600000}"/>
    <cellStyle name="40% - Accent2 4 4 4 2 4" xfId="26403" xr:uid="{00000000-0005-0000-0000-0000E0600000}"/>
    <cellStyle name="40% - Accent2 4 4 4 3" xfId="5254" xr:uid="{00000000-0005-0000-0000-0000E1600000}"/>
    <cellStyle name="40% - Accent2 4 4 4 3 2" xfId="10904" xr:uid="{00000000-0005-0000-0000-0000E2600000}"/>
    <cellStyle name="40% - Accent2 4 4 4 3 2 2" xfId="22205" xr:uid="{00000000-0005-0000-0000-0000E3600000}"/>
    <cellStyle name="40% - Accent2 4 4 4 3 2 2 2" xfId="44807" xr:uid="{00000000-0005-0000-0000-0000E4600000}"/>
    <cellStyle name="40% - Accent2 4 4 4 3 2 3" xfId="33506" xr:uid="{00000000-0005-0000-0000-0000E5600000}"/>
    <cellStyle name="40% - Accent2 4 4 4 3 3" xfId="16555" xr:uid="{00000000-0005-0000-0000-0000E6600000}"/>
    <cellStyle name="40% - Accent2 4 4 4 3 3 2" xfId="39157" xr:uid="{00000000-0005-0000-0000-0000E7600000}"/>
    <cellStyle name="40% - Accent2 4 4 4 3 4" xfId="27856" xr:uid="{00000000-0005-0000-0000-0000E8600000}"/>
    <cellStyle name="40% - Accent2 4 4 4 4" xfId="7736" xr:uid="{00000000-0005-0000-0000-0000E9600000}"/>
    <cellStyle name="40% - Accent2 4 4 4 4 2" xfId="19037" xr:uid="{00000000-0005-0000-0000-0000EA600000}"/>
    <cellStyle name="40% - Accent2 4 4 4 4 2 2" xfId="41639" xr:uid="{00000000-0005-0000-0000-0000EB600000}"/>
    <cellStyle name="40% - Accent2 4 4 4 4 3" xfId="30338" xr:uid="{00000000-0005-0000-0000-0000EC600000}"/>
    <cellStyle name="40% - Accent2 4 4 4 5" xfId="13387" xr:uid="{00000000-0005-0000-0000-0000ED600000}"/>
    <cellStyle name="40% - Accent2 4 4 4 5 2" xfId="35989" xr:uid="{00000000-0005-0000-0000-0000EE600000}"/>
    <cellStyle name="40% - Accent2 4 4 4 6" xfId="24688" xr:uid="{00000000-0005-0000-0000-0000EF600000}"/>
    <cellStyle name="40% - Accent2 4 4 5" xfId="2226" xr:uid="{00000000-0005-0000-0000-0000F0600000}"/>
    <cellStyle name="40% - Accent2 4 4 5 2" xfId="8068" xr:uid="{00000000-0005-0000-0000-0000F1600000}"/>
    <cellStyle name="40% - Accent2 4 4 5 2 2" xfId="19369" xr:uid="{00000000-0005-0000-0000-0000F2600000}"/>
    <cellStyle name="40% - Accent2 4 4 5 2 2 2" xfId="41971" xr:uid="{00000000-0005-0000-0000-0000F3600000}"/>
    <cellStyle name="40% - Accent2 4 4 5 2 3" xfId="30670" xr:uid="{00000000-0005-0000-0000-0000F4600000}"/>
    <cellStyle name="40% - Accent2 4 4 5 3" xfId="13719" xr:uid="{00000000-0005-0000-0000-0000F5600000}"/>
    <cellStyle name="40% - Accent2 4 4 5 3 2" xfId="36321" xr:uid="{00000000-0005-0000-0000-0000F6600000}"/>
    <cellStyle name="40% - Accent2 4 4 5 4" xfId="25020" xr:uid="{00000000-0005-0000-0000-0000F7600000}"/>
    <cellStyle name="40% - Accent2 4 4 6" xfId="4020" xr:uid="{00000000-0005-0000-0000-0000F8600000}"/>
    <cellStyle name="40% - Accent2 4 4 6 2" xfId="9670" xr:uid="{00000000-0005-0000-0000-0000F9600000}"/>
    <cellStyle name="40% - Accent2 4 4 6 2 2" xfId="20971" xr:uid="{00000000-0005-0000-0000-0000FA600000}"/>
    <cellStyle name="40% - Accent2 4 4 6 2 2 2" xfId="43573" xr:uid="{00000000-0005-0000-0000-0000FB600000}"/>
    <cellStyle name="40% - Accent2 4 4 6 2 3" xfId="32272" xr:uid="{00000000-0005-0000-0000-0000FC600000}"/>
    <cellStyle name="40% - Accent2 4 4 6 3" xfId="15321" xr:uid="{00000000-0005-0000-0000-0000FD600000}"/>
    <cellStyle name="40% - Accent2 4 4 6 3 2" xfId="37923" xr:uid="{00000000-0005-0000-0000-0000FE600000}"/>
    <cellStyle name="40% - Accent2 4 4 6 4" xfId="26622" xr:uid="{00000000-0005-0000-0000-0000FF600000}"/>
    <cellStyle name="40% - Accent2 4 4 7" xfId="6638" xr:uid="{00000000-0005-0000-0000-000000610000}"/>
    <cellStyle name="40% - Accent2 4 4 7 2" xfId="17939" xr:uid="{00000000-0005-0000-0000-000001610000}"/>
    <cellStyle name="40% - Accent2 4 4 7 2 2" xfId="40541" xr:uid="{00000000-0005-0000-0000-000002610000}"/>
    <cellStyle name="40% - Accent2 4 4 7 3" xfId="29240" xr:uid="{00000000-0005-0000-0000-000003610000}"/>
    <cellStyle name="40% - Accent2 4 4 8" xfId="12289" xr:uid="{00000000-0005-0000-0000-000004610000}"/>
    <cellStyle name="40% - Accent2 4 4 8 2" xfId="34891" xr:uid="{00000000-0005-0000-0000-000005610000}"/>
    <cellStyle name="40% - Accent2 4 4 9" xfId="23590" xr:uid="{00000000-0005-0000-0000-000006610000}"/>
    <cellStyle name="40% - Accent2 4 5" xfId="515" xr:uid="{00000000-0005-0000-0000-000007610000}"/>
    <cellStyle name="40% - Accent2 4 5 2" xfId="1284" xr:uid="{00000000-0005-0000-0000-000008610000}"/>
    <cellStyle name="40% - Accent2 4 5 2 2" xfId="1883" xr:uid="{00000000-0005-0000-0000-000009610000}"/>
    <cellStyle name="40% - Accent2 4 5 2 2 2" xfId="3353" xr:uid="{00000000-0005-0000-0000-00000A610000}"/>
    <cellStyle name="40% - Accent2 4 5 2 2 2 2" xfId="6325" xr:uid="{00000000-0005-0000-0000-00000B610000}"/>
    <cellStyle name="40% - Accent2 4 5 2 2 2 2 2" xfId="11975" xr:uid="{00000000-0005-0000-0000-00000C610000}"/>
    <cellStyle name="40% - Accent2 4 5 2 2 2 2 2 2" xfId="23276" xr:uid="{00000000-0005-0000-0000-00000D610000}"/>
    <cellStyle name="40% - Accent2 4 5 2 2 2 2 2 2 2" xfId="45878" xr:uid="{00000000-0005-0000-0000-00000E610000}"/>
    <cellStyle name="40% - Accent2 4 5 2 2 2 2 2 3" xfId="34577" xr:uid="{00000000-0005-0000-0000-00000F610000}"/>
    <cellStyle name="40% - Accent2 4 5 2 2 2 2 3" xfId="17626" xr:uid="{00000000-0005-0000-0000-000010610000}"/>
    <cellStyle name="40% - Accent2 4 5 2 2 2 2 3 2" xfId="40228" xr:uid="{00000000-0005-0000-0000-000011610000}"/>
    <cellStyle name="40% - Accent2 4 5 2 2 2 2 4" xfId="28927" xr:uid="{00000000-0005-0000-0000-000012610000}"/>
    <cellStyle name="40% - Accent2 4 5 2 2 2 3" xfId="9143" xr:uid="{00000000-0005-0000-0000-000013610000}"/>
    <cellStyle name="40% - Accent2 4 5 2 2 2 3 2" xfId="20444" xr:uid="{00000000-0005-0000-0000-000014610000}"/>
    <cellStyle name="40% - Accent2 4 5 2 2 2 3 2 2" xfId="43046" xr:uid="{00000000-0005-0000-0000-000015610000}"/>
    <cellStyle name="40% - Accent2 4 5 2 2 2 3 3" xfId="31745" xr:uid="{00000000-0005-0000-0000-000016610000}"/>
    <cellStyle name="40% - Accent2 4 5 2 2 2 4" xfId="14794" xr:uid="{00000000-0005-0000-0000-000017610000}"/>
    <cellStyle name="40% - Accent2 4 5 2 2 2 4 2" xfId="37396" xr:uid="{00000000-0005-0000-0000-000018610000}"/>
    <cellStyle name="40% - Accent2 4 5 2 2 2 5" xfId="26095" xr:uid="{00000000-0005-0000-0000-000019610000}"/>
    <cellStyle name="40% - Accent2 4 5 2 2 3" xfId="5091" xr:uid="{00000000-0005-0000-0000-00001A610000}"/>
    <cellStyle name="40% - Accent2 4 5 2 2 3 2" xfId="10741" xr:uid="{00000000-0005-0000-0000-00001B610000}"/>
    <cellStyle name="40% - Accent2 4 5 2 2 3 2 2" xfId="22042" xr:uid="{00000000-0005-0000-0000-00001C610000}"/>
    <cellStyle name="40% - Accent2 4 5 2 2 3 2 2 2" xfId="44644" xr:uid="{00000000-0005-0000-0000-00001D610000}"/>
    <cellStyle name="40% - Accent2 4 5 2 2 3 2 3" xfId="33343" xr:uid="{00000000-0005-0000-0000-00001E610000}"/>
    <cellStyle name="40% - Accent2 4 5 2 2 3 3" xfId="16392" xr:uid="{00000000-0005-0000-0000-00001F610000}"/>
    <cellStyle name="40% - Accent2 4 5 2 2 3 3 2" xfId="38994" xr:uid="{00000000-0005-0000-0000-000020610000}"/>
    <cellStyle name="40% - Accent2 4 5 2 2 3 4" xfId="27693" xr:uid="{00000000-0005-0000-0000-000021610000}"/>
    <cellStyle name="40% - Accent2 4 5 2 2 4" xfId="7739" xr:uid="{00000000-0005-0000-0000-000022610000}"/>
    <cellStyle name="40% - Accent2 4 5 2 2 4 2" xfId="19040" xr:uid="{00000000-0005-0000-0000-000023610000}"/>
    <cellStyle name="40% - Accent2 4 5 2 2 4 2 2" xfId="41642" xr:uid="{00000000-0005-0000-0000-000024610000}"/>
    <cellStyle name="40% - Accent2 4 5 2 2 4 3" xfId="30341" xr:uid="{00000000-0005-0000-0000-000025610000}"/>
    <cellStyle name="40% - Accent2 4 5 2 2 5" xfId="13390" xr:uid="{00000000-0005-0000-0000-000026610000}"/>
    <cellStyle name="40% - Accent2 4 5 2 2 5 2" xfId="35992" xr:uid="{00000000-0005-0000-0000-000027610000}"/>
    <cellStyle name="40% - Accent2 4 5 2 2 6" xfId="24691" xr:uid="{00000000-0005-0000-0000-000028610000}"/>
    <cellStyle name="40% - Accent2 4 5 2 3" xfId="2682" xr:uid="{00000000-0005-0000-0000-000029610000}"/>
    <cellStyle name="40% - Accent2 4 5 2 3 2" xfId="5701" xr:uid="{00000000-0005-0000-0000-00002A610000}"/>
    <cellStyle name="40% - Accent2 4 5 2 3 2 2" xfId="11351" xr:uid="{00000000-0005-0000-0000-00002B610000}"/>
    <cellStyle name="40% - Accent2 4 5 2 3 2 2 2" xfId="22652" xr:uid="{00000000-0005-0000-0000-00002C610000}"/>
    <cellStyle name="40% - Accent2 4 5 2 3 2 2 2 2" xfId="45254" xr:uid="{00000000-0005-0000-0000-00002D610000}"/>
    <cellStyle name="40% - Accent2 4 5 2 3 2 2 3" xfId="33953" xr:uid="{00000000-0005-0000-0000-00002E610000}"/>
    <cellStyle name="40% - Accent2 4 5 2 3 2 3" xfId="17002" xr:uid="{00000000-0005-0000-0000-00002F610000}"/>
    <cellStyle name="40% - Accent2 4 5 2 3 2 3 2" xfId="39604" xr:uid="{00000000-0005-0000-0000-000030610000}"/>
    <cellStyle name="40% - Accent2 4 5 2 3 2 4" xfId="28303" xr:uid="{00000000-0005-0000-0000-000031610000}"/>
    <cellStyle name="40% - Accent2 4 5 2 3 3" xfId="8518" xr:uid="{00000000-0005-0000-0000-000032610000}"/>
    <cellStyle name="40% - Accent2 4 5 2 3 3 2" xfId="19819" xr:uid="{00000000-0005-0000-0000-000033610000}"/>
    <cellStyle name="40% - Accent2 4 5 2 3 3 2 2" xfId="42421" xr:uid="{00000000-0005-0000-0000-000034610000}"/>
    <cellStyle name="40% - Accent2 4 5 2 3 3 3" xfId="31120" xr:uid="{00000000-0005-0000-0000-000035610000}"/>
    <cellStyle name="40% - Accent2 4 5 2 3 4" xfId="14169" xr:uid="{00000000-0005-0000-0000-000036610000}"/>
    <cellStyle name="40% - Accent2 4 5 2 3 4 2" xfId="36771" xr:uid="{00000000-0005-0000-0000-000037610000}"/>
    <cellStyle name="40% - Accent2 4 5 2 3 5" xfId="25470" xr:uid="{00000000-0005-0000-0000-000038610000}"/>
    <cellStyle name="40% - Accent2 4 5 2 4" xfId="4467" xr:uid="{00000000-0005-0000-0000-000039610000}"/>
    <cellStyle name="40% - Accent2 4 5 2 4 2" xfId="10117" xr:uid="{00000000-0005-0000-0000-00003A610000}"/>
    <cellStyle name="40% - Accent2 4 5 2 4 2 2" xfId="21418" xr:uid="{00000000-0005-0000-0000-00003B610000}"/>
    <cellStyle name="40% - Accent2 4 5 2 4 2 2 2" xfId="44020" xr:uid="{00000000-0005-0000-0000-00003C610000}"/>
    <cellStyle name="40% - Accent2 4 5 2 4 2 3" xfId="32719" xr:uid="{00000000-0005-0000-0000-00003D610000}"/>
    <cellStyle name="40% - Accent2 4 5 2 4 3" xfId="15768" xr:uid="{00000000-0005-0000-0000-00003E610000}"/>
    <cellStyle name="40% - Accent2 4 5 2 4 3 2" xfId="38370" xr:uid="{00000000-0005-0000-0000-00003F610000}"/>
    <cellStyle name="40% - Accent2 4 5 2 4 4" xfId="27069" xr:uid="{00000000-0005-0000-0000-000040610000}"/>
    <cellStyle name="40% - Accent2 4 5 2 5" xfId="7263" xr:uid="{00000000-0005-0000-0000-000041610000}"/>
    <cellStyle name="40% - Accent2 4 5 2 5 2" xfId="18564" xr:uid="{00000000-0005-0000-0000-000042610000}"/>
    <cellStyle name="40% - Accent2 4 5 2 5 2 2" xfId="41166" xr:uid="{00000000-0005-0000-0000-000043610000}"/>
    <cellStyle name="40% - Accent2 4 5 2 5 3" xfId="29865" xr:uid="{00000000-0005-0000-0000-000044610000}"/>
    <cellStyle name="40% - Accent2 4 5 2 6" xfId="12914" xr:uid="{00000000-0005-0000-0000-000045610000}"/>
    <cellStyle name="40% - Accent2 4 5 2 6 2" xfId="35516" xr:uid="{00000000-0005-0000-0000-000046610000}"/>
    <cellStyle name="40% - Accent2 4 5 2 7" xfId="24215" xr:uid="{00000000-0005-0000-0000-000047610000}"/>
    <cellStyle name="40% - Accent2 4 5 3" xfId="982" xr:uid="{00000000-0005-0000-0000-000048610000}"/>
    <cellStyle name="40% - Accent2 4 5 3 2" xfId="3045" xr:uid="{00000000-0005-0000-0000-000049610000}"/>
    <cellStyle name="40% - Accent2 4 5 3 2 2" xfId="6017" xr:uid="{00000000-0005-0000-0000-00004A610000}"/>
    <cellStyle name="40% - Accent2 4 5 3 2 2 2" xfId="11667" xr:uid="{00000000-0005-0000-0000-00004B610000}"/>
    <cellStyle name="40% - Accent2 4 5 3 2 2 2 2" xfId="22968" xr:uid="{00000000-0005-0000-0000-00004C610000}"/>
    <cellStyle name="40% - Accent2 4 5 3 2 2 2 2 2" xfId="45570" xr:uid="{00000000-0005-0000-0000-00004D610000}"/>
    <cellStyle name="40% - Accent2 4 5 3 2 2 2 3" xfId="34269" xr:uid="{00000000-0005-0000-0000-00004E610000}"/>
    <cellStyle name="40% - Accent2 4 5 3 2 2 3" xfId="17318" xr:uid="{00000000-0005-0000-0000-00004F610000}"/>
    <cellStyle name="40% - Accent2 4 5 3 2 2 3 2" xfId="39920" xr:uid="{00000000-0005-0000-0000-000050610000}"/>
    <cellStyle name="40% - Accent2 4 5 3 2 2 4" xfId="28619" xr:uid="{00000000-0005-0000-0000-000051610000}"/>
    <cellStyle name="40% - Accent2 4 5 3 2 3" xfId="8835" xr:uid="{00000000-0005-0000-0000-000052610000}"/>
    <cellStyle name="40% - Accent2 4 5 3 2 3 2" xfId="20136" xr:uid="{00000000-0005-0000-0000-000053610000}"/>
    <cellStyle name="40% - Accent2 4 5 3 2 3 2 2" xfId="42738" xr:uid="{00000000-0005-0000-0000-000054610000}"/>
    <cellStyle name="40% - Accent2 4 5 3 2 3 3" xfId="31437" xr:uid="{00000000-0005-0000-0000-000055610000}"/>
    <cellStyle name="40% - Accent2 4 5 3 2 4" xfId="14486" xr:uid="{00000000-0005-0000-0000-000056610000}"/>
    <cellStyle name="40% - Accent2 4 5 3 2 4 2" xfId="37088" xr:uid="{00000000-0005-0000-0000-000057610000}"/>
    <cellStyle name="40% - Accent2 4 5 3 2 5" xfId="25787" xr:uid="{00000000-0005-0000-0000-000058610000}"/>
    <cellStyle name="40% - Accent2 4 5 3 3" xfId="4783" xr:uid="{00000000-0005-0000-0000-000059610000}"/>
    <cellStyle name="40% - Accent2 4 5 3 3 2" xfId="10433" xr:uid="{00000000-0005-0000-0000-00005A610000}"/>
    <cellStyle name="40% - Accent2 4 5 3 3 2 2" xfId="21734" xr:uid="{00000000-0005-0000-0000-00005B610000}"/>
    <cellStyle name="40% - Accent2 4 5 3 3 2 2 2" xfId="44336" xr:uid="{00000000-0005-0000-0000-00005C610000}"/>
    <cellStyle name="40% - Accent2 4 5 3 3 2 3" xfId="33035" xr:uid="{00000000-0005-0000-0000-00005D610000}"/>
    <cellStyle name="40% - Accent2 4 5 3 3 3" xfId="16084" xr:uid="{00000000-0005-0000-0000-00005E610000}"/>
    <cellStyle name="40% - Accent2 4 5 3 3 3 2" xfId="38686" xr:uid="{00000000-0005-0000-0000-00005F610000}"/>
    <cellStyle name="40% - Accent2 4 5 3 3 4" xfId="27385" xr:uid="{00000000-0005-0000-0000-000060610000}"/>
    <cellStyle name="40% - Accent2 4 5 3 4" xfId="6970" xr:uid="{00000000-0005-0000-0000-000061610000}"/>
    <cellStyle name="40% - Accent2 4 5 3 4 2" xfId="18271" xr:uid="{00000000-0005-0000-0000-000062610000}"/>
    <cellStyle name="40% - Accent2 4 5 3 4 2 2" xfId="40873" xr:uid="{00000000-0005-0000-0000-000063610000}"/>
    <cellStyle name="40% - Accent2 4 5 3 4 3" xfId="29572" xr:uid="{00000000-0005-0000-0000-000064610000}"/>
    <cellStyle name="40% - Accent2 4 5 3 5" xfId="12621" xr:uid="{00000000-0005-0000-0000-000065610000}"/>
    <cellStyle name="40% - Accent2 4 5 3 5 2" xfId="35223" xr:uid="{00000000-0005-0000-0000-000066610000}"/>
    <cellStyle name="40% - Accent2 4 5 3 6" xfId="23922" xr:uid="{00000000-0005-0000-0000-000067610000}"/>
    <cellStyle name="40% - Accent2 4 5 4" xfId="1882" xr:uid="{00000000-0005-0000-0000-000068610000}"/>
    <cellStyle name="40% - Accent2 4 5 4 2" xfId="3742" xr:uid="{00000000-0005-0000-0000-000069610000}"/>
    <cellStyle name="40% - Accent2 4 5 4 2 2" xfId="9452" xr:uid="{00000000-0005-0000-0000-00006A610000}"/>
    <cellStyle name="40% - Accent2 4 5 4 2 2 2" xfId="20753" xr:uid="{00000000-0005-0000-0000-00006B610000}"/>
    <cellStyle name="40% - Accent2 4 5 4 2 2 2 2" xfId="43355" xr:uid="{00000000-0005-0000-0000-00006C610000}"/>
    <cellStyle name="40% - Accent2 4 5 4 2 2 3" xfId="32054" xr:uid="{00000000-0005-0000-0000-00006D610000}"/>
    <cellStyle name="40% - Accent2 4 5 4 2 3" xfId="15103" xr:uid="{00000000-0005-0000-0000-00006E610000}"/>
    <cellStyle name="40% - Accent2 4 5 4 2 3 2" xfId="37705" xr:uid="{00000000-0005-0000-0000-00006F610000}"/>
    <cellStyle name="40% - Accent2 4 5 4 2 4" xfId="26404" xr:uid="{00000000-0005-0000-0000-000070610000}"/>
    <cellStyle name="40% - Accent2 4 5 4 3" xfId="5393" xr:uid="{00000000-0005-0000-0000-000071610000}"/>
    <cellStyle name="40% - Accent2 4 5 4 3 2" xfId="11043" xr:uid="{00000000-0005-0000-0000-000072610000}"/>
    <cellStyle name="40% - Accent2 4 5 4 3 2 2" xfId="22344" xr:uid="{00000000-0005-0000-0000-000073610000}"/>
    <cellStyle name="40% - Accent2 4 5 4 3 2 2 2" xfId="44946" xr:uid="{00000000-0005-0000-0000-000074610000}"/>
    <cellStyle name="40% - Accent2 4 5 4 3 2 3" xfId="33645" xr:uid="{00000000-0005-0000-0000-000075610000}"/>
    <cellStyle name="40% - Accent2 4 5 4 3 3" xfId="16694" xr:uid="{00000000-0005-0000-0000-000076610000}"/>
    <cellStyle name="40% - Accent2 4 5 4 3 3 2" xfId="39296" xr:uid="{00000000-0005-0000-0000-000077610000}"/>
    <cellStyle name="40% - Accent2 4 5 4 3 4" xfId="27995" xr:uid="{00000000-0005-0000-0000-000078610000}"/>
    <cellStyle name="40% - Accent2 4 5 4 4" xfId="7738" xr:uid="{00000000-0005-0000-0000-000079610000}"/>
    <cellStyle name="40% - Accent2 4 5 4 4 2" xfId="19039" xr:uid="{00000000-0005-0000-0000-00007A610000}"/>
    <cellStyle name="40% - Accent2 4 5 4 4 2 2" xfId="41641" xr:uid="{00000000-0005-0000-0000-00007B610000}"/>
    <cellStyle name="40% - Accent2 4 5 4 4 3" xfId="30340" xr:uid="{00000000-0005-0000-0000-00007C610000}"/>
    <cellStyle name="40% - Accent2 4 5 4 5" xfId="13389" xr:uid="{00000000-0005-0000-0000-00007D610000}"/>
    <cellStyle name="40% - Accent2 4 5 4 5 2" xfId="35991" xr:uid="{00000000-0005-0000-0000-00007E610000}"/>
    <cellStyle name="40% - Accent2 4 5 4 6" xfId="24690" xr:uid="{00000000-0005-0000-0000-00007F610000}"/>
    <cellStyle name="40% - Accent2 4 5 5" xfId="2374" xr:uid="{00000000-0005-0000-0000-000080610000}"/>
    <cellStyle name="40% - Accent2 4 5 5 2" xfId="8210" xr:uid="{00000000-0005-0000-0000-000081610000}"/>
    <cellStyle name="40% - Accent2 4 5 5 2 2" xfId="19511" xr:uid="{00000000-0005-0000-0000-000082610000}"/>
    <cellStyle name="40% - Accent2 4 5 5 2 2 2" xfId="42113" xr:uid="{00000000-0005-0000-0000-000083610000}"/>
    <cellStyle name="40% - Accent2 4 5 5 2 3" xfId="30812" xr:uid="{00000000-0005-0000-0000-000084610000}"/>
    <cellStyle name="40% - Accent2 4 5 5 3" xfId="13861" xr:uid="{00000000-0005-0000-0000-000085610000}"/>
    <cellStyle name="40% - Accent2 4 5 5 3 2" xfId="36463" xr:uid="{00000000-0005-0000-0000-000086610000}"/>
    <cellStyle name="40% - Accent2 4 5 5 4" xfId="25162" xr:uid="{00000000-0005-0000-0000-000087610000}"/>
    <cellStyle name="40% - Accent2 4 5 6" xfId="4159" xr:uid="{00000000-0005-0000-0000-000088610000}"/>
    <cellStyle name="40% - Accent2 4 5 6 2" xfId="9809" xr:uid="{00000000-0005-0000-0000-000089610000}"/>
    <cellStyle name="40% - Accent2 4 5 6 2 2" xfId="21110" xr:uid="{00000000-0005-0000-0000-00008A610000}"/>
    <cellStyle name="40% - Accent2 4 5 6 2 2 2" xfId="43712" xr:uid="{00000000-0005-0000-0000-00008B610000}"/>
    <cellStyle name="40% - Accent2 4 5 6 2 3" xfId="32411" xr:uid="{00000000-0005-0000-0000-00008C610000}"/>
    <cellStyle name="40% - Accent2 4 5 6 3" xfId="15460" xr:uid="{00000000-0005-0000-0000-00008D610000}"/>
    <cellStyle name="40% - Accent2 4 5 6 3 2" xfId="38062" xr:uid="{00000000-0005-0000-0000-00008E610000}"/>
    <cellStyle name="40% - Accent2 4 5 6 4" xfId="26761" xr:uid="{00000000-0005-0000-0000-00008F610000}"/>
    <cellStyle name="40% - Accent2 4 5 7" xfId="6610" xr:uid="{00000000-0005-0000-0000-000090610000}"/>
    <cellStyle name="40% - Accent2 4 5 7 2" xfId="17911" xr:uid="{00000000-0005-0000-0000-000091610000}"/>
    <cellStyle name="40% - Accent2 4 5 7 2 2" xfId="40513" xr:uid="{00000000-0005-0000-0000-000092610000}"/>
    <cellStyle name="40% - Accent2 4 5 7 3" xfId="29212" xr:uid="{00000000-0005-0000-0000-000093610000}"/>
    <cellStyle name="40% - Accent2 4 5 8" xfId="12261" xr:uid="{00000000-0005-0000-0000-000094610000}"/>
    <cellStyle name="40% - Accent2 4 5 8 2" xfId="34863" xr:uid="{00000000-0005-0000-0000-000095610000}"/>
    <cellStyle name="40% - Accent2 4 5 9" xfId="23562" xr:uid="{00000000-0005-0000-0000-000096610000}"/>
    <cellStyle name="40% - Accent2 4 6" xfId="1117" xr:uid="{00000000-0005-0000-0000-000097610000}"/>
    <cellStyle name="40% - Accent2 4 6 2" xfId="1884" xr:uid="{00000000-0005-0000-0000-000098610000}"/>
    <cellStyle name="40% - Accent2 4 6 2 2" xfId="3184" xr:uid="{00000000-0005-0000-0000-000099610000}"/>
    <cellStyle name="40% - Accent2 4 6 2 2 2" xfId="6156" xr:uid="{00000000-0005-0000-0000-00009A610000}"/>
    <cellStyle name="40% - Accent2 4 6 2 2 2 2" xfId="11806" xr:uid="{00000000-0005-0000-0000-00009B610000}"/>
    <cellStyle name="40% - Accent2 4 6 2 2 2 2 2" xfId="23107" xr:uid="{00000000-0005-0000-0000-00009C610000}"/>
    <cellStyle name="40% - Accent2 4 6 2 2 2 2 2 2" xfId="45709" xr:uid="{00000000-0005-0000-0000-00009D610000}"/>
    <cellStyle name="40% - Accent2 4 6 2 2 2 2 3" xfId="34408" xr:uid="{00000000-0005-0000-0000-00009E610000}"/>
    <cellStyle name="40% - Accent2 4 6 2 2 2 3" xfId="17457" xr:uid="{00000000-0005-0000-0000-00009F610000}"/>
    <cellStyle name="40% - Accent2 4 6 2 2 2 3 2" xfId="40059" xr:uid="{00000000-0005-0000-0000-0000A0610000}"/>
    <cellStyle name="40% - Accent2 4 6 2 2 2 4" xfId="28758" xr:uid="{00000000-0005-0000-0000-0000A1610000}"/>
    <cellStyle name="40% - Accent2 4 6 2 2 3" xfId="8974" xr:uid="{00000000-0005-0000-0000-0000A2610000}"/>
    <cellStyle name="40% - Accent2 4 6 2 2 3 2" xfId="20275" xr:uid="{00000000-0005-0000-0000-0000A3610000}"/>
    <cellStyle name="40% - Accent2 4 6 2 2 3 2 2" xfId="42877" xr:uid="{00000000-0005-0000-0000-0000A4610000}"/>
    <cellStyle name="40% - Accent2 4 6 2 2 3 3" xfId="31576" xr:uid="{00000000-0005-0000-0000-0000A5610000}"/>
    <cellStyle name="40% - Accent2 4 6 2 2 4" xfId="14625" xr:uid="{00000000-0005-0000-0000-0000A6610000}"/>
    <cellStyle name="40% - Accent2 4 6 2 2 4 2" xfId="37227" xr:uid="{00000000-0005-0000-0000-0000A7610000}"/>
    <cellStyle name="40% - Accent2 4 6 2 2 5" xfId="25926" xr:uid="{00000000-0005-0000-0000-0000A8610000}"/>
    <cellStyle name="40% - Accent2 4 6 2 3" xfId="4922" xr:uid="{00000000-0005-0000-0000-0000A9610000}"/>
    <cellStyle name="40% - Accent2 4 6 2 3 2" xfId="10572" xr:uid="{00000000-0005-0000-0000-0000AA610000}"/>
    <cellStyle name="40% - Accent2 4 6 2 3 2 2" xfId="21873" xr:uid="{00000000-0005-0000-0000-0000AB610000}"/>
    <cellStyle name="40% - Accent2 4 6 2 3 2 2 2" xfId="44475" xr:uid="{00000000-0005-0000-0000-0000AC610000}"/>
    <cellStyle name="40% - Accent2 4 6 2 3 2 3" xfId="33174" xr:uid="{00000000-0005-0000-0000-0000AD610000}"/>
    <cellStyle name="40% - Accent2 4 6 2 3 3" xfId="16223" xr:uid="{00000000-0005-0000-0000-0000AE610000}"/>
    <cellStyle name="40% - Accent2 4 6 2 3 3 2" xfId="38825" xr:uid="{00000000-0005-0000-0000-0000AF610000}"/>
    <cellStyle name="40% - Accent2 4 6 2 3 4" xfId="27524" xr:uid="{00000000-0005-0000-0000-0000B0610000}"/>
    <cellStyle name="40% - Accent2 4 6 2 4" xfId="7740" xr:uid="{00000000-0005-0000-0000-0000B1610000}"/>
    <cellStyle name="40% - Accent2 4 6 2 4 2" xfId="19041" xr:uid="{00000000-0005-0000-0000-0000B2610000}"/>
    <cellStyle name="40% - Accent2 4 6 2 4 2 2" xfId="41643" xr:uid="{00000000-0005-0000-0000-0000B3610000}"/>
    <cellStyle name="40% - Accent2 4 6 2 4 3" xfId="30342" xr:uid="{00000000-0005-0000-0000-0000B4610000}"/>
    <cellStyle name="40% - Accent2 4 6 2 5" xfId="13391" xr:uid="{00000000-0005-0000-0000-0000B5610000}"/>
    <cellStyle name="40% - Accent2 4 6 2 5 2" xfId="35993" xr:uid="{00000000-0005-0000-0000-0000B6610000}"/>
    <cellStyle name="40% - Accent2 4 6 2 6" xfId="24692" xr:uid="{00000000-0005-0000-0000-0000B7610000}"/>
    <cellStyle name="40% - Accent2 4 6 3" xfId="2513" xr:uid="{00000000-0005-0000-0000-0000B8610000}"/>
    <cellStyle name="40% - Accent2 4 6 3 2" xfId="5532" xr:uid="{00000000-0005-0000-0000-0000B9610000}"/>
    <cellStyle name="40% - Accent2 4 6 3 2 2" xfId="11182" xr:uid="{00000000-0005-0000-0000-0000BA610000}"/>
    <cellStyle name="40% - Accent2 4 6 3 2 2 2" xfId="22483" xr:uid="{00000000-0005-0000-0000-0000BB610000}"/>
    <cellStyle name="40% - Accent2 4 6 3 2 2 2 2" xfId="45085" xr:uid="{00000000-0005-0000-0000-0000BC610000}"/>
    <cellStyle name="40% - Accent2 4 6 3 2 2 3" xfId="33784" xr:uid="{00000000-0005-0000-0000-0000BD610000}"/>
    <cellStyle name="40% - Accent2 4 6 3 2 3" xfId="16833" xr:uid="{00000000-0005-0000-0000-0000BE610000}"/>
    <cellStyle name="40% - Accent2 4 6 3 2 3 2" xfId="39435" xr:uid="{00000000-0005-0000-0000-0000BF610000}"/>
    <cellStyle name="40% - Accent2 4 6 3 2 4" xfId="28134" xr:uid="{00000000-0005-0000-0000-0000C0610000}"/>
    <cellStyle name="40% - Accent2 4 6 3 3" xfId="8349" xr:uid="{00000000-0005-0000-0000-0000C1610000}"/>
    <cellStyle name="40% - Accent2 4 6 3 3 2" xfId="19650" xr:uid="{00000000-0005-0000-0000-0000C2610000}"/>
    <cellStyle name="40% - Accent2 4 6 3 3 2 2" xfId="42252" xr:uid="{00000000-0005-0000-0000-0000C3610000}"/>
    <cellStyle name="40% - Accent2 4 6 3 3 3" xfId="30951" xr:uid="{00000000-0005-0000-0000-0000C4610000}"/>
    <cellStyle name="40% - Accent2 4 6 3 4" xfId="14000" xr:uid="{00000000-0005-0000-0000-0000C5610000}"/>
    <cellStyle name="40% - Accent2 4 6 3 4 2" xfId="36602" xr:uid="{00000000-0005-0000-0000-0000C6610000}"/>
    <cellStyle name="40% - Accent2 4 6 3 5" xfId="25301" xr:uid="{00000000-0005-0000-0000-0000C7610000}"/>
    <cellStyle name="40% - Accent2 4 6 4" xfId="4298" xr:uid="{00000000-0005-0000-0000-0000C8610000}"/>
    <cellStyle name="40% - Accent2 4 6 4 2" xfId="9948" xr:uid="{00000000-0005-0000-0000-0000C9610000}"/>
    <cellStyle name="40% - Accent2 4 6 4 2 2" xfId="21249" xr:uid="{00000000-0005-0000-0000-0000CA610000}"/>
    <cellStyle name="40% - Accent2 4 6 4 2 2 2" xfId="43851" xr:uid="{00000000-0005-0000-0000-0000CB610000}"/>
    <cellStyle name="40% - Accent2 4 6 4 2 3" xfId="32550" xr:uid="{00000000-0005-0000-0000-0000CC610000}"/>
    <cellStyle name="40% - Accent2 4 6 4 3" xfId="15599" xr:uid="{00000000-0005-0000-0000-0000CD610000}"/>
    <cellStyle name="40% - Accent2 4 6 4 3 2" xfId="38201" xr:uid="{00000000-0005-0000-0000-0000CE610000}"/>
    <cellStyle name="40% - Accent2 4 6 4 4" xfId="26900" xr:uid="{00000000-0005-0000-0000-0000CF610000}"/>
    <cellStyle name="40% - Accent2 4 6 5" xfId="7096" xr:uid="{00000000-0005-0000-0000-0000D0610000}"/>
    <cellStyle name="40% - Accent2 4 6 5 2" xfId="18397" xr:uid="{00000000-0005-0000-0000-0000D1610000}"/>
    <cellStyle name="40% - Accent2 4 6 5 2 2" xfId="40999" xr:uid="{00000000-0005-0000-0000-0000D2610000}"/>
    <cellStyle name="40% - Accent2 4 6 5 3" xfId="29698" xr:uid="{00000000-0005-0000-0000-0000D3610000}"/>
    <cellStyle name="40% - Accent2 4 6 6" xfId="12747" xr:uid="{00000000-0005-0000-0000-0000D4610000}"/>
    <cellStyle name="40% - Accent2 4 6 6 2" xfId="35349" xr:uid="{00000000-0005-0000-0000-0000D5610000}"/>
    <cellStyle name="40% - Accent2 4 6 7" xfId="24048" xr:uid="{00000000-0005-0000-0000-0000D6610000}"/>
    <cellStyle name="40% - Accent2 4 7" xfId="781" xr:uid="{00000000-0005-0000-0000-0000D7610000}"/>
    <cellStyle name="40% - Accent2 4 7 2" xfId="2878" xr:uid="{00000000-0005-0000-0000-0000D8610000}"/>
    <cellStyle name="40% - Accent2 4 7 2 2" xfId="5850" xr:uid="{00000000-0005-0000-0000-0000D9610000}"/>
    <cellStyle name="40% - Accent2 4 7 2 2 2" xfId="11500" xr:uid="{00000000-0005-0000-0000-0000DA610000}"/>
    <cellStyle name="40% - Accent2 4 7 2 2 2 2" xfId="22801" xr:uid="{00000000-0005-0000-0000-0000DB610000}"/>
    <cellStyle name="40% - Accent2 4 7 2 2 2 2 2" xfId="45403" xr:uid="{00000000-0005-0000-0000-0000DC610000}"/>
    <cellStyle name="40% - Accent2 4 7 2 2 2 3" xfId="34102" xr:uid="{00000000-0005-0000-0000-0000DD610000}"/>
    <cellStyle name="40% - Accent2 4 7 2 2 3" xfId="17151" xr:uid="{00000000-0005-0000-0000-0000DE610000}"/>
    <cellStyle name="40% - Accent2 4 7 2 2 3 2" xfId="39753" xr:uid="{00000000-0005-0000-0000-0000DF610000}"/>
    <cellStyle name="40% - Accent2 4 7 2 2 4" xfId="28452" xr:uid="{00000000-0005-0000-0000-0000E0610000}"/>
    <cellStyle name="40% - Accent2 4 7 2 3" xfId="8668" xr:uid="{00000000-0005-0000-0000-0000E1610000}"/>
    <cellStyle name="40% - Accent2 4 7 2 3 2" xfId="19969" xr:uid="{00000000-0005-0000-0000-0000E2610000}"/>
    <cellStyle name="40% - Accent2 4 7 2 3 2 2" xfId="42571" xr:uid="{00000000-0005-0000-0000-0000E3610000}"/>
    <cellStyle name="40% - Accent2 4 7 2 3 3" xfId="31270" xr:uid="{00000000-0005-0000-0000-0000E4610000}"/>
    <cellStyle name="40% - Accent2 4 7 2 4" xfId="14319" xr:uid="{00000000-0005-0000-0000-0000E5610000}"/>
    <cellStyle name="40% - Accent2 4 7 2 4 2" xfId="36921" xr:uid="{00000000-0005-0000-0000-0000E6610000}"/>
    <cellStyle name="40% - Accent2 4 7 2 5" xfId="25620" xr:uid="{00000000-0005-0000-0000-0000E7610000}"/>
    <cellStyle name="40% - Accent2 4 7 3" xfId="4616" xr:uid="{00000000-0005-0000-0000-0000E8610000}"/>
    <cellStyle name="40% - Accent2 4 7 3 2" xfId="10266" xr:uid="{00000000-0005-0000-0000-0000E9610000}"/>
    <cellStyle name="40% - Accent2 4 7 3 2 2" xfId="21567" xr:uid="{00000000-0005-0000-0000-0000EA610000}"/>
    <cellStyle name="40% - Accent2 4 7 3 2 2 2" xfId="44169" xr:uid="{00000000-0005-0000-0000-0000EB610000}"/>
    <cellStyle name="40% - Accent2 4 7 3 2 3" xfId="32868" xr:uid="{00000000-0005-0000-0000-0000EC610000}"/>
    <cellStyle name="40% - Accent2 4 7 3 3" xfId="15917" xr:uid="{00000000-0005-0000-0000-0000ED610000}"/>
    <cellStyle name="40% - Accent2 4 7 3 3 2" xfId="38519" xr:uid="{00000000-0005-0000-0000-0000EE610000}"/>
    <cellStyle name="40% - Accent2 4 7 3 4" xfId="27218" xr:uid="{00000000-0005-0000-0000-0000EF610000}"/>
    <cellStyle name="40% - Accent2 4 7 4" xfId="6798" xr:uid="{00000000-0005-0000-0000-0000F0610000}"/>
    <cellStyle name="40% - Accent2 4 7 4 2" xfId="18099" xr:uid="{00000000-0005-0000-0000-0000F1610000}"/>
    <cellStyle name="40% - Accent2 4 7 4 2 2" xfId="40701" xr:uid="{00000000-0005-0000-0000-0000F2610000}"/>
    <cellStyle name="40% - Accent2 4 7 4 3" xfId="29400" xr:uid="{00000000-0005-0000-0000-0000F3610000}"/>
    <cellStyle name="40% - Accent2 4 7 5" xfId="12449" xr:uid="{00000000-0005-0000-0000-0000F4610000}"/>
    <cellStyle name="40% - Accent2 4 7 5 2" xfId="35051" xr:uid="{00000000-0005-0000-0000-0000F5610000}"/>
    <cellStyle name="40% - Accent2 4 7 6" xfId="23750" xr:uid="{00000000-0005-0000-0000-0000F6610000}"/>
    <cellStyle name="40% - Accent2 4 8" xfId="1871" xr:uid="{00000000-0005-0000-0000-0000F7610000}"/>
    <cellStyle name="40% - Accent2 4 8 2" xfId="3736" xr:uid="{00000000-0005-0000-0000-0000F8610000}"/>
    <cellStyle name="40% - Accent2 4 8 2 2" xfId="9446" xr:uid="{00000000-0005-0000-0000-0000F9610000}"/>
    <cellStyle name="40% - Accent2 4 8 2 2 2" xfId="20747" xr:uid="{00000000-0005-0000-0000-0000FA610000}"/>
    <cellStyle name="40% - Accent2 4 8 2 2 2 2" xfId="43349" xr:uid="{00000000-0005-0000-0000-0000FB610000}"/>
    <cellStyle name="40% - Accent2 4 8 2 2 3" xfId="32048" xr:uid="{00000000-0005-0000-0000-0000FC610000}"/>
    <cellStyle name="40% - Accent2 4 8 2 3" xfId="15097" xr:uid="{00000000-0005-0000-0000-0000FD610000}"/>
    <cellStyle name="40% - Accent2 4 8 2 3 2" xfId="37699" xr:uid="{00000000-0005-0000-0000-0000FE610000}"/>
    <cellStyle name="40% - Accent2 4 8 2 4" xfId="26398" xr:uid="{00000000-0005-0000-0000-0000FF610000}"/>
    <cellStyle name="40% - Accent2 4 8 3" xfId="5226" xr:uid="{00000000-0005-0000-0000-000000620000}"/>
    <cellStyle name="40% - Accent2 4 8 3 2" xfId="10876" xr:uid="{00000000-0005-0000-0000-000001620000}"/>
    <cellStyle name="40% - Accent2 4 8 3 2 2" xfId="22177" xr:uid="{00000000-0005-0000-0000-000002620000}"/>
    <cellStyle name="40% - Accent2 4 8 3 2 2 2" xfId="44779" xr:uid="{00000000-0005-0000-0000-000003620000}"/>
    <cellStyle name="40% - Accent2 4 8 3 2 3" xfId="33478" xr:uid="{00000000-0005-0000-0000-000004620000}"/>
    <cellStyle name="40% - Accent2 4 8 3 3" xfId="16527" xr:uid="{00000000-0005-0000-0000-000005620000}"/>
    <cellStyle name="40% - Accent2 4 8 3 3 2" xfId="39129" xr:uid="{00000000-0005-0000-0000-000006620000}"/>
    <cellStyle name="40% - Accent2 4 8 3 4" xfId="27828" xr:uid="{00000000-0005-0000-0000-000007620000}"/>
    <cellStyle name="40% - Accent2 4 8 4" xfId="7727" xr:uid="{00000000-0005-0000-0000-000008620000}"/>
    <cellStyle name="40% - Accent2 4 8 4 2" xfId="19028" xr:uid="{00000000-0005-0000-0000-000009620000}"/>
    <cellStyle name="40% - Accent2 4 8 4 2 2" xfId="41630" xr:uid="{00000000-0005-0000-0000-00000A620000}"/>
    <cellStyle name="40% - Accent2 4 8 4 3" xfId="30329" xr:uid="{00000000-0005-0000-0000-00000B620000}"/>
    <cellStyle name="40% - Accent2 4 8 5" xfId="13378" xr:uid="{00000000-0005-0000-0000-00000C620000}"/>
    <cellStyle name="40% - Accent2 4 8 5 2" xfId="35980" xr:uid="{00000000-0005-0000-0000-00000D620000}"/>
    <cellStyle name="40% - Accent2 4 8 6" xfId="24679" xr:uid="{00000000-0005-0000-0000-00000E620000}"/>
    <cellStyle name="40% - Accent2 4 9" xfId="2197" xr:uid="{00000000-0005-0000-0000-00000F620000}"/>
    <cellStyle name="40% - Accent2 4 9 2" xfId="8040" xr:uid="{00000000-0005-0000-0000-000010620000}"/>
    <cellStyle name="40% - Accent2 4 9 2 2" xfId="19341" xr:uid="{00000000-0005-0000-0000-000011620000}"/>
    <cellStyle name="40% - Accent2 4 9 2 2 2" xfId="41943" xr:uid="{00000000-0005-0000-0000-000012620000}"/>
    <cellStyle name="40% - Accent2 4 9 2 3" xfId="30642" xr:uid="{00000000-0005-0000-0000-000013620000}"/>
    <cellStyle name="40% - Accent2 4 9 3" xfId="13691" xr:uid="{00000000-0005-0000-0000-000014620000}"/>
    <cellStyle name="40% - Accent2 4 9 3 2" xfId="36293" xr:uid="{00000000-0005-0000-0000-000015620000}"/>
    <cellStyle name="40% - Accent2 4 9 4" xfId="24992" xr:uid="{00000000-0005-0000-0000-000016620000}"/>
    <cellStyle name="40% - Accent2 5" xfId="268" xr:uid="{00000000-0005-0000-0000-000017620000}"/>
    <cellStyle name="40% - Accent2 5 10" xfId="12134" xr:uid="{00000000-0005-0000-0000-000018620000}"/>
    <cellStyle name="40% - Accent2 5 10 2" xfId="34736" xr:uid="{00000000-0005-0000-0000-000019620000}"/>
    <cellStyle name="40% - Accent2 5 11" xfId="23435" xr:uid="{00000000-0005-0000-0000-00001A620000}"/>
    <cellStyle name="40% - Accent2 5 2" xfId="436" xr:uid="{00000000-0005-0000-0000-00001B620000}"/>
    <cellStyle name="40% - Accent2 5 2 10" xfId="23531" xr:uid="{00000000-0005-0000-0000-00001C620000}"/>
    <cellStyle name="40% - Accent2 5 2 2" xfId="681" xr:uid="{00000000-0005-0000-0000-00001D620000}"/>
    <cellStyle name="40% - Accent2 5 2 2 2" xfId="1391" xr:uid="{00000000-0005-0000-0000-00001E620000}"/>
    <cellStyle name="40% - Accent2 5 2 2 2 2" xfId="1888" xr:uid="{00000000-0005-0000-0000-00001F620000}"/>
    <cellStyle name="40% - Accent2 5 2 2 2 2 2" xfId="3460" xr:uid="{00000000-0005-0000-0000-000020620000}"/>
    <cellStyle name="40% - Accent2 5 2 2 2 2 2 2" xfId="6432" xr:uid="{00000000-0005-0000-0000-000021620000}"/>
    <cellStyle name="40% - Accent2 5 2 2 2 2 2 2 2" xfId="12082" xr:uid="{00000000-0005-0000-0000-000022620000}"/>
    <cellStyle name="40% - Accent2 5 2 2 2 2 2 2 2 2" xfId="23383" xr:uid="{00000000-0005-0000-0000-000023620000}"/>
    <cellStyle name="40% - Accent2 5 2 2 2 2 2 2 2 2 2" xfId="45985" xr:uid="{00000000-0005-0000-0000-000024620000}"/>
    <cellStyle name="40% - Accent2 5 2 2 2 2 2 2 2 3" xfId="34684" xr:uid="{00000000-0005-0000-0000-000025620000}"/>
    <cellStyle name="40% - Accent2 5 2 2 2 2 2 2 3" xfId="17733" xr:uid="{00000000-0005-0000-0000-000026620000}"/>
    <cellStyle name="40% - Accent2 5 2 2 2 2 2 2 3 2" xfId="40335" xr:uid="{00000000-0005-0000-0000-000027620000}"/>
    <cellStyle name="40% - Accent2 5 2 2 2 2 2 2 4" xfId="29034" xr:uid="{00000000-0005-0000-0000-000028620000}"/>
    <cellStyle name="40% - Accent2 5 2 2 2 2 2 3" xfId="9250" xr:uid="{00000000-0005-0000-0000-000029620000}"/>
    <cellStyle name="40% - Accent2 5 2 2 2 2 2 3 2" xfId="20551" xr:uid="{00000000-0005-0000-0000-00002A620000}"/>
    <cellStyle name="40% - Accent2 5 2 2 2 2 2 3 2 2" xfId="43153" xr:uid="{00000000-0005-0000-0000-00002B620000}"/>
    <cellStyle name="40% - Accent2 5 2 2 2 2 2 3 3" xfId="31852" xr:uid="{00000000-0005-0000-0000-00002C620000}"/>
    <cellStyle name="40% - Accent2 5 2 2 2 2 2 4" xfId="14901" xr:uid="{00000000-0005-0000-0000-00002D620000}"/>
    <cellStyle name="40% - Accent2 5 2 2 2 2 2 4 2" xfId="37503" xr:uid="{00000000-0005-0000-0000-00002E620000}"/>
    <cellStyle name="40% - Accent2 5 2 2 2 2 2 5" xfId="26202" xr:uid="{00000000-0005-0000-0000-00002F620000}"/>
    <cellStyle name="40% - Accent2 5 2 2 2 2 3" xfId="5198" xr:uid="{00000000-0005-0000-0000-000030620000}"/>
    <cellStyle name="40% - Accent2 5 2 2 2 2 3 2" xfId="10848" xr:uid="{00000000-0005-0000-0000-000031620000}"/>
    <cellStyle name="40% - Accent2 5 2 2 2 2 3 2 2" xfId="22149" xr:uid="{00000000-0005-0000-0000-000032620000}"/>
    <cellStyle name="40% - Accent2 5 2 2 2 2 3 2 2 2" xfId="44751" xr:uid="{00000000-0005-0000-0000-000033620000}"/>
    <cellStyle name="40% - Accent2 5 2 2 2 2 3 2 3" xfId="33450" xr:uid="{00000000-0005-0000-0000-000034620000}"/>
    <cellStyle name="40% - Accent2 5 2 2 2 2 3 3" xfId="16499" xr:uid="{00000000-0005-0000-0000-000035620000}"/>
    <cellStyle name="40% - Accent2 5 2 2 2 2 3 3 2" xfId="39101" xr:uid="{00000000-0005-0000-0000-000036620000}"/>
    <cellStyle name="40% - Accent2 5 2 2 2 2 3 4" xfId="27800" xr:uid="{00000000-0005-0000-0000-000037620000}"/>
    <cellStyle name="40% - Accent2 5 2 2 2 2 4" xfId="7744" xr:uid="{00000000-0005-0000-0000-000038620000}"/>
    <cellStyle name="40% - Accent2 5 2 2 2 2 4 2" xfId="19045" xr:uid="{00000000-0005-0000-0000-000039620000}"/>
    <cellStyle name="40% - Accent2 5 2 2 2 2 4 2 2" xfId="41647" xr:uid="{00000000-0005-0000-0000-00003A620000}"/>
    <cellStyle name="40% - Accent2 5 2 2 2 2 4 3" xfId="30346" xr:uid="{00000000-0005-0000-0000-00003B620000}"/>
    <cellStyle name="40% - Accent2 5 2 2 2 2 5" xfId="13395" xr:uid="{00000000-0005-0000-0000-00003C620000}"/>
    <cellStyle name="40% - Accent2 5 2 2 2 2 5 2" xfId="35997" xr:uid="{00000000-0005-0000-0000-00003D620000}"/>
    <cellStyle name="40% - Accent2 5 2 2 2 2 6" xfId="24696" xr:uid="{00000000-0005-0000-0000-00003E620000}"/>
    <cellStyle name="40% - Accent2 5 2 2 2 3" xfId="2789" xr:uid="{00000000-0005-0000-0000-00003F620000}"/>
    <cellStyle name="40% - Accent2 5 2 2 2 3 2" xfId="5808" xr:uid="{00000000-0005-0000-0000-000040620000}"/>
    <cellStyle name="40% - Accent2 5 2 2 2 3 2 2" xfId="11458" xr:uid="{00000000-0005-0000-0000-000041620000}"/>
    <cellStyle name="40% - Accent2 5 2 2 2 3 2 2 2" xfId="22759" xr:uid="{00000000-0005-0000-0000-000042620000}"/>
    <cellStyle name="40% - Accent2 5 2 2 2 3 2 2 2 2" xfId="45361" xr:uid="{00000000-0005-0000-0000-000043620000}"/>
    <cellStyle name="40% - Accent2 5 2 2 2 3 2 2 3" xfId="34060" xr:uid="{00000000-0005-0000-0000-000044620000}"/>
    <cellStyle name="40% - Accent2 5 2 2 2 3 2 3" xfId="17109" xr:uid="{00000000-0005-0000-0000-000045620000}"/>
    <cellStyle name="40% - Accent2 5 2 2 2 3 2 3 2" xfId="39711" xr:uid="{00000000-0005-0000-0000-000046620000}"/>
    <cellStyle name="40% - Accent2 5 2 2 2 3 2 4" xfId="28410" xr:uid="{00000000-0005-0000-0000-000047620000}"/>
    <cellStyle name="40% - Accent2 5 2 2 2 3 3" xfId="8625" xr:uid="{00000000-0005-0000-0000-000048620000}"/>
    <cellStyle name="40% - Accent2 5 2 2 2 3 3 2" xfId="19926" xr:uid="{00000000-0005-0000-0000-000049620000}"/>
    <cellStyle name="40% - Accent2 5 2 2 2 3 3 2 2" xfId="42528" xr:uid="{00000000-0005-0000-0000-00004A620000}"/>
    <cellStyle name="40% - Accent2 5 2 2 2 3 3 3" xfId="31227" xr:uid="{00000000-0005-0000-0000-00004B620000}"/>
    <cellStyle name="40% - Accent2 5 2 2 2 3 4" xfId="14276" xr:uid="{00000000-0005-0000-0000-00004C620000}"/>
    <cellStyle name="40% - Accent2 5 2 2 2 3 4 2" xfId="36878" xr:uid="{00000000-0005-0000-0000-00004D620000}"/>
    <cellStyle name="40% - Accent2 5 2 2 2 3 5" xfId="25577" xr:uid="{00000000-0005-0000-0000-00004E620000}"/>
    <cellStyle name="40% - Accent2 5 2 2 2 4" xfId="4574" xr:uid="{00000000-0005-0000-0000-00004F620000}"/>
    <cellStyle name="40% - Accent2 5 2 2 2 4 2" xfId="10224" xr:uid="{00000000-0005-0000-0000-000050620000}"/>
    <cellStyle name="40% - Accent2 5 2 2 2 4 2 2" xfId="21525" xr:uid="{00000000-0005-0000-0000-000051620000}"/>
    <cellStyle name="40% - Accent2 5 2 2 2 4 2 2 2" xfId="44127" xr:uid="{00000000-0005-0000-0000-000052620000}"/>
    <cellStyle name="40% - Accent2 5 2 2 2 4 2 3" xfId="32826" xr:uid="{00000000-0005-0000-0000-000053620000}"/>
    <cellStyle name="40% - Accent2 5 2 2 2 4 3" xfId="15875" xr:uid="{00000000-0005-0000-0000-000054620000}"/>
    <cellStyle name="40% - Accent2 5 2 2 2 4 3 2" xfId="38477" xr:uid="{00000000-0005-0000-0000-000055620000}"/>
    <cellStyle name="40% - Accent2 5 2 2 2 4 4" xfId="27176" xr:uid="{00000000-0005-0000-0000-000056620000}"/>
    <cellStyle name="40% - Accent2 5 2 2 2 5" xfId="7370" xr:uid="{00000000-0005-0000-0000-000057620000}"/>
    <cellStyle name="40% - Accent2 5 2 2 2 5 2" xfId="18671" xr:uid="{00000000-0005-0000-0000-000058620000}"/>
    <cellStyle name="40% - Accent2 5 2 2 2 5 2 2" xfId="41273" xr:uid="{00000000-0005-0000-0000-000059620000}"/>
    <cellStyle name="40% - Accent2 5 2 2 2 5 3" xfId="29972" xr:uid="{00000000-0005-0000-0000-00005A620000}"/>
    <cellStyle name="40% - Accent2 5 2 2 2 6" xfId="13021" xr:uid="{00000000-0005-0000-0000-00005B620000}"/>
    <cellStyle name="40% - Accent2 5 2 2 2 6 2" xfId="35623" xr:uid="{00000000-0005-0000-0000-00005C620000}"/>
    <cellStyle name="40% - Accent2 5 2 2 2 7" xfId="24322" xr:uid="{00000000-0005-0000-0000-00005D620000}"/>
    <cellStyle name="40% - Accent2 5 2 2 3" xfId="1089" xr:uid="{00000000-0005-0000-0000-00005E620000}"/>
    <cellStyle name="40% - Accent2 5 2 2 3 2" xfId="3152" xr:uid="{00000000-0005-0000-0000-00005F620000}"/>
    <cellStyle name="40% - Accent2 5 2 2 3 2 2" xfId="6124" xr:uid="{00000000-0005-0000-0000-000060620000}"/>
    <cellStyle name="40% - Accent2 5 2 2 3 2 2 2" xfId="11774" xr:uid="{00000000-0005-0000-0000-000061620000}"/>
    <cellStyle name="40% - Accent2 5 2 2 3 2 2 2 2" xfId="23075" xr:uid="{00000000-0005-0000-0000-000062620000}"/>
    <cellStyle name="40% - Accent2 5 2 2 3 2 2 2 2 2" xfId="45677" xr:uid="{00000000-0005-0000-0000-000063620000}"/>
    <cellStyle name="40% - Accent2 5 2 2 3 2 2 2 3" xfId="34376" xr:uid="{00000000-0005-0000-0000-000064620000}"/>
    <cellStyle name="40% - Accent2 5 2 2 3 2 2 3" xfId="17425" xr:uid="{00000000-0005-0000-0000-000065620000}"/>
    <cellStyle name="40% - Accent2 5 2 2 3 2 2 3 2" xfId="40027" xr:uid="{00000000-0005-0000-0000-000066620000}"/>
    <cellStyle name="40% - Accent2 5 2 2 3 2 2 4" xfId="28726" xr:uid="{00000000-0005-0000-0000-000067620000}"/>
    <cellStyle name="40% - Accent2 5 2 2 3 2 3" xfId="8942" xr:uid="{00000000-0005-0000-0000-000068620000}"/>
    <cellStyle name="40% - Accent2 5 2 2 3 2 3 2" xfId="20243" xr:uid="{00000000-0005-0000-0000-000069620000}"/>
    <cellStyle name="40% - Accent2 5 2 2 3 2 3 2 2" xfId="42845" xr:uid="{00000000-0005-0000-0000-00006A620000}"/>
    <cellStyle name="40% - Accent2 5 2 2 3 2 3 3" xfId="31544" xr:uid="{00000000-0005-0000-0000-00006B620000}"/>
    <cellStyle name="40% - Accent2 5 2 2 3 2 4" xfId="14593" xr:uid="{00000000-0005-0000-0000-00006C620000}"/>
    <cellStyle name="40% - Accent2 5 2 2 3 2 4 2" xfId="37195" xr:uid="{00000000-0005-0000-0000-00006D620000}"/>
    <cellStyle name="40% - Accent2 5 2 2 3 2 5" xfId="25894" xr:uid="{00000000-0005-0000-0000-00006E620000}"/>
    <cellStyle name="40% - Accent2 5 2 2 3 3" xfId="4890" xr:uid="{00000000-0005-0000-0000-00006F620000}"/>
    <cellStyle name="40% - Accent2 5 2 2 3 3 2" xfId="10540" xr:uid="{00000000-0005-0000-0000-000070620000}"/>
    <cellStyle name="40% - Accent2 5 2 2 3 3 2 2" xfId="21841" xr:uid="{00000000-0005-0000-0000-000071620000}"/>
    <cellStyle name="40% - Accent2 5 2 2 3 3 2 2 2" xfId="44443" xr:uid="{00000000-0005-0000-0000-000072620000}"/>
    <cellStyle name="40% - Accent2 5 2 2 3 3 2 3" xfId="33142" xr:uid="{00000000-0005-0000-0000-000073620000}"/>
    <cellStyle name="40% - Accent2 5 2 2 3 3 3" xfId="16191" xr:uid="{00000000-0005-0000-0000-000074620000}"/>
    <cellStyle name="40% - Accent2 5 2 2 3 3 3 2" xfId="38793" xr:uid="{00000000-0005-0000-0000-000075620000}"/>
    <cellStyle name="40% - Accent2 5 2 2 3 3 4" xfId="27492" xr:uid="{00000000-0005-0000-0000-000076620000}"/>
    <cellStyle name="40% - Accent2 5 2 2 3 4" xfId="7077" xr:uid="{00000000-0005-0000-0000-000077620000}"/>
    <cellStyle name="40% - Accent2 5 2 2 3 4 2" xfId="18378" xr:uid="{00000000-0005-0000-0000-000078620000}"/>
    <cellStyle name="40% - Accent2 5 2 2 3 4 2 2" xfId="40980" xr:uid="{00000000-0005-0000-0000-000079620000}"/>
    <cellStyle name="40% - Accent2 5 2 2 3 4 3" xfId="29679" xr:uid="{00000000-0005-0000-0000-00007A620000}"/>
    <cellStyle name="40% - Accent2 5 2 2 3 5" xfId="12728" xr:uid="{00000000-0005-0000-0000-00007B620000}"/>
    <cellStyle name="40% - Accent2 5 2 2 3 5 2" xfId="35330" xr:uid="{00000000-0005-0000-0000-00007C620000}"/>
    <cellStyle name="40% - Accent2 5 2 2 3 6" xfId="24029" xr:uid="{00000000-0005-0000-0000-00007D620000}"/>
    <cellStyle name="40% - Accent2 5 2 2 4" xfId="1887" xr:uid="{00000000-0005-0000-0000-00007E620000}"/>
    <cellStyle name="40% - Accent2 5 2 2 4 2" xfId="3745" xr:uid="{00000000-0005-0000-0000-00007F620000}"/>
    <cellStyle name="40% - Accent2 5 2 2 4 2 2" xfId="9455" xr:uid="{00000000-0005-0000-0000-000080620000}"/>
    <cellStyle name="40% - Accent2 5 2 2 4 2 2 2" xfId="20756" xr:uid="{00000000-0005-0000-0000-000081620000}"/>
    <cellStyle name="40% - Accent2 5 2 2 4 2 2 2 2" xfId="43358" xr:uid="{00000000-0005-0000-0000-000082620000}"/>
    <cellStyle name="40% - Accent2 5 2 2 4 2 2 3" xfId="32057" xr:uid="{00000000-0005-0000-0000-000083620000}"/>
    <cellStyle name="40% - Accent2 5 2 2 4 2 3" xfId="15106" xr:uid="{00000000-0005-0000-0000-000084620000}"/>
    <cellStyle name="40% - Accent2 5 2 2 4 2 3 2" xfId="37708" xr:uid="{00000000-0005-0000-0000-000085620000}"/>
    <cellStyle name="40% - Accent2 5 2 2 4 2 4" xfId="26407" xr:uid="{00000000-0005-0000-0000-000086620000}"/>
    <cellStyle name="40% - Accent2 5 2 2 4 3" xfId="5500" xr:uid="{00000000-0005-0000-0000-000087620000}"/>
    <cellStyle name="40% - Accent2 5 2 2 4 3 2" xfId="11150" xr:uid="{00000000-0005-0000-0000-000088620000}"/>
    <cellStyle name="40% - Accent2 5 2 2 4 3 2 2" xfId="22451" xr:uid="{00000000-0005-0000-0000-000089620000}"/>
    <cellStyle name="40% - Accent2 5 2 2 4 3 2 2 2" xfId="45053" xr:uid="{00000000-0005-0000-0000-00008A620000}"/>
    <cellStyle name="40% - Accent2 5 2 2 4 3 2 3" xfId="33752" xr:uid="{00000000-0005-0000-0000-00008B620000}"/>
    <cellStyle name="40% - Accent2 5 2 2 4 3 3" xfId="16801" xr:uid="{00000000-0005-0000-0000-00008C620000}"/>
    <cellStyle name="40% - Accent2 5 2 2 4 3 3 2" xfId="39403" xr:uid="{00000000-0005-0000-0000-00008D620000}"/>
    <cellStyle name="40% - Accent2 5 2 2 4 3 4" xfId="28102" xr:uid="{00000000-0005-0000-0000-00008E620000}"/>
    <cellStyle name="40% - Accent2 5 2 2 4 4" xfId="7743" xr:uid="{00000000-0005-0000-0000-00008F620000}"/>
    <cellStyle name="40% - Accent2 5 2 2 4 4 2" xfId="19044" xr:uid="{00000000-0005-0000-0000-000090620000}"/>
    <cellStyle name="40% - Accent2 5 2 2 4 4 2 2" xfId="41646" xr:uid="{00000000-0005-0000-0000-000091620000}"/>
    <cellStyle name="40% - Accent2 5 2 2 4 4 3" xfId="30345" xr:uid="{00000000-0005-0000-0000-000092620000}"/>
    <cellStyle name="40% - Accent2 5 2 2 4 5" xfId="13394" xr:uid="{00000000-0005-0000-0000-000093620000}"/>
    <cellStyle name="40% - Accent2 5 2 2 4 5 2" xfId="35996" xr:uid="{00000000-0005-0000-0000-000094620000}"/>
    <cellStyle name="40% - Accent2 5 2 2 4 6" xfId="24695" xr:uid="{00000000-0005-0000-0000-000095620000}"/>
    <cellStyle name="40% - Accent2 5 2 2 5" xfId="2481" xr:uid="{00000000-0005-0000-0000-000096620000}"/>
    <cellStyle name="40% - Accent2 5 2 2 5 2" xfId="8317" xr:uid="{00000000-0005-0000-0000-000097620000}"/>
    <cellStyle name="40% - Accent2 5 2 2 5 2 2" xfId="19618" xr:uid="{00000000-0005-0000-0000-000098620000}"/>
    <cellStyle name="40% - Accent2 5 2 2 5 2 2 2" xfId="42220" xr:uid="{00000000-0005-0000-0000-000099620000}"/>
    <cellStyle name="40% - Accent2 5 2 2 5 2 3" xfId="30919" xr:uid="{00000000-0005-0000-0000-00009A620000}"/>
    <cellStyle name="40% - Accent2 5 2 2 5 3" xfId="13968" xr:uid="{00000000-0005-0000-0000-00009B620000}"/>
    <cellStyle name="40% - Accent2 5 2 2 5 3 2" xfId="36570" xr:uid="{00000000-0005-0000-0000-00009C620000}"/>
    <cellStyle name="40% - Accent2 5 2 2 5 4" xfId="25269" xr:uid="{00000000-0005-0000-0000-00009D620000}"/>
    <cellStyle name="40% - Accent2 5 2 2 6" xfId="4266" xr:uid="{00000000-0005-0000-0000-00009E620000}"/>
    <cellStyle name="40% - Accent2 5 2 2 6 2" xfId="9916" xr:uid="{00000000-0005-0000-0000-00009F620000}"/>
    <cellStyle name="40% - Accent2 5 2 2 6 2 2" xfId="21217" xr:uid="{00000000-0005-0000-0000-0000A0620000}"/>
    <cellStyle name="40% - Accent2 5 2 2 6 2 2 2" xfId="43819" xr:uid="{00000000-0005-0000-0000-0000A1620000}"/>
    <cellStyle name="40% - Accent2 5 2 2 6 2 3" xfId="32518" xr:uid="{00000000-0005-0000-0000-0000A2620000}"/>
    <cellStyle name="40% - Accent2 5 2 2 6 3" xfId="15567" xr:uid="{00000000-0005-0000-0000-0000A3620000}"/>
    <cellStyle name="40% - Accent2 5 2 2 6 3 2" xfId="38169" xr:uid="{00000000-0005-0000-0000-0000A4620000}"/>
    <cellStyle name="40% - Accent2 5 2 2 6 4" xfId="26868" xr:uid="{00000000-0005-0000-0000-0000A5620000}"/>
    <cellStyle name="40% - Accent2 5 2 2 7" xfId="6746" xr:uid="{00000000-0005-0000-0000-0000A6620000}"/>
    <cellStyle name="40% - Accent2 5 2 2 7 2" xfId="18047" xr:uid="{00000000-0005-0000-0000-0000A7620000}"/>
    <cellStyle name="40% - Accent2 5 2 2 7 2 2" xfId="40649" xr:uid="{00000000-0005-0000-0000-0000A8620000}"/>
    <cellStyle name="40% - Accent2 5 2 2 7 3" xfId="29348" xr:uid="{00000000-0005-0000-0000-0000A9620000}"/>
    <cellStyle name="40% - Accent2 5 2 2 8" xfId="12397" xr:uid="{00000000-0005-0000-0000-0000AA620000}"/>
    <cellStyle name="40% - Accent2 5 2 2 8 2" xfId="34999" xr:uid="{00000000-0005-0000-0000-0000AB620000}"/>
    <cellStyle name="40% - Accent2 5 2 2 9" xfId="23698" xr:uid="{00000000-0005-0000-0000-0000AC620000}"/>
    <cellStyle name="40% - Accent2 5 2 3" xfId="1253" xr:uid="{00000000-0005-0000-0000-0000AD620000}"/>
    <cellStyle name="40% - Accent2 5 2 3 2" xfId="1889" xr:uid="{00000000-0005-0000-0000-0000AE620000}"/>
    <cellStyle name="40% - Accent2 5 2 3 2 2" xfId="3321" xr:uid="{00000000-0005-0000-0000-0000AF620000}"/>
    <cellStyle name="40% - Accent2 5 2 3 2 2 2" xfId="6293" xr:uid="{00000000-0005-0000-0000-0000B0620000}"/>
    <cellStyle name="40% - Accent2 5 2 3 2 2 2 2" xfId="11943" xr:uid="{00000000-0005-0000-0000-0000B1620000}"/>
    <cellStyle name="40% - Accent2 5 2 3 2 2 2 2 2" xfId="23244" xr:uid="{00000000-0005-0000-0000-0000B2620000}"/>
    <cellStyle name="40% - Accent2 5 2 3 2 2 2 2 2 2" xfId="45846" xr:uid="{00000000-0005-0000-0000-0000B3620000}"/>
    <cellStyle name="40% - Accent2 5 2 3 2 2 2 2 3" xfId="34545" xr:uid="{00000000-0005-0000-0000-0000B4620000}"/>
    <cellStyle name="40% - Accent2 5 2 3 2 2 2 3" xfId="17594" xr:uid="{00000000-0005-0000-0000-0000B5620000}"/>
    <cellStyle name="40% - Accent2 5 2 3 2 2 2 3 2" xfId="40196" xr:uid="{00000000-0005-0000-0000-0000B6620000}"/>
    <cellStyle name="40% - Accent2 5 2 3 2 2 2 4" xfId="28895" xr:uid="{00000000-0005-0000-0000-0000B7620000}"/>
    <cellStyle name="40% - Accent2 5 2 3 2 2 3" xfId="9111" xr:uid="{00000000-0005-0000-0000-0000B8620000}"/>
    <cellStyle name="40% - Accent2 5 2 3 2 2 3 2" xfId="20412" xr:uid="{00000000-0005-0000-0000-0000B9620000}"/>
    <cellStyle name="40% - Accent2 5 2 3 2 2 3 2 2" xfId="43014" xr:uid="{00000000-0005-0000-0000-0000BA620000}"/>
    <cellStyle name="40% - Accent2 5 2 3 2 2 3 3" xfId="31713" xr:uid="{00000000-0005-0000-0000-0000BB620000}"/>
    <cellStyle name="40% - Accent2 5 2 3 2 2 4" xfId="14762" xr:uid="{00000000-0005-0000-0000-0000BC620000}"/>
    <cellStyle name="40% - Accent2 5 2 3 2 2 4 2" xfId="37364" xr:uid="{00000000-0005-0000-0000-0000BD620000}"/>
    <cellStyle name="40% - Accent2 5 2 3 2 2 5" xfId="26063" xr:uid="{00000000-0005-0000-0000-0000BE620000}"/>
    <cellStyle name="40% - Accent2 5 2 3 2 3" xfId="5059" xr:uid="{00000000-0005-0000-0000-0000BF620000}"/>
    <cellStyle name="40% - Accent2 5 2 3 2 3 2" xfId="10709" xr:uid="{00000000-0005-0000-0000-0000C0620000}"/>
    <cellStyle name="40% - Accent2 5 2 3 2 3 2 2" xfId="22010" xr:uid="{00000000-0005-0000-0000-0000C1620000}"/>
    <cellStyle name="40% - Accent2 5 2 3 2 3 2 2 2" xfId="44612" xr:uid="{00000000-0005-0000-0000-0000C2620000}"/>
    <cellStyle name="40% - Accent2 5 2 3 2 3 2 3" xfId="33311" xr:uid="{00000000-0005-0000-0000-0000C3620000}"/>
    <cellStyle name="40% - Accent2 5 2 3 2 3 3" xfId="16360" xr:uid="{00000000-0005-0000-0000-0000C4620000}"/>
    <cellStyle name="40% - Accent2 5 2 3 2 3 3 2" xfId="38962" xr:uid="{00000000-0005-0000-0000-0000C5620000}"/>
    <cellStyle name="40% - Accent2 5 2 3 2 3 4" xfId="27661" xr:uid="{00000000-0005-0000-0000-0000C6620000}"/>
    <cellStyle name="40% - Accent2 5 2 3 2 4" xfId="7745" xr:uid="{00000000-0005-0000-0000-0000C7620000}"/>
    <cellStyle name="40% - Accent2 5 2 3 2 4 2" xfId="19046" xr:uid="{00000000-0005-0000-0000-0000C8620000}"/>
    <cellStyle name="40% - Accent2 5 2 3 2 4 2 2" xfId="41648" xr:uid="{00000000-0005-0000-0000-0000C9620000}"/>
    <cellStyle name="40% - Accent2 5 2 3 2 4 3" xfId="30347" xr:uid="{00000000-0005-0000-0000-0000CA620000}"/>
    <cellStyle name="40% - Accent2 5 2 3 2 5" xfId="13396" xr:uid="{00000000-0005-0000-0000-0000CB620000}"/>
    <cellStyle name="40% - Accent2 5 2 3 2 5 2" xfId="35998" xr:uid="{00000000-0005-0000-0000-0000CC620000}"/>
    <cellStyle name="40% - Accent2 5 2 3 2 6" xfId="24697" xr:uid="{00000000-0005-0000-0000-0000CD620000}"/>
    <cellStyle name="40% - Accent2 5 2 3 3" xfId="2650" xr:uid="{00000000-0005-0000-0000-0000CE620000}"/>
    <cellStyle name="40% - Accent2 5 2 3 3 2" xfId="5669" xr:uid="{00000000-0005-0000-0000-0000CF620000}"/>
    <cellStyle name="40% - Accent2 5 2 3 3 2 2" xfId="11319" xr:uid="{00000000-0005-0000-0000-0000D0620000}"/>
    <cellStyle name="40% - Accent2 5 2 3 3 2 2 2" xfId="22620" xr:uid="{00000000-0005-0000-0000-0000D1620000}"/>
    <cellStyle name="40% - Accent2 5 2 3 3 2 2 2 2" xfId="45222" xr:uid="{00000000-0005-0000-0000-0000D2620000}"/>
    <cellStyle name="40% - Accent2 5 2 3 3 2 2 3" xfId="33921" xr:uid="{00000000-0005-0000-0000-0000D3620000}"/>
    <cellStyle name="40% - Accent2 5 2 3 3 2 3" xfId="16970" xr:uid="{00000000-0005-0000-0000-0000D4620000}"/>
    <cellStyle name="40% - Accent2 5 2 3 3 2 3 2" xfId="39572" xr:uid="{00000000-0005-0000-0000-0000D5620000}"/>
    <cellStyle name="40% - Accent2 5 2 3 3 2 4" xfId="28271" xr:uid="{00000000-0005-0000-0000-0000D6620000}"/>
    <cellStyle name="40% - Accent2 5 2 3 3 3" xfId="8486" xr:uid="{00000000-0005-0000-0000-0000D7620000}"/>
    <cellStyle name="40% - Accent2 5 2 3 3 3 2" xfId="19787" xr:uid="{00000000-0005-0000-0000-0000D8620000}"/>
    <cellStyle name="40% - Accent2 5 2 3 3 3 2 2" xfId="42389" xr:uid="{00000000-0005-0000-0000-0000D9620000}"/>
    <cellStyle name="40% - Accent2 5 2 3 3 3 3" xfId="31088" xr:uid="{00000000-0005-0000-0000-0000DA620000}"/>
    <cellStyle name="40% - Accent2 5 2 3 3 4" xfId="14137" xr:uid="{00000000-0005-0000-0000-0000DB620000}"/>
    <cellStyle name="40% - Accent2 5 2 3 3 4 2" xfId="36739" xr:uid="{00000000-0005-0000-0000-0000DC620000}"/>
    <cellStyle name="40% - Accent2 5 2 3 3 5" xfId="25438" xr:uid="{00000000-0005-0000-0000-0000DD620000}"/>
    <cellStyle name="40% - Accent2 5 2 3 4" xfId="4435" xr:uid="{00000000-0005-0000-0000-0000DE620000}"/>
    <cellStyle name="40% - Accent2 5 2 3 4 2" xfId="10085" xr:uid="{00000000-0005-0000-0000-0000DF620000}"/>
    <cellStyle name="40% - Accent2 5 2 3 4 2 2" xfId="21386" xr:uid="{00000000-0005-0000-0000-0000E0620000}"/>
    <cellStyle name="40% - Accent2 5 2 3 4 2 2 2" xfId="43988" xr:uid="{00000000-0005-0000-0000-0000E1620000}"/>
    <cellStyle name="40% - Accent2 5 2 3 4 2 3" xfId="32687" xr:uid="{00000000-0005-0000-0000-0000E2620000}"/>
    <cellStyle name="40% - Accent2 5 2 3 4 3" xfId="15736" xr:uid="{00000000-0005-0000-0000-0000E3620000}"/>
    <cellStyle name="40% - Accent2 5 2 3 4 3 2" xfId="38338" xr:uid="{00000000-0005-0000-0000-0000E4620000}"/>
    <cellStyle name="40% - Accent2 5 2 3 4 4" xfId="27037" xr:uid="{00000000-0005-0000-0000-0000E5620000}"/>
    <cellStyle name="40% - Accent2 5 2 3 5" xfId="7232" xr:uid="{00000000-0005-0000-0000-0000E6620000}"/>
    <cellStyle name="40% - Accent2 5 2 3 5 2" xfId="18533" xr:uid="{00000000-0005-0000-0000-0000E7620000}"/>
    <cellStyle name="40% - Accent2 5 2 3 5 2 2" xfId="41135" xr:uid="{00000000-0005-0000-0000-0000E8620000}"/>
    <cellStyle name="40% - Accent2 5 2 3 5 3" xfId="29834" xr:uid="{00000000-0005-0000-0000-0000E9620000}"/>
    <cellStyle name="40% - Accent2 5 2 3 6" xfId="12883" xr:uid="{00000000-0005-0000-0000-0000EA620000}"/>
    <cellStyle name="40% - Accent2 5 2 3 6 2" xfId="35485" xr:uid="{00000000-0005-0000-0000-0000EB620000}"/>
    <cellStyle name="40% - Accent2 5 2 3 7" xfId="24184" xr:uid="{00000000-0005-0000-0000-0000EC620000}"/>
    <cellStyle name="40% - Accent2 5 2 4" xfId="944" xr:uid="{00000000-0005-0000-0000-0000ED620000}"/>
    <cellStyle name="40% - Accent2 5 2 4 2" xfId="3014" xr:uid="{00000000-0005-0000-0000-0000EE620000}"/>
    <cellStyle name="40% - Accent2 5 2 4 2 2" xfId="5986" xr:uid="{00000000-0005-0000-0000-0000EF620000}"/>
    <cellStyle name="40% - Accent2 5 2 4 2 2 2" xfId="11636" xr:uid="{00000000-0005-0000-0000-0000F0620000}"/>
    <cellStyle name="40% - Accent2 5 2 4 2 2 2 2" xfId="22937" xr:uid="{00000000-0005-0000-0000-0000F1620000}"/>
    <cellStyle name="40% - Accent2 5 2 4 2 2 2 2 2" xfId="45539" xr:uid="{00000000-0005-0000-0000-0000F2620000}"/>
    <cellStyle name="40% - Accent2 5 2 4 2 2 2 3" xfId="34238" xr:uid="{00000000-0005-0000-0000-0000F3620000}"/>
    <cellStyle name="40% - Accent2 5 2 4 2 2 3" xfId="17287" xr:uid="{00000000-0005-0000-0000-0000F4620000}"/>
    <cellStyle name="40% - Accent2 5 2 4 2 2 3 2" xfId="39889" xr:uid="{00000000-0005-0000-0000-0000F5620000}"/>
    <cellStyle name="40% - Accent2 5 2 4 2 2 4" xfId="28588" xr:uid="{00000000-0005-0000-0000-0000F6620000}"/>
    <cellStyle name="40% - Accent2 5 2 4 2 3" xfId="8804" xr:uid="{00000000-0005-0000-0000-0000F7620000}"/>
    <cellStyle name="40% - Accent2 5 2 4 2 3 2" xfId="20105" xr:uid="{00000000-0005-0000-0000-0000F8620000}"/>
    <cellStyle name="40% - Accent2 5 2 4 2 3 2 2" xfId="42707" xr:uid="{00000000-0005-0000-0000-0000F9620000}"/>
    <cellStyle name="40% - Accent2 5 2 4 2 3 3" xfId="31406" xr:uid="{00000000-0005-0000-0000-0000FA620000}"/>
    <cellStyle name="40% - Accent2 5 2 4 2 4" xfId="14455" xr:uid="{00000000-0005-0000-0000-0000FB620000}"/>
    <cellStyle name="40% - Accent2 5 2 4 2 4 2" xfId="37057" xr:uid="{00000000-0005-0000-0000-0000FC620000}"/>
    <cellStyle name="40% - Accent2 5 2 4 2 5" xfId="25756" xr:uid="{00000000-0005-0000-0000-0000FD620000}"/>
    <cellStyle name="40% - Accent2 5 2 4 3" xfId="4752" xr:uid="{00000000-0005-0000-0000-0000FE620000}"/>
    <cellStyle name="40% - Accent2 5 2 4 3 2" xfId="10402" xr:uid="{00000000-0005-0000-0000-0000FF620000}"/>
    <cellStyle name="40% - Accent2 5 2 4 3 2 2" xfId="21703" xr:uid="{00000000-0005-0000-0000-000000630000}"/>
    <cellStyle name="40% - Accent2 5 2 4 3 2 2 2" xfId="44305" xr:uid="{00000000-0005-0000-0000-000001630000}"/>
    <cellStyle name="40% - Accent2 5 2 4 3 2 3" xfId="33004" xr:uid="{00000000-0005-0000-0000-000002630000}"/>
    <cellStyle name="40% - Accent2 5 2 4 3 3" xfId="16053" xr:uid="{00000000-0005-0000-0000-000003630000}"/>
    <cellStyle name="40% - Accent2 5 2 4 3 3 2" xfId="38655" xr:uid="{00000000-0005-0000-0000-000004630000}"/>
    <cellStyle name="40% - Accent2 5 2 4 3 4" xfId="27354" xr:uid="{00000000-0005-0000-0000-000005630000}"/>
    <cellStyle name="40% - Accent2 5 2 4 4" xfId="6939" xr:uid="{00000000-0005-0000-0000-000006630000}"/>
    <cellStyle name="40% - Accent2 5 2 4 4 2" xfId="18240" xr:uid="{00000000-0005-0000-0000-000007630000}"/>
    <cellStyle name="40% - Accent2 5 2 4 4 2 2" xfId="40842" xr:uid="{00000000-0005-0000-0000-000008630000}"/>
    <cellStyle name="40% - Accent2 5 2 4 4 3" xfId="29541" xr:uid="{00000000-0005-0000-0000-000009630000}"/>
    <cellStyle name="40% - Accent2 5 2 4 5" xfId="12590" xr:uid="{00000000-0005-0000-0000-00000A630000}"/>
    <cellStyle name="40% - Accent2 5 2 4 5 2" xfId="35192" xr:uid="{00000000-0005-0000-0000-00000B630000}"/>
    <cellStyle name="40% - Accent2 5 2 4 6" xfId="23891" xr:uid="{00000000-0005-0000-0000-00000C630000}"/>
    <cellStyle name="40% - Accent2 5 2 5" xfId="1886" xr:uid="{00000000-0005-0000-0000-00000D630000}"/>
    <cellStyle name="40% - Accent2 5 2 5 2" xfId="3744" xr:uid="{00000000-0005-0000-0000-00000E630000}"/>
    <cellStyle name="40% - Accent2 5 2 5 2 2" xfId="9454" xr:uid="{00000000-0005-0000-0000-00000F630000}"/>
    <cellStyle name="40% - Accent2 5 2 5 2 2 2" xfId="20755" xr:uid="{00000000-0005-0000-0000-000010630000}"/>
    <cellStyle name="40% - Accent2 5 2 5 2 2 2 2" xfId="43357" xr:uid="{00000000-0005-0000-0000-000011630000}"/>
    <cellStyle name="40% - Accent2 5 2 5 2 2 3" xfId="32056" xr:uid="{00000000-0005-0000-0000-000012630000}"/>
    <cellStyle name="40% - Accent2 5 2 5 2 3" xfId="15105" xr:uid="{00000000-0005-0000-0000-000013630000}"/>
    <cellStyle name="40% - Accent2 5 2 5 2 3 2" xfId="37707" xr:uid="{00000000-0005-0000-0000-000014630000}"/>
    <cellStyle name="40% - Accent2 5 2 5 2 4" xfId="26406" xr:uid="{00000000-0005-0000-0000-000015630000}"/>
    <cellStyle name="40% - Accent2 5 2 5 3" xfId="5362" xr:uid="{00000000-0005-0000-0000-000016630000}"/>
    <cellStyle name="40% - Accent2 5 2 5 3 2" xfId="11012" xr:uid="{00000000-0005-0000-0000-000017630000}"/>
    <cellStyle name="40% - Accent2 5 2 5 3 2 2" xfId="22313" xr:uid="{00000000-0005-0000-0000-000018630000}"/>
    <cellStyle name="40% - Accent2 5 2 5 3 2 2 2" xfId="44915" xr:uid="{00000000-0005-0000-0000-000019630000}"/>
    <cellStyle name="40% - Accent2 5 2 5 3 2 3" xfId="33614" xr:uid="{00000000-0005-0000-0000-00001A630000}"/>
    <cellStyle name="40% - Accent2 5 2 5 3 3" xfId="16663" xr:uid="{00000000-0005-0000-0000-00001B630000}"/>
    <cellStyle name="40% - Accent2 5 2 5 3 3 2" xfId="39265" xr:uid="{00000000-0005-0000-0000-00001C630000}"/>
    <cellStyle name="40% - Accent2 5 2 5 3 4" xfId="27964" xr:uid="{00000000-0005-0000-0000-00001D630000}"/>
    <cellStyle name="40% - Accent2 5 2 5 4" xfId="7742" xr:uid="{00000000-0005-0000-0000-00001E630000}"/>
    <cellStyle name="40% - Accent2 5 2 5 4 2" xfId="19043" xr:uid="{00000000-0005-0000-0000-00001F630000}"/>
    <cellStyle name="40% - Accent2 5 2 5 4 2 2" xfId="41645" xr:uid="{00000000-0005-0000-0000-000020630000}"/>
    <cellStyle name="40% - Accent2 5 2 5 4 3" xfId="30344" xr:uid="{00000000-0005-0000-0000-000021630000}"/>
    <cellStyle name="40% - Accent2 5 2 5 5" xfId="13393" xr:uid="{00000000-0005-0000-0000-000022630000}"/>
    <cellStyle name="40% - Accent2 5 2 5 5 2" xfId="35995" xr:uid="{00000000-0005-0000-0000-000023630000}"/>
    <cellStyle name="40% - Accent2 5 2 5 6" xfId="24694" xr:uid="{00000000-0005-0000-0000-000024630000}"/>
    <cellStyle name="40% - Accent2 5 2 6" xfId="2341" xr:uid="{00000000-0005-0000-0000-000025630000}"/>
    <cellStyle name="40% - Accent2 5 2 6 2" xfId="8177" xr:uid="{00000000-0005-0000-0000-000026630000}"/>
    <cellStyle name="40% - Accent2 5 2 6 2 2" xfId="19478" xr:uid="{00000000-0005-0000-0000-000027630000}"/>
    <cellStyle name="40% - Accent2 5 2 6 2 2 2" xfId="42080" xr:uid="{00000000-0005-0000-0000-000028630000}"/>
    <cellStyle name="40% - Accent2 5 2 6 2 3" xfId="30779" xr:uid="{00000000-0005-0000-0000-000029630000}"/>
    <cellStyle name="40% - Accent2 5 2 6 3" xfId="13828" xr:uid="{00000000-0005-0000-0000-00002A630000}"/>
    <cellStyle name="40% - Accent2 5 2 6 3 2" xfId="36430" xr:uid="{00000000-0005-0000-0000-00002B630000}"/>
    <cellStyle name="40% - Accent2 5 2 6 4" xfId="25129" xr:uid="{00000000-0005-0000-0000-00002C630000}"/>
    <cellStyle name="40% - Accent2 5 2 7" xfId="4128" xr:uid="{00000000-0005-0000-0000-00002D630000}"/>
    <cellStyle name="40% - Accent2 5 2 7 2" xfId="9778" xr:uid="{00000000-0005-0000-0000-00002E630000}"/>
    <cellStyle name="40% - Accent2 5 2 7 2 2" xfId="21079" xr:uid="{00000000-0005-0000-0000-00002F630000}"/>
    <cellStyle name="40% - Accent2 5 2 7 2 2 2" xfId="43681" xr:uid="{00000000-0005-0000-0000-000030630000}"/>
    <cellStyle name="40% - Accent2 5 2 7 2 3" xfId="32380" xr:uid="{00000000-0005-0000-0000-000031630000}"/>
    <cellStyle name="40% - Accent2 5 2 7 3" xfId="15429" xr:uid="{00000000-0005-0000-0000-000032630000}"/>
    <cellStyle name="40% - Accent2 5 2 7 3 2" xfId="38031" xr:uid="{00000000-0005-0000-0000-000033630000}"/>
    <cellStyle name="40% - Accent2 5 2 7 4" xfId="26730" xr:uid="{00000000-0005-0000-0000-000034630000}"/>
    <cellStyle name="40% - Accent2 5 2 8" xfId="6579" xr:uid="{00000000-0005-0000-0000-000035630000}"/>
    <cellStyle name="40% - Accent2 5 2 8 2" xfId="17880" xr:uid="{00000000-0005-0000-0000-000036630000}"/>
    <cellStyle name="40% - Accent2 5 2 8 2 2" xfId="40482" xr:uid="{00000000-0005-0000-0000-000037630000}"/>
    <cellStyle name="40% - Accent2 5 2 8 3" xfId="29181" xr:uid="{00000000-0005-0000-0000-000038630000}"/>
    <cellStyle name="40% - Accent2 5 2 9" xfId="12230" xr:uid="{00000000-0005-0000-0000-000039630000}"/>
    <cellStyle name="40% - Accent2 5 2 9 2" xfId="34832" xr:uid="{00000000-0005-0000-0000-00003A630000}"/>
    <cellStyle name="40% - Accent2 5 3" xfId="584" xr:uid="{00000000-0005-0000-0000-00003B630000}"/>
    <cellStyle name="40% - Accent2 5 3 2" xfId="1297" xr:uid="{00000000-0005-0000-0000-00003C630000}"/>
    <cellStyle name="40% - Accent2 5 3 2 2" xfId="1891" xr:uid="{00000000-0005-0000-0000-00003D630000}"/>
    <cellStyle name="40% - Accent2 5 3 2 2 2" xfId="3366" xr:uid="{00000000-0005-0000-0000-00003E630000}"/>
    <cellStyle name="40% - Accent2 5 3 2 2 2 2" xfId="6338" xr:uid="{00000000-0005-0000-0000-00003F630000}"/>
    <cellStyle name="40% - Accent2 5 3 2 2 2 2 2" xfId="11988" xr:uid="{00000000-0005-0000-0000-000040630000}"/>
    <cellStyle name="40% - Accent2 5 3 2 2 2 2 2 2" xfId="23289" xr:uid="{00000000-0005-0000-0000-000041630000}"/>
    <cellStyle name="40% - Accent2 5 3 2 2 2 2 2 2 2" xfId="45891" xr:uid="{00000000-0005-0000-0000-000042630000}"/>
    <cellStyle name="40% - Accent2 5 3 2 2 2 2 2 3" xfId="34590" xr:uid="{00000000-0005-0000-0000-000043630000}"/>
    <cellStyle name="40% - Accent2 5 3 2 2 2 2 3" xfId="17639" xr:uid="{00000000-0005-0000-0000-000044630000}"/>
    <cellStyle name="40% - Accent2 5 3 2 2 2 2 3 2" xfId="40241" xr:uid="{00000000-0005-0000-0000-000045630000}"/>
    <cellStyle name="40% - Accent2 5 3 2 2 2 2 4" xfId="28940" xr:uid="{00000000-0005-0000-0000-000046630000}"/>
    <cellStyle name="40% - Accent2 5 3 2 2 2 3" xfId="9156" xr:uid="{00000000-0005-0000-0000-000047630000}"/>
    <cellStyle name="40% - Accent2 5 3 2 2 2 3 2" xfId="20457" xr:uid="{00000000-0005-0000-0000-000048630000}"/>
    <cellStyle name="40% - Accent2 5 3 2 2 2 3 2 2" xfId="43059" xr:uid="{00000000-0005-0000-0000-000049630000}"/>
    <cellStyle name="40% - Accent2 5 3 2 2 2 3 3" xfId="31758" xr:uid="{00000000-0005-0000-0000-00004A630000}"/>
    <cellStyle name="40% - Accent2 5 3 2 2 2 4" xfId="14807" xr:uid="{00000000-0005-0000-0000-00004B630000}"/>
    <cellStyle name="40% - Accent2 5 3 2 2 2 4 2" xfId="37409" xr:uid="{00000000-0005-0000-0000-00004C630000}"/>
    <cellStyle name="40% - Accent2 5 3 2 2 2 5" xfId="26108" xr:uid="{00000000-0005-0000-0000-00004D630000}"/>
    <cellStyle name="40% - Accent2 5 3 2 2 3" xfId="5104" xr:uid="{00000000-0005-0000-0000-00004E630000}"/>
    <cellStyle name="40% - Accent2 5 3 2 2 3 2" xfId="10754" xr:uid="{00000000-0005-0000-0000-00004F630000}"/>
    <cellStyle name="40% - Accent2 5 3 2 2 3 2 2" xfId="22055" xr:uid="{00000000-0005-0000-0000-000050630000}"/>
    <cellStyle name="40% - Accent2 5 3 2 2 3 2 2 2" xfId="44657" xr:uid="{00000000-0005-0000-0000-000051630000}"/>
    <cellStyle name="40% - Accent2 5 3 2 2 3 2 3" xfId="33356" xr:uid="{00000000-0005-0000-0000-000052630000}"/>
    <cellStyle name="40% - Accent2 5 3 2 2 3 3" xfId="16405" xr:uid="{00000000-0005-0000-0000-000053630000}"/>
    <cellStyle name="40% - Accent2 5 3 2 2 3 3 2" xfId="39007" xr:uid="{00000000-0005-0000-0000-000054630000}"/>
    <cellStyle name="40% - Accent2 5 3 2 2 3 4" xfId="27706" xr:uid="{00000000-0005-0000-0000-000055630000}"/>
    <cellStyle name="40% - Accent2 5 3 2 2 4" xfId="7747" xr:uid="{00000000-0005-0000-0000-000056630000}"/>
    <cellStyle name="40% - Accent2 5 3 2 2 4 2" xfId="19048" xr:uid="{00000000-0005-0000-0000-000057630000}"/>
    <cellStyle name="40% - Accent2 5 3 2 2 4 2 2" xfId="41650" xr:uid="{00000000-0005-0000-0000-000058630000}"/>
    <cellStyle name="40% - Accent2 5 3 2 2 4 3" xfId="30349" xr:uid="{00000000-0005-0000-0000-000059630000}"/>
    <cellStyle name="40% - Accent2 5 3 2 2 5" xfId="13398" xr:uid="{00000000-0005-0000-0000-00005A630000}"/>
    <cellStyle name="40% - Accent2 5 3 2 2 5 2" xfId="36000" xr:uid="{00000000-0005-0000-0000-00005B630000}"/>
    <cellStyle name="40% - Accent2 5 3 2 2 6" xfId="24699" xr:uid="{00000000-0005-0000-0000-00005C630000}"/>
    <cellStyle name="40% - Accent2 5 3 2 3" xfId="2695" xr:uid="{00000000-0005-0000-0000-00005D630000}"/>
    <cellStyle name="40% - Accent2 5 3 2 3 2" xfId="5714" xr:uid="{00000000-0005-0000-0000-00005E630000}"/>
    <cellStyle name="40% - Accent2 5 3 2 3 2 2" xfId="11364" xr:uid="{00000000-0005-0000-0000-00005F630000}"/>
    <cellStyle name="40% - Accent2 5 3 2 3 2 2 2" xfId="22665" xr:uid="{00000000-0005-0000-0000-000060630000}"/>
    <cellStyle name="40% - Accent2 5 3 2 3 2 2 2 2" xfId="45267" xr:uid="{00000000-0005-0000-0000-000061630000}"/>
    <cellStyle name="40% - Accent2 5 3 2 3 2 2 3" xfId="33966" xr:uid="{00000000-0005-0000-0000-000062630000}"/>
    <cellStyle name="40% - Accent2 5 3 2 3 2 3" xfId="17015" xr:uid="{00000000-0005-0000-0000-000063630000}"/>
    <cellStyle name="40% - Accent2 5 3 2 3 2 3 2" xfId="39617" xr:uid="{00000000-0005-0000-0000-000064630000}"/>
    <cellStyle name="40% - Accent2 5 3 2 3 2 4" xfId="28316" xr:uid="{00000000-0005-0000-0000-000065630000}"/>
    <cellStyle name="40% - Accent2 5 3 2 3 3" xfId="8531" xr:uid="{00000000-0005-0000-0000-000066630000}"/>
    <cellStyle name="40% - Accent2 5 3 2 3 3 2" xfId="19832" xr:uid="{00000000-0005-0000-0000-000067630000}"/>
    <cellStyle name="40% - Accent2 5 3 2 3 3 2 2" xfId="42434" xr:uid="{00000000-0005-0000-0000-000068630000}"/>
    <cellStyle name="40% - Accent2 5 3 2 3 3 3" xfId="31133" xr:uid="{00000000-0005-0000-0000-000069630000}"/>
    <cellStyle name="40% - Accent2 5 3 2 3 4" xfId="14182" xr:uid="{00000000-0005-0000-0000-00006A630000}"/>
    <cellStyle name="40% - Accent2 5 3 2 3 4 2" xfId="36784" xr:uid="{00000000-0005-0000-0000-00006B630000}"/>
    <cellStyle name="40% - Accent2 5 3 2 3 5" xfId="25483" xr:uid="{00000000-0005-0000-0000-00006C630000}"/>
    <cellStyle name="40% - Accent2 5 3 2 4" xfId="4480" xr:uid="{00000000-0005-0000-0000-00006D630000}"/>
    <cellStyle name="40% - Accent2 5 3 2 4 2" xfId="10130" xr:uid="{00000000-0005-0000-0000-00006E630000}"/>
    <cellStyle name="40% - Accent2 5 3 2 4 2 2" xfId="21431" xr:uid="{00000000-0005-0000-0000-00006F630000}"/>
    <cellStyle name="40% - Accent2 5 3 2 4 2 2 2" xfId="44033" xr:uid="{00000000-0005-0000-0000-000070630000}"/>
    <cellStyle name="40% - Accent2 5 3 2 4 2 3" xfId="32732" xr:uid="{00000000-0005-0000-0000-000071630000}"/>
    <cellStyle name="40% - Accent2 5 3 2 4 3" xfId="15781" xr:uid="{00000000-0005-0000-0000-000072630000}"/>
    <cellStyle name="40% - Accent2 5 3 2 4 3 2" xfId="38383" xr:uid="{00000000-0005-0000-0000-000073630000}"/>
    <cellStyle name="40% - Accent2 5 3 2 4 4" xfId="27082" xr:uid="{00000000-0005-0000-0000-000074630000}"/>
    <cellStyle name="40% - Accent2 5 3 2 5" xfId="7276" xr:uid="{00000000-0005-0000-0000-000075630000}"/>
    <cellStyle name="40% - Accent2 5 3 2 5 2" xfId="18577" xr:uid="{00000000-0005-0000-0000-000076630000}"/>
    <cellStyle name="40% - Accent2 5 3 2 5 2 2" xfId="41179" xr:uid="{00000000-0005-0000-0000-000077630000}"/>
    <cellStyle name="40% - Accent2 5 3 2 5 3" xfId="29878" xr:uid="{00000000-0005-0000-0000-000078630000}"/>
    <cellStyle name="40% - Accent2 5 3 2 6" xfId="12927" xr:uid="{00000000-0005-0000-0000-000079630000}"/>
    <cellStyle name="40% - Accent2 5 3 2 6 2" xfId="35529" xr:uid="{00000000-0005-0000-0000-00007A630000}"/>
    <cellStyle name="40% - Accent2 5 3 2 7" xfId="24228" xr:uid="{00000000-0005-0000-0000-00007B630000}"/>
    <cellStyle name="40% - Accent2 5 3 3" xfId="995" xr:uid="{00000000-0005-0000-0000-00007C630000}"/>
    <cellStyle name="40% - Accent2 5 3 3 2" xfId="3058" xr:uid="{00000000-0005-0000-0000-00007D630000}"/>
    <cellStyle name="40% - Accent2 5 3 3 2 2" xfId="6030" xr:uid="{00000000-0005-0000-0000-00007E630000}"/>
    <cellStyle name="40% - Accent2 5 3 3 2 2 2" xfId="11680" xr:uid="{00000000-0005-0000-0000-00007F630000}"/>
    <cellStyle name="40% - Accent2 5 3 3 2 2 2 2" xfId="22981" xr:uid="{00000000-0005-0000-0000-000080630000}"/>
    <cellStyle name="40% - Accent2 5 3 3 2 2 2 2 2" xfId="45583" xr:uid="{00000000-0005-0000-0000-000081630000}"/>
    <cellStyle name="40% - Accent2 5 3 3 2 2 2 3" xfId="34282" xr:uid="{00000000-0005-0000-0000-000082630000}"/>
    <cellStyle name="40% - Accent2 5 3 3 2 2 3" xfId="17331" xr:uid="{00000000-0005-0000-0000-000083630000}"/>
    <cellStyle name="40% - Accent2 5 3 3 2 2 3 2" xfId="39933" xr:uid="{00000000-0005-0000-0000-000084630000}"/>
    <cellStyle name="40% - Accent2 5 3 3 2 2 4" xfId="28632" xr:uid="{00000000-0005-0000-0000-000085630000}"/>
    <cellStyle name="40% - Accent2 5 3 3 2 3" xfId="8848" xr:uid="{00000000-0005-0000-0000-000086630000}"/>
    <cellStyle name="40% - Accent2 5 3 3 2 3 2" xfId="20149" xr:uid="{00000000-0005-0000-0000-000087630000}"/>
    <cellStyle name="40% - Accent2 5 3 3 2 3 2 2" xfId="42751" xr:uid="{00000000-0005-0000-0000-000088630000}"/>
    <cellStyle name="40% - Accent2 5 3 3 2 3 3" xfId="31450" xr:uid="{00000000-0005-0000-0000-000089630000}"/>
    <cellStyle name="40% - Accent2 5 3 3 2 4" xfId="14499" xr:uid="{00000000-0005-0000-0000-00008A630000}"/>
    <cellStyle name="40% - Accent2 5 3 3 2 4 2" xfId="37101" xr:uid="{00000000-0005-0000-0000-00008B630000}"/>
    <cellStyle name="40% - Accent2 5 3 3 2 5" xfId="25800" xr:uid="{00000000-0005-0000-0000-00008C630000}"/>
    <cellStyle name="40% - Accent2 5 3 3 3" xfId="4796" xr:uid="{00000000-0005-0000-0000-00008D630000}"/>
    <cellStyle name="40% - Accent2 5 3 3 3 2" xfId="10446" xr:uid="{00000000-0005-0000-0000-00008E630000}"/>
    <cellStyle name="40% - Accent2 5 3 3 3 2 2" xfId="21747" xr:uid="{00000000-0005-0000-0000-00008F630000}"/>
    <cellStyle name="40% - Accent2 5 3 3 3 2 2 2" xfId="44349" xr:uid="{00000000-0005-0000-0000-000090630000}"/>
    <cellStyle name="40% - Accent2 5 3 3 3 2 3" xfId="33048" xr:uid="{00000000-0005-0000-0000-000091630000}"/>
    <cellStyle name="40% - Accent2 5 3 3 3 3" xfId="16097" xr:uid="{00000000-0005-0000-0000-000092630000}"/>
    <cellStyle name="40% - Accent2 5 3 3 3 3 2" xfId="38699" xr:uid="{00000000-0005-0000-0000-000093630000}"/>
    <cellStyle name="40% - Accent2 5 3 3 3 4" xfId="27398" xr:uid="{00000000-0005-0000-0000-000094630000}"/>
    <cellStyle name="40% - Accent2 5 3 3 4" xfId="6983" xr:uid="{00000000-0005-0000-0000-000095630000}"/>
    <cellStyle name="40% - Accent2 5 3 3 4 2" xfId="18284" xr:uid="{00000000-0005-0000-0000-000096630000}"/>
    <cellStyle name="40% - Accent2 5 3 3 4 2 2" xfId="40886" xr:uid="{00000000-0005-0000-0000-000097630000}"/>
    <cellStyle name="40% - Accent2 5 3 3 4 3" xfId="29585" xr:uid="{00000000-0005-0000-0000-000098630000}"/>
    <cellStyle name="40% - Accent2 5 3 3 5" xfId="12634" xr:uid="{00000000-0005-0000-0000-000099630000}"/>
    <cellStyle name="40% - Accent2 5 3 3 5 2" xfId="35236" xr:uid="{00000000-0005-0000-0000-00009A630000}"/>
    <cellStyle name="40% - Accent2 5 3 3 6" xfId="23935" xr:uid="{00000000-0005-0000-0000-00009B630000}"/>
    <cellStyle name="40% - Accent2 5 3 4" xfId="1890" xr:uid="{00000000-0005-0000-0000-00009C630000}"/>
    <cellStyle name="40% - Accent2 5 3 4 2" xfId="3746" xr:uid="{00000000-0005-0000-0000-00009D630000}"/>
    <cellStyle name="40% - Accent2 5 3 4 2 2" xfId="9456" xr:uid="{00000000-0005-0000-0000-00009E630000}"/>
    <cellStyle name="40% - Accent2 5 3 4 2 2 2" xfId="20757" xr:uid="{00000000-0005-0000-0000-00009F630000}"/>
    <cellStyle name="40% - Accent2 5 3 4 2 2 2 2" xfId="43359" xr:uid="{00000000-0005-0000-0000-0000A0630000}"/>
    <cellStyle name="40% - Accent2 5 3 4 2 2 3" xfId="32058" xr:uid="{00000000-0005-0000-0000-0000A1630000}"/>
    <cellStyle name="40% - Accent2 5 3 4 2 3" xfId="15107" xr:uid="{00000000-0005-0000-0000-0000A2630000}"/>
    <cellStyle name="40% - Accent2 5 3 4 2 3 2" xfId="37709" xr:uid="{00000000-0005-0000-0000-0000A3630000}"/>
    <cellStyle name="40% - Accent2 5 3 4 2 4" xfId="26408" xr:uid="{00000000-0005-0000-0000-0000A4630000}"/>
    <cellStyle name="40% - Accent2 5 3 4 3" xfId="5406" xr:uid="{00000000-0005-0000-0000-0000A5630000}"/>
    <cellStyle name="40% - Accent2 5 3 4 3 2" xfId="11056" xr:uid="{00000000-0005-0000-0000-0000A6630000}"/>
    <cellStyle name="40% - Accent2 5 3 4 3 2 2" xfId="22357" xr:uid="{00000000-0005-0000-0000-0000A7630000}"/>
    <cellStyle name="40% - Accent2 5 3 4 3 2 2 2" xfId="44959" xr:uid="{00000000-0005-0000-0000-0000A8630000}"/>
    <cellStyle name="40% - Accent2 5 3 4 3 2 3" xfId="33658" xr:uid="{00000000-0005-0000-0000-0000A9630000}"/>
    <cellStyle name="40% - Accent2 5 3 4 3 3" xfId="16707" xr:uid="{00000000-0005-0000-0000-0000AA630000}"/>
    <cellStyle name="40% - Accent2 5 3 4 3 3 2" xfId="39309" xr:uid="{00000000-0005-0000-0000-0000AB630000}"/>
    <cellStyle name="40% - Accent2 5 3 4 3 4" xfId="28008" xr:uid="{00000000-0005-0000-0000-0000AC630000}"/>
    <cellStyle name="40% - Accent2 5 3 4 4" xfId="7746" xr:uid="{00000000-0005-0000-0000-0000AD630000}"/>
    <cellStyle name="40% - Accent2 5 3 4 4 2" xfId="19047" xr:uid="{00000000-0005-0000-0000-0000AE630000}"/>
    <cellStyle name="40% - Accent2 5 3 4 4 2 2" xfId="41649" xr:uid="{00000000-0005-0000-0000-0000AF630000}"/>
    <cellStyle name="40% - Accent2 5 3 4 4 3" xfId="30348" xr:uid="{00000000-0005-0000-0000-0000B0630000}"/>
    <cellStyle name="40% - Accent2 5 3 4 5" xfId="13397" xr:uid="{00000000-0005-0000-0000-0000B1630000}"/>
    <cellStyle name="40% - Accent2 5 3 4 5 2" xfId="35999" xr:uid="{00000000-0005-0000-0000-0000B2630000}"/>
    <cellStyle name="40% - Accent2 5 3 4 6" xfId="24698" xr:uid="{00000000-0005-0000-0000-0000B3630000}"/>
    <cellStyle name="40% - Accent2 5 3 5" xfId="2387" xr:uid="{00000000-0005-0000-0000-0000B4630000}"/>
    <cellStyle name="40% - Accent2 5 3 5 2" xfId="8223" xr:uid="{00000000-0005-0000-0000-0000B5630000}"/>
    <cellStyle name="40% - Accent2 5 3 5 2 2" xfId="19524" xr:uid="{00000000-0005-0000-0000-0000B6630000}"/>
    <cellStyle name="40% - Accent2 5 3 5 2 2 2" xfId="42126" xr:uid="{00000000-0005-0000-0000-0000B7630000}"/>
    <cellStyle name="40% - Accent2 5 3 5 2 3" xfId="30825" xr:uid="{00000000-0005-0000-0000-0000B8630000}"/>
    <cellStyle name="40% - Accent2 5 3 5 3" xfId="13874" xr:uid="{00000000-0005-0000-0000-0000B9630000}"/>
    <cellStyle name="40% - Accent2 5 3 5 3 2" xfId="36476" xr:uid="{00000000-0005-0000-0000-0000BA630000}"/>
    <cellStyle name="40% - Accent2 5 3 5 4" xfId="25175" xr:uid="{00000000-0005-0000-0000-0000BB630000}"/>
    <cellStyle name="40% - Accent2 5 3 6" xfId="4172" xr:uid="{00000000-0005-0000-0000-0000BC630000}"/>
    <cellStyle name="40% - Accent2 5 3 6 2" xfId="9822" xr:uid="{00000000-0005-0000-0000-0000BD630000}"/>
    <cellStyle name="40% - Accent2 5 3 6 2 2" xfId="21123" xr:uid="{00000000-0005-0000-0000-0000BE630000}"/>
    <cellStyle name="40% - Accent2 5 3 6 2 2 2" xfId="43725" xr:uid="{00000000-0005-0000-0000-0000BF630000}"/>
    <cellStyle name="40% - Accent2 5 3 6 2 3" xfId="32424" xr:uid="{00000000-0005-0000-0000-0000C0630000}"/>
    <cellStyle name="40% - Accent2 5 3 6 3" xfId="15473" xr:uid="{00000000-0005-0000-0000-0000C1630000}"/>
    <cellStyle name="40% - Accent2 5 3 6 3 2" xfId="38075" xr:uid="{00000000-0005-0000-0000-0000C2630000}"/>
    <cellStyle name="40% - Accent2 5 3 6 4" xfId="26774" xr:uid="{00000000-0005-0000-0000-0000C3630000}"/>
    <cellStyle name="40% - Accent2 5 3 7" xfId="6650" xr:uid="{00000000-0005-0000-0000-0000C4630000}"/>
    <cellStyle name="40% - Accent2 5 3 7 2" xfId="17951" xr:uid="{00000000-0005-0000-0000-0000C5630000}"/>
    <cellStyle name="40% - Accent2 5 3 7 2 2" xfId="40553" xr:uid="{00000000-0005-0000-0000-0000C6630000}"/>
    <cellStyle name="40% - Accent2 5 3 7 3" xfId="29252" xr:uid="{00000000-0005-0000-0000-0000C7630000}"/>
    <cellStyle name="40% - Accent2 5 3 8" xfId="12301" xr:uid="{00000000-0005-0000-0000-0000C8630000}"/>
    <cellStyle name="40% - Accent2 5 3 8 2" xfId="34903" xr:uid="{00000000-0005-0000-0000-0000C9630000}"/>
    <cellStyle name="40% - Accent2 5 3 9" xfId="23602" xr:uid="{00000000-0005-0000-0000-0000CA630000}"/>
    <cellStyle name="40% - Accent2 5 4" xfId="1157" xr:uid="{00000000-0005-0000-0000-0000CB630000}"/>
    <cellStyle name="40% - Accent2 5 4 2" xfId="1892" xr:uid="{00000000-0005-0000-0000-0000CC630000}"/>
    <cellStyle name="40% - Accent2 5 4 2 2" xfId="3225" xr:uid="{00000000-0005-0000-0000-0000CD630000}"/>
    <cellStyle name="40% - Accent2 5 4 2 2 2" xfId="6197" xr:uid="{00000000-0005-0000-0000-0000CE630000}"/>
    <cellStyle name="40% - Accent2 5 4 2 2 2 2" xfId="11847" xr:uid="{00000000-0005-0000-0000-0000CF630000}"/>
    <cellStyle name="40% - Accent2 5 4 2 2 2 2 2" xfId="23148" xr:uid="{00000000-0005-0000-0000-0000D0630000}"/>
    <cellStyle name="40% - Accent2 5 4 2 2 2 2 2 2" xfId="45750" xr:uid="{00000000-0005-0000-0000-0000D1630000}"/>
    <cellStyle name="40% - Accent2 5 4 2 2 2 2 3" xfId="34449" xr:uid="{00000000-0005-0000-0000-0000D2630000}"/>
    <cellStyle name="40% - Accent2 5 4 2 2 2 3" xfId="17498" xr:uid="{00000000-0005-0000-0000-0000D3630000}"/>
    <cellStyle name="40% - Accent2 5 4 2 2 2 3 2" xfId="40100" xr:uid="{00000000-0005-0000-0000-0000D4630000}"/>
    <cellStyle name="40% - Accent2 5 4 2 2 2 4" xfId="28799" xr:uid="{00000000-0005-0000-0000-0000D5630000}"/>
    <cellStyle name="40% - Accent2 5 4 2 2 3" xfId="9015" xr:uid="{00000000-0005-0000-0000-0000D6630000}"/>
    <cellStyle name="40% - Accent2 5 4 2 2 3 2" xfId="20316" xr:uid="{00000000-0005-0000-0000-0000D7630000}"/>
    <cellStyle name="40% - Accent2 5 4 2 2 3 2 2" xfId="42918" xr:uid="{00000000-0005-0000-0000-0000D8630000}"/>
    <cellStyle name="40% - Accent2 5 4 2 2 3 3" xfId="31617" xr:uid="{00000000-0005-0000-0000-0000D9630000}"/>
    <cellStyle name="40% - Accent2 5 4 2 2 4" xfId="14666" xr:uid="{00000000-0005-0000-0000-0000DA630000}"/>
    <cellStyle name="40% - Accent2 5 4 2 2 4 2" xfId="37268" xr:uid="{00000000-0005-0000-0000-0000DB630000}"/>
    <cellStyle name="40% - Accent2 5 4 2 2 5" xfId="25967" xr:uid="{00000000-0005-0000-0000-0000DC630000}"/>
    <cellStyle name="40% - Accent2 5 4 2 3" xfId="4963" xr:uid="{00000000-0005-0000-0000-0000DD630000}"/>
    <cellStyle name="40% - Accent2 5 4 2 3 2" xfId="10613" xr:uid="{00000000-0005-0000-0000-0000DE630000}"/>
    <cellStyle name="40% - Accent2 5 4 2 3 2 2" xfId="21914" xr:uid="{00000000-0005-0000-0000-0000DF630000}"/>
    <cellStyle name="40% - Accent2 5 4 2 3 2 2 2" xfId="44516" xr:uid="{00000000-0005-0000-0000-0000E0630000}"/>
    <cellStyle name="40% - Accent2 5 4 2 3 2 3" xfId="33215" xr:uid="{00000000-0005-0000-0000-0000E1630000}"/>
    <cellStyle name="40% - Accent2 5 4 2 3 3" xfId="16264" xr:uid="{00000000-0005-0000-0000-0000E2630000}"/>
    <cellStyle name="40% - Accent2 5 4 2 3 3 2" xfId="38866" xr:uid="{00000000-0005-0000-0000-0000E3630000}"/>
    <cellStyle name="40% - Accent2 5 4 2 3 4" xfId="27565" xr:uid="{00000000-0005-0000-0000-0000E4630000}"/>
    <cellStyle name="40% - Accent2 5 4 2 4" xfId="7748" xr:uid="{00000000-0005-0000-0000-0000E5630000}"/>
    <cellStyle name="40% - Accent2 5 4 2 4 2" xfId="19049" xr:uid="{00000000-0005-0000-0000-0000E6630000}"/>
    <cellStyle name="40% - Accent2 5 4 2 4 2 2" xfId="41651" xr:uid="{00000000-0005-0000-0000-0000E7630000}"/>
    <cellStyle name="40% - Accent2 5 4 2 4 3" xfId="30350" xr:uid="{00000000-0005-0000-0000-0000E8630000}"/>
    <cellStyle name="40% - Accent2 5 4 2 5" xfId="13399" xr:uid="{00000000-0005-0000-0000-0000E9630000}"/>
    <cellStyle name="40% - Accent2 5 4 2 5 2" xfId="36001" xr:uid="{00000000-0005-0000-0000-0000EA630000}"/>
    <cellStyle name="40% - Accent2 5 4 2 6" xfId="24700" xr:uid="{00000000-0005-0000-0000-0000EB630000}"/>
    <cellStyle name="40% - Accent2 5 4 3" xfId="2554" xr:uid="{00000000-0005-0000-0000-0000EC630000}"/>
    <cellStyle name="40% - Accent2 5 4 3 2" xfId="5573" xr:uid="{00000000-0005-0000-0000-0000ED630000}"/>
    <cellStyle name="40% - Accent2 5 4 3 2 2" xfId="11223" xr:uid="{00000000-0005-0000-0000-0000EE630000}"/>
    <cellStyle name="40% - Accent2 5 4 3 2 2 2" xfId="22524" xr:uid="{00000000-0005-0000-0000-0000EF630000}"/>
    <cellStyle name="40% - Accent2 5 4 3 2 2 2 2" xfId="45126" xr:uid="{00000000-0005-0000-0000-0000F0630000}"/>
    <cellStyle name="40% - Accent2 5 4 3 2 2 3" xfId="33825" xr:uid="{00000000-0005-0000-0000-0000F1630000}"/>
    <cellStyle name="40% - Accent2 5 4 3 2 3" xfId="16874" xr:uid="{00000000-0005-0000-0000-0000F2630000}"/>
    <cellStyle name="40% - Accent2 5 4 3 2 3 2" xfId="39476" xr:uid="{00000000-0005-0000-0000-0000F3630000}"/>
    <cellStyle name="40% - Accent2 5 4 3 2 4" xfId="28175" xr:uid="{00000000-0005-0000-0000-0000F4630000}"/>
    <cellStyle name="40% - Accent2 5 4 3 3" xfId="8390" xr:uid="{00000000-0005-0000-0000-0000F5630000}"/>
    <cellStyle name="40% - Accent2 5 4 3 3 2" xfId="19691" xr:uid="{00000000-0005-0000-0000-0000F6630000}"/>
    <cellStyle name="40% - Accent2 5 4 3 3 2 2" xfId="42293" xr:uid="{00000000-0005-0000-0000-0000F7630000}"/>
    <cellStyle name="40% - Accent2 5 4 3 3 3" xfId="30992" xr:uid="{00000000-0005-0000-0000-0000F8630000}"/>
    <cellStyle name="40% - Accent2 5 4 3 4" xfId="14041" xr:uid="{00000000-0005-0000-0000-0000F9630000}"/>
    <cellStyle name="40% - Accent2 5 4 3 4 2" xfId="36643" xr:uid="{00000000-0005-0000-0000-0000FA630000}"/>
    <cellStyle name="40% - Accent2 5 4 3 5" xfId="25342" xr:uid="{00000000-0005-0000-0000-0000FB630000}"/>
    <cellStyle name="40% - Accent2 5 4 4" xfId="4339" xr:uid="{00000000-0005-0000-0000-0000FC630000}"/>
    <cellStyle name="40% - Accent2 5 4 4 2" xfId="9989" xr:uid="{00000000-0005-0000-0000-0000FD630000}"/>
    <cellStyle name="40% - Accent2 5 4 4 2 2" xfId="21290" xr:uid="{00000000-0005-0000-0000-0000FE630000}"/>
    <cellStyle name="40% - Accent2 5 4 4 2 2 2" xfId="43892" xr:uid="{00000000-0005-0000-0000-0000FF630000}"/>
    <cellStyle name="40% - Accent2 5 4 4 2 3" xfId="32591" xr:uid="{00000000-0005-0000-0000-000000640000}"/>
    <cellStyle name="40% - Accent2 5 4 4 3" xfId="15640" xr:uid="{00000000-0005-0000-0000-000001640000}"/>
    <cellStyle name="40% - Accent2 5 4 4 3 2" xfId="38242" xr:uid="{00000000-0005-0000-0000-000002640000}"/>
    <cellStyle name="40% - Accent2 5 4 4 4" xfId="26941" xr:uid="{00000000-0005-0000-0000-000003640000}"/>
    <cellStyle name="40% - Accent2 5 4 5" xfId="7136" xr:uid="{00000000-0005-0000-0000-000004640000}"/>
    <cellStyle name="40% - Accent2 5 4 5 2" xfId="18437" xr:uid="{00000000-0005-0000-0000-000005640000}"/>
    <cellStyle name="40% - Accent2 5 4 5 2 2" xfId="41039" xr:uid="{00000000-0005-0000-0000-000006640000}"/>
    <cellStyle name="40% - Accent2 5 4 5 3" xfId="29738" xr:uid="{00000000-0005-0000-0000-000007640000}"/>
    <cellStyle name="40% - Accent2 5 4 6" xfId="12787" xr:uid="{00000000-0005-0000-0000-000008640000}"/>
    <cellStyle name="40% - Accent2 5 4 6 2" xfId="35389" xr:uid="{00000000-0005-0000-0000-000009640000}"/>
    <cellStyle name="40% - Accent2 5 4 7" xfId="24088" xr:uid="{00000000-0005-0000-0000-00000A640000}"/>
    <cellStyle name="40% - Accent2 5 5" xfId="836" xr:uid="{00000000-0005-0000-0000-00000B640000}"/>
    <cellStyle name="40% - Accent2 5 5 2" xfId="2918" xr:uid="{00000000-0005-0000-0000-00000C640000}"/>
    <cellStyle name="40% - Accent2 5 5 2 2" xfId="5890" xr:uid="{00000000-0005-0000-0000-00000D640000}"/>
    <cellStyle name="40% - Accent2 5 5 2 2 2" xfId="11540" xr:uid="{00000000-0005-0000-0000-00000E640000}"/>
    <cellStyle name="40% - Accent2 5 5 2 2 2 2" xfId="22841" xr:uid="{00000000-0005-0000-0000-00000F640000}"/>
    <cellStyle name="40% - Accent2 5 5 2 2 2 2 2" xfId="45443" xr:uid="{00000000-0005-0000-0000-000010640000}"/>
    <cellStyle name="40% - Accent2 5 5 2 2 2 3" xfId="34142" xr:uid="{00000000-0005-0000-0000-000011640000}"/>
    <cellStyle name="40% - Accent2 5 5 2 2 3" xfId="17191" xr:uid="{00000000-0005-0000-0000-000012640000}"/>
    <cellStyle name="40% - Accent2 5 5 2 2 3 2" xfId="39793" xr:uid="{00000000-0005-0000-0000-000013640000}"/>
    <cellStyle name="40% - Accent2 5 5 2 2 4" xfId="28492" xr:uid="{00000000-0005-0000-0000-000014640000}"/>
    <cellStyle name="40% - Accent2 5 5 2 3" xfId="8708" xr:uid="{00000000-0005-0000-0000-000015640000}"/>
    <cellStyle name="40% - Accent2 5 5 2 3 2" xfId="20009" xr:uid="{00000000-0005-0000-0000-000016640000}"/>
    <cellStyle name="40% - Accent2 5 5 2 3 2 2" xfId="42611" xr:uid="{00000000-0005-0000-0000-000017640000}"/>
    <cellStyle name="40% - Accent2 5 5 2 3 3" xfId="31310" xr:uid="{00000000-0005-0000-0000-000018640000}"/>
    <cellStyle name="40% - Accent2 5 5 2 4" xfId="14359" xr:uid="{00000000-0005-0000-0000-000019640000}"/>
    <cellStyle name="40% - Accent2 5 5 2 4 2" xfId="36961" xr:uid="{00000000-0005-0000-0000-00001A640000}"/>
    <cellStyle name="40% - Accent2 5 5 2 5" xfId="25660" xr:uid="{00000000-0005-0000-0000-00001B640000}"/>
    <cellStyle name="40% - Accent2 5 5 3" xfId="4656" xr:uid="{00000000-0005-0000-0000-00001C640000}"/>
    <cellStyle name="40% - Accent2 5 5 3 2" xfId="10306" xr:uid="{00000000-0005-0000-0000-00001D640000}"/>
    <cellStyle name="40% - Accent2 5 5 3 2 2" xfId="21607" xr:uid="{00000000-0005-0000-0000-00001E640000}"/>
    <cellStyle name="40% - Accent2 5 5 3 2 2 2" xfId="44209" xr:uid="{00000000-0005-0000-0000-00001F640000}"/>
    <cellStyle name="40% - Accent2 5 5 3 2 3" xfId="32908" xr:uid="{00000000-0005-0000-0000-000020640000}"/>
    <cellStyle name="40% - Accent2 5 5 3 3" xfId="15957" xr:uid="{00000000-0005-0000-0000-000021640000}"/>
    <cellStyle name="40% - Accent2 5 5 3 3 2" xfId="38559" xr:uid="{00000000-0005-0000-0000-000022640000}"/>
    <cellStyle name="40% - Accent2 5 5 3 4" xfId="27258" xr:uid="{00000000-0005-0000-0000-000023640000}"/>
    <cellStyle name="40% - Accent2 5 5 4" xfId="6841" xr:uid="{00000000-0005-0000-0000-000024640000}"/>
    <cellStyle name="40% - Accent2 5 5 4 2" xfId="18142" xr:uid="{00000000-0005-0000-0000-000025640000}"/>
    <cellStyle name="40% - Accent2 5 5 4 2 2" xfId="40744" xr:uid="{00000000-0005-0000-0000-000026640000}"/>
    <cellStyle name="40% - Accent2 5 5 4 3" xfId="29443" xr:uid="{00000000-0005-0000-0000-000027640000}"/>
    <cellStyle name="40% - Accent2 5 5 5" xfId="12492" xr:uid="{00000000-0005-0000-0000-000028640000}"/>
    <cellStyle name="40% - Accent2 5 5 5 2" xfId="35094" xr:uid="{00000000-0005-0000-0000-000029640000}"/>
    <cellStyle name="40% - Accent2 5 5 6" xfId="23793" xr:uid="{00000000-0005-0000-0000-00002A640000}"/>
    <cellStyle name="40% - Accent2 5 6" xfId="1885" xr:uid="{00000000-0005-0000-0000-00002B640000}"/>
    <cellStyle name="40% - Accent2 5 6 2" xfId="3743" xr:uid="{00000000-0005-0000-0000-00002C640000}"/>
    <cellStyle name="40% - Accent2 5 6 2 2" xfId="9453" xr:uid="{00000000-0005-0000-0000-00002D640000}"/>
    <cellStyle name="40% - Accent2 5 6 2 2 2" xfId="20754" xr:uid="{00000000-0005-0000-0000-00002E640000}"/>
    <cellStyle name="40% - Accent2 5 6 2 2 2 2" xfId="43356" xr:uid="{00000000-0005-0000-0000-00002F640000}"/>
    <cellStyle name="40% - Accent2 5 6 2 2 3" xfId="32055" xr:uid="{00000000-0005-0000-0000-000030640000}"/>
    <cellStyle name="40% - Accent2 5 6 2 3" xfId="15104" xr:uid="{00000000-0005-0000-0000-000031640000}"/>
    <cellStyle name="40% - Accent2 5 6 2 3 2" xfId="37706" xr:uid="{00000000-0005-0000-0000-000032640000}"/>
    <cellStyle name="40% - Accent2 5 6 2 4" xfId="26405" xr:uid="{00000000-0005-0000-0000-000033640000}"/>
    <cellStyle name="40% - Accent2 5 6 3" xfId="5266" xr:uid="{00000000-0005-0000-0000-000034640000}"/>
    <cellStyle name="40% - Accent2 5 6 3 2" xfId="10916" xr:uid="{00000000-0005-0000-0000-000035640000}"/>
    <cellStyle name="40% - Accent2 5 6 3 2 2" xfId="22217" xr:uid="{00000000-0005-0000-0000-000036640000}"/>
    <cellStyle name="40% - Accent2 5 6 3 2 2 2" xfId="44819" xr:uid="{00000000-0005-0000-0000-000037640000}"/>
    <cellStyle name="40% - Accent2 5 6 3 2 3" xfId="33518" xr:uid="{00000000-0005-0000-0000-000038640000}"/>
    <cellStyle name="40% - Accent2 5 6 3 3" xfId="16567" xr:uid="{00000000-0005-0000-0000-000039640000}"/>
    <cellStyle name="40% - Accent2 5 6 3 3 2" xfId="39169" xr:uid="{00000000-0005-0000-0000-00003A640000}"/>
    <cellStyle name="40% - Accent2 5 6 3 4" xfId="27868" xr:uid="{00000000-0005-0000-0000-00003B640000}"/>
    <cellStyle name="40% - Accent2 5 6 4" xfId="7741" xr:uid="{00000000-0005-0000-0000-00003C640000}"/>
    <cellStyle name="40% - Accent2 5 6 4 2" xfId="19042" xr:uid="{00000000-0005-0000-0000-00003D640000}"/>
    <cellStyle name="40% - Accent2 5 6 4 2 2" xfId="41644" xr:uid="{00000000-0005-0000-0000-00003E640000}"/>
    <cellStyle name="40% - Accent2 5 6 4 3" xfId="30343" xr:uid="{00000000-0005-0000-0000-00003F640000}"/>
    <cellStyle name="40% - Accent2 5 6 5" xfId="13392" xr:uid="{00000000-0005-0000-0000-000040640000}"/>
    <cellStyle name="40% - Accent2 5 6 5 2" xfId="35994" xr:uid="{00000000-0005-0000-0000-000041640000}"/>
    <cellStyle name="40% - Accent2 5 6 6" xfId="24693" xr:uid="{00000000-0005-0000-0000-000042640000}"/>
    <cellStyle name="40% - Accent2 5 7" xfId="2239" xr:uid="{00000000-0005-0000-0000-000043640000}"/>
    <cellStyle name="40% - Accent2 5 7 2" xfId="8080" xr:uid="{00000000-0005-0000-0000-000044640000}"/>
    <cellStyle name="40% - Accent2 5 7 2 2" xfId="19381" xr:uid="{00000000-0005-0000-0000-000045640000}"/>
    <cellStyle name="40% - Accent2 5 7 2 2 2" xfId="41983" xr:uid="{00000000-0005-0000-0000-000046640000}"/>
    <cellStyle name="40% - Accent2 5 7 2 3" xfId="30682" xr:uid="{00000000-0005-0000-0000-000047640000}"/>
    <cellStyle name="40% - Accent2 5 7 3" xfId="13731" xr:uid="{00000000-0005-0000-0000-000048640000}"/>
    <cellStyle name="40% - Accent2 5 7 3 2" xfId="36333" xr:uid="{00000000-0005-0000-0000-000049640000}"/>
    <cellStyle name="40% - Accent2 5 7 4" xfId="25032" xr:uid="{00000000-0005-0000-0000-00004A640000}"/>
    <cellStyle name="40% - Accent2 5 8" xfId="4032" xr:uid="{00000000-0005-0000-0000-00004B640000}"/>
    <cellStyle name="40% - Accent2 5 8 2" xfId="9682" xr:uid="{00000000-0005-0000-0000-00004C640000}"/>
    <cellStyle name="40% - Accent2 5 8 2 2" xfId="20983" xr:uid="{00000000-0005-0000-0000-00004D640000}"/>
    <cellStyle name="40% - Accent2 5 8 2 2 2" xfId="43585" xr:uid="{00000000-0005-0000-0000-00004E640000}"/>
    <cellStyle name="40% - Accent2 5 8 2 3" xfId="32284" xr:uid="{00000000-0005-0000-0000-00004F640000}"/>
    <cellStyle name="40% - Accent2 5 8 3" xfId="15333" xr:uid="{00000000-0005-0000-0000-000050640000}"/>
    <cellStyle name="40% - Accent2 5 8 3 2" xfId="37935" xr:uid="{00000000-0005-0000-0000-000051640000}"/>
    <cellStyle name="40% - Accent2 5 8 4" xfId="26634" xr:uid="{00000000-0005-0000-0000-000052640000}"/>
    <cellStyle name="40% - Accent2 5 9" xfId="6483" xr:uid="{00000000-0005-0000-0000-000053640000}"/>
    <cellStyle name="40% - Accent2 5 9 2" xfId="17784" xr:uid="{00000000-0005-0000-0000-000054640000}"/>
    <cellStyle name="40% - Accent2 5 9 2 2" xfId="40386" xr:uid="{00000000-0005-0000-0000-000055640000}"/>
    <cellStyle name="40% - Accent2 5 9 3" xfId="29085" xr:uid="{00000000-0005-0000-0000-000056640000}"/>
    <cellStyle name="40% - Accent2 6" xfId="295" xr:uid="{00000000-0005-0000-0000-000057640000}"/>
    <cellStyle name="40% - Accent2 7" xfId="394" xr:uid="{00000000-0005-0000-0000-000058640000}"/>
    <cellStyle name="40% - Accent2 7 10" xfId="23489" xr:uid="{00000000-0005-0000-0000-000059640000}"/>
    <cellStyle name="40% - Accent2 7 2" xfId="639" xr:uid="{00000000-0005-0000-0000-00005A640000}"/>
    <cellStyle name="40% - Accent2 7 2 2" xfId="1349" xr:uid="{00000000-0005-0000-0000-00005B640000}"/>
    <cellStyle name="40% - Accent2 7 2 2 2" xfId="1895" xr:uid="{00000000-0005-0000-0000-00005C640000}"/>
    <cellStyle name="40% - Accent2 7 2 2 2 2" xfId="3418" xr:uid="{00000000-0005-0000-0000-00005D640000}"/>
    <cellStyle name="40% - Accent2 7 2 2 2 2 2" xfId="6390" xr:uid="{00000000-0005-0000-0000-00005E640000}"/>
    <cellStyle name="40% - Accent2 7 2 2 2 2 2 2" xfId="12040" xr:uid="{00000000-0005-0000-0000-00005F640000}"/>
    <cellStyle name="40% - Accent2 7 2 2 2 2 2 2 2" xfId="23341" xr:uid="{00000000-0005-0000-0000-000060640000}"/>
    <cellStyle name="40% - Accent2 7 2 2 2 2 2 2 2 2" xfId="45943" xr:uid="{00000000-0005-0000-0000-000061640000}"/>
    <cellStyle name="40% - Accent2 7 2 2 2 2 2 2 3" xfId="34642" xr:uid="{00000000-0005-0000-0000-000062640000}"/>
    <cellStyle name="40% - Accent2 7 2 2 2 2 2 3" xfId="17691" xr:uid="{00000000-0005-0000-0000-000063640000}"/>
    <cellStyle name="40% - Accent2 7 2 2 2 2 2 3 2" xfId="40293" xr:uid="{00000000-0005-0000-0000-000064640000}"/>
    <cellStyle name="40% - Accent2 7 2 2 2 2 2 4" xfId="28992" xr:uid="{00000000-0005-0000-0000-000065640000}"/>
    <cellStyle name="40% - Accent2 7 2 2 2 2 3" xfId="9208" xr:uid="{00000000-0005-0000-0000-000066640000}"/>
    <cellStyle name="40% - Accent2 7 2 2 2 2 3 2" xfId="20509" xr:uid="{00000000-0005-0000-0000-000067640000}"/>
    <cellStyle name="40% - Accent2 7 2 2 2 2 3 2 2" xfId="43111" xr:uid="{00000000-0005-0000-0000-000068640000}"/>
    <cellStyle name="40% - Accent2 7 2 2 2 2 3 3" xfId="31810" xr:uid="{00000000-0005-0000-0000-000069640000}"/>
    <cellStyle name="40% - Accent2 7 2 2 2 2 4" xfId="14859" xr:uid="{00000000-0005-0000-0000-00006A640000}"/>
    <cellStyle name="40% - Accent2 7 2 2 2 2 4 2" xfId="37461" xr:uid="{00000000-0005-0000-0000-00006B640000}"/>
    <cellStyle name="40% - Accent2 7 2 2 2 2 5" xfId="26160" xr:uid="{00000000-0005-0000-0000-00006C640000}"/>
    <cellStyle name="40% - Accent2 7 2 2 2 3" xfId="5156" xr:uid="{00000000-0005-0000-0000-00006D640000}"/>
    <cellStyle name="40% - Accent2 7 2 2 2 3 2" xfId="10806" xr:uid="{00000000-0005-0000-0000-00006E640000}"/>
    <cellStyle name="40% - Accent2 7 2 2 2 3 2 2" xfId="22107" xr:uid="{00000000-0005-0000-0000-00006F640000}"/>
    <cellStyle name="40% - Accent2 7 2 2 2 3 2 2 2" xfId="44709" xr:uid="{00000000-0005-0000-0000-000070640000}"/>
    <cellStyle name="40% - Accent2 7 2 2 2 3 2 3" xfId="33408" xr:uid="{00000000-0005-0000-0000-000071640000}"/>
    <cellStyle name="40% - Accent2 7 2 2 2 3 3" xfId="16457" xr:uid="{00000000-0005-0000-0000-000072640000}"/>
    <cellStyle name="40% - Accent2 7 2 2 2 3 3 2" xfId="39059" xr:uid="{00000000-0005-0000-0000-000073640000}"/>
    <cellStyle name="40% - Accent2 7 2 2 2 3 4" xfId="27758" xr:uid="{00000000-0005-0000-0000-000074640000}"/>
    <cellStyle name="40% - Accent2 7 2 2 2 4" xfId="7751" xr:uid="{00000000-0005-0000-0000-000075640000}"/>
    <cellStyle name="40% - Accent2 7 2 2 2 4 2" xfId="19052" xr:uid="{00000000-0005-0000-0000-000076640000}"/>
    <cellStyle name="40% - Accent2 7 2 2 2 4 2 2" xfId="41654" xr:uid="{00000000-0005-0000-0000-000077640000}"/>
    <cellStyle name="40% - Accent2 7 2 2 2 4 3" xfId="30353" xr:uid="{00000000-0005-0000-0000-000078640000}"/>
    <cellStyle name="40% - Accent2 7 2 2 2 5" xfId="13402" xr:uid="{00000000-0005-0000-0000-000079640000}"/>
    <cellStyle name="40% - Accent2 7 2 2 2 5 2" xfId="36004" xr:uid="{00000000-0005-0000-0000-00007A640000}"/>
    <cellStyle name="40% - Accent2 7 2 2 2 6" xfId="24703" xr:uid="{00000000-0005-0000-0000-00007B640000}"/>
    <cellStyle name="40% - Accent2 7 2 2 3" xfId="2747" xr:uid="{00000000-0005-0000-0000-00007C640000}"/>
    <cellStyle name="40% - Accent2 7 2 2 3 2" xfId="5766" xr:uid="{00000000-0005-0000-0000-00007D640000}"/>
    <cellStyle name="40% - Accent2 7 2 2 3 2 2" xfId="11416" xr:uid="{00000000-0005-0000-0000-00007E640000}"/>
    <cellStyle name="40% - Accent2 7 2 2 3 2 2 2" xfId="22717" xr:uid="{00000000-0005-0000-0000-00007F640000}"/>
    <cellStyle name="40% - Accent2 7 2 2 3 2 2 2 2" xfId="45319" xr:uid="{00000000-0005-0000-0000-000080640000}"/>
    <cellStyle name="40% - Accent2 7 2 2 3 2 2 3" xfId="34018" xr:uid="{00000000-0005-0000-0000-000081640000}"/>
    <cellStyle name="40% - Accent2 7 2 2 3 2 3" xfId="17067" xr:uid="{00000000-0005-0000-0000-000082640000}"/>
    <cellStyle name="40% - Accent2 7 2 2 3 2 3 2" xfId="39669" xr:uid="{00000000-0005-0000-0000-000083640000}"/>
    <cellStyle name="40% - Accent2 7 2 2 3 2 4" xfId="28368" xr:uid="{00000000-0005-0000-0000-000084640000}"/>
    <cellStyle name="40% - Accent2 7 2 2 3 3" xfId="8583" xr:uid="{00000000-0005-0000-0000-000085640000}"/>
    <cellStyle name="40% - Accent2 7 2 2 3 3 2" xfId="19884" xr:uid="{00000000-0005-0000-0000-000086640000}"/>
    <cellStyle name="40% - Accent2 7 2 2 3 3 2 2" xfId="42486" xr:uid="{00000000-0005-0000-0000-000087640000}"/>
    <cellStyle name="40% - Accent2 7 2 2 3 3 3" xfId="31185" xr:uid="{00000000-0005-0000-0000-000088640000}"/>
    <cellStyle name="40% - Accent2 7 2 2 3 4" xfId="14234" xr:uid="{00000000-0005-0000-0000-000089640000}"/>
    <cellStyle name="40% - Accent2 7 2 2 3 4 2" xfId="36836" xr:uid="{00000000-0005-0000-0000-00008A640000}"/>
    <cellStyle name="40% - Accent2 7 2 2 3 5" xfId="25535" xr:uid="{00000000-0005-0000-0000-00008B640000}"/>
    <cellStyle name="40% - Accent2 7 2 2 4" xfId="4532" xr:uid="{00000000-0005-0000-0000-00008C640000}"/>
    <cellStyle name="40% - Accent2 7 2 2 4 2" xfId="10182" xr:uid="{00000000-0005-0000-0000-00008D640000}"/>
    <cellStyle name="40% - Accent2 7 2 2 4 2 2" xfId="21483" xr:uid="{00000000-0005-0000-0000-00008E640000}"/>
    <cellStyle name="40% - Accent2 7 2 2 4 2 2 2" xfId="44085" xr:uid="{00000000-0005-0000-0000-00008F640000}"/>
    <cellStyle name="40% - Accent2 7 2 2 4 2 3" xfId="32784" xr:uid="{00000000-0005-0000-0000-000090640000}"/>
    <cellStyle name="40% - Accent2 7 2 2 4 3" xfId="15833" xr:uid="{00000000-0005-0000-0000-000091640000}"/>
    <cellStyle name="40% - Accent2 7 2 2 4 3 2" xfId="38435" xr:uid="{00000000-0005-0000-0000-000092640000}"/>
    <cellStyle name="40% - Accent2 7 2 2 4 4" xfId="27134" xr:uid="{00000000-0005-0000-0000-000093640000}"/>
    <cellStyle name="40% - Accent2 7 2 2 5" xfId="7328" xr:uid="{00000000-0005-0000-0000-000094640000}"/>
    <cellStyle name="40% - Accent2 7 2 2 5 2" xfId="18629" xr:uid="{00000000-0005-0000-0000-000095640000}"/>
    <cellStyle name="40% - Accent2 7 2 2 5 2 2" xfId="41231" xr:uid="{00000000-0005-0000-0000-000096640000}"/>
    <cellStyle name="40% - Accent2 7 2 2 5 3" xfId="29930" xr:uid="{00000000-0005-0000-0000-000097640000}"/>
    <cellStyle name="40% - Accent2 7 2 2 6" xfId="12979" xr:uid="{00000000-0005-0000-0000-000098640000}"/>
    <cellStyle name="40% - Accent2 7 2 2 6 2" xfId="35581" xr:uid="{00000000-0005-0000-0000-000099640000}"/>
    <cellStyle name="40% - Accent2 7 2 2 7" xfId="24280" xr:uid="{00000000-0005-0000-0000-00009A640000}"/>
    <cellStyle name="40% - Accent2 7 2 3" xfId="1047" xr:uid="{00000000-0005-0000-0000-00009B640000}"/>
    <cellStyle name="40% - Accent2 7 2 3 2" xfId="3110" xr:uid="{00000000-0005-0000-0000-00009C640000}"/>
    <cellStyle name="40% - Accent2 7 2 3 2 2" xfId="6082" xr:uid="{00000000-0005-0000-0000-00009D640000}"/>
    <cellStyle name="40% - Accent2 7 2 3 2 2 2" xfId="11732" xr:uid="{00000000-0005-0000-0000-00009E640000}"/>
    <cellStyle name="40% - Accent2 7 2 3 2 2 2 2" xfId="23033" xr:uid="{00000000-0005-0000-0000-00009F640000}"/>
    <cellStyle name="40% - Accent2 7 2 3 2 2 2 2 2" xfId="45635" xr:uid="{00000000-0005-0000-0000-0000A0640000}"/>
    <cellStyle name="40% - Accent2 7 2 3 2 2 2 3" xfId="34334" xr:uid="{00000000-0005-0000-0000-0000A1640000}"/>
    <cellStyle name="40% - Accent2 7 2 3 2 2 3" xfId="17383" xr:uid="{00000000-0005-0000-0000-0000A2640000}"/>
    <cellStyle name="40% - Accent2 7 2 3 2 2 3 2" xfId="39985" xr:uid="{00000000-0005-0000-0000-0000A3640000}"/>
    <cellStyle name="40% - Accent2 7 2 3 2 2 4" xfId="28684" xr:uid="{00000000-0005-0000-0000-0000A4640000}"/>
    <cellStyle name="40% - Accent2 7 2 3 2 3" xfId="8900" xr:uid="{00000000-0005-0000-0000-0000A5640000}"/>
    <cellStyle name="40% - Accent2 7 2 3 2 3 2" xfId="20201" xr:uid="{00000000-0005-0000-0000-0000A6640000}"/>
    <cellStyle name="40% - Accent2 7 2 3 2 3 2 2" xfId="42803" xr:uid="{00000000-0005-0000-0000-0000A7640000}"/>
    <cellStyle name="40% - Accent2 7 2 3 2 3 3" xfId="31502" xr:uid="{00000000-0005-0000-0000-0000A8640000}"/>
    <cellStyle name="40% - Accent2 7 2 3 2 4" xfId="14551" xr:uid="{00000000-0005-0000-0000-0000A9640000}"/>
    <cellStyle name="40% - Accent2 7 2 3 2 4 2" xfId="37153" xr:uid="{00000000-0005-0000-0000-0000AA640000}"/>
    <cellStyle name="40% - Accent2 7 2 3 2 5" xfId="25852" xr:uid="{00000000-0005-0000-0000-0000AB640000}"/>
    <cellStyle name="40% - Accent2 7 2 3 3" xfId="4848" xr:uid="{00000000-0005-0000-0000-0000AC640000}"/>
    <cellStyle name="40% - Accent2 7 2 3 3 2" xfId="10498" xr:uid="{00000000-0005-0000-0000-0000AD640000}"/>
    <cellStyle name="40% - Accent2 7 2 3 3 2 2" xfId="21799" xr:uid="{00000000-0005-0000-0000-0000AE640000}"/>
    <cellStyle name="40% - Accent2 7 2 3 3 2 2 2" xfId="44401" xr:uid="{00000000-0005-0000-0000-0000AF640000}"/>
    <cellStyle name="40% - Accent2 7 2 3 3 2 3" xfId="33100" xr:uid="{00000000-0005-0000-0000-0000B0640000}"/>
    <cellStyle name="40% - Accent2 7 2 3 3 3" xfId="16149" xr:uid="{00000000-0005-0000-0000-0000B1640000}"/>
    <cellStyle name="40% - Accent2 7 2 3 3 3 2" xfId="38751" xr:uid="{00000000-0005-0000-0000-0000B2640000}"/>
    <cellStyle name="40% - Accent2 7 2 3 3 4" xfId="27450" xr:uid="{00000000-0005-0000-0000-0000B3640000}"/>
    <cellStyle name="40% - Accent2 7 2 3 4" xfId="7035" xr:uid="{00000000-0005-0000-0000-0000B4640000}"/>
    <cellStyle name="40% - Accent2 7 2 3 4 2" xfId="18336" xr:uid="{00000000-0005-0000-0000-0000B5640000}"/>
    <cellStyle name="40% - Accent2 7 2 3 4 2 2" xfId="40938" xr:uid="{00000000-0005-0000-0000-0000B6640000}"/>
    <cellStyle name="40% - Accent2 7 2 3 4 3" xfId="29637" xr:uid="{00000000-0005-0000-0000-0000B7640000}"/>
    <cellStyle name="40% - Accent2 7 2 3 5" xfId="12686" xr:uid="{00000000-0005-0000-0000-0000B8640000}"/>
    <cellStyle name="40% - Accent2 7 2 3 5 2" xfId="35288" xr:uid="{00000000-0005-0000-0000-0000B9640000}"/>
    <cellStyle name="40% - Accent2 7 2 3 6" xfId="23987" xr:uid="{00000000-0005-0000-0000-0000BA640000}"/>
    <cellStyle name="40% - Accent2 7 2 4" xfId="1894" xr:uid="{00000000-0005-0000-0000-0000BB640000}"/>
    <cellStyle name="40% - Accent2 7 2 4 2" xfId="3748" xr:uid="{00000000-0005-0000-0000-0000BC640000}"/>
    <cellStyle name="40% - Accent2 7 2 4 2 2" xfId="9458" xr:uid="{00000000-0005-0000-0000-0000BD640000}"/>
    <cellStyle name="40% - Accent2 7 2 4 2 2 2" xfId="20759" xr:uid="{00000000-0005-0000-0000-0000BE640000}"/>
    <cellStyle name="40% - Accent2 7 2 4 2 2 2 2" xfId="43361" xr:uid="{00000000-0005-0000-0000-0000BF640000}"/>
    <cellStyle name="40% - Accent2 7 2 4 2 2 3" xfId="32060" xr:uid="{00000000-0005-0000-0000-0000C0640000}"/>
    <cellStyle name="40% - Accent2 7 2 4 2 3" xfId="15109" xr:uid="{00000000-0005-0000-0000-0000C1640000}"/>
    <cellStyle name="40% - Accent2 7 2 4 2 3 2" xfId="37711" xr:uid="{00000000-0005-0000-0000-0000C2640000}"/>
    <cellStyle name="40% - Accent2 7 2 4 2 4" xfId="26410" xr:uid="{00000000-0005-0000-0000-0000C3640000}"/>
    <cellStyle name="40% - Accent2 7 2 4 3" xfId="5458" xr:uid="{00000000-0005-0000-0000-0000C4640000}"/>
    <cellStyle name="40% - Accent2 7 2 4 3 2" xfId="11108" xr:uid="{00000000-0005-0000-0000-0000C5640000}"/>
    <cellStyle name="40% - Accent2 7 2 4 3 2 2" xfId="22409" xr:uid="{00000000-0005-0000-0000-0000C6640000}"/>
    <cellStyle name="40% - Accent2 7 2 4 3 2 2 2" xfId="45011" xr:uid="{00000000-0005-0000-0000-0000C7640000}"/>
    <cellStyle name="40% - Accent2 7 2 4 3 2 3" xfId="33710" xr:uid="{00000000-0005-0000-0000-0000C8640000}"/>
    <cellStyle name="40% - Accent2 7 2 4 3 3" xfId="16759" xr:uid="{00000000-0005-0000-0000-0000C9640000}"/>
    <cellStyle name="40% - Accent2 7 2 4 3 3 2" xfId="39361" xr:uid="{00000000-0005-0000-0000-0000CA640000}"/>
    <cellStyle name="40% - Accent2 7 2 4 3 4" xfId="28060" xr:uid="{00000000-0005-0000-0000-0000CB640000}"/>
    <cellStyle name="40% - Accent2 7 2 4 4" xfId="7750" xr:uid="{00000000-0005-0000-0000-0000CC640000}"/>
    <cellStyle name="40% - Accent2 7 2 4 4 2" xfId="19051" xr:uid="{00000000-0005-0000-0000-0000CD640000}"/>
    <cellStyle name="40% - Accent2 7 2 4 4 2 2" xfId="41653" xr:uid="{00000000-0005-0000-0000-0000CE640000}"/>
    <cellStyle name="40% - Accent2 7 2 4 4 3" xfId="30352" xr:uid="{00000000-0005-0000-0000-0000CF640000}"/>
    <cellStyle name="40% - Accent2 7 2 4 5" xfId="13401" xr:uid="{00000000-0005-0000-0000-0000D0640000}"/>
    <cellStyle name="40% - Accent2 7 2 4 5 2" xfId="36003" xr:uid="{00000000-0005-0000-0000-0000D1640000}"/>
    <cellStyle name="40% - Accent2 7 2 4 6" xfId="24702" xr:uid="{00000000-0005-0000-0000-0000D2640000}"/>
    <cellStyle name="40% - Accent2 7 2 5" xfId="2439" xr:uid="{00000000-0005-0000-0000-0000D3640000}"/>
    <cellStyle name="40% - Accent2 7 2 5 2" xfId="8275" xr:uid="{00000000-0005-0000-0000-0000D4640000}"/>
    <cellStyle name="40% - Accent2 7 2 5 2 2" xfId="19576" xr:uid="{00000000-0005-0000-0000-0000D5640000}"/>
    <cellStyle name="40% - Accent2 7 2 5 2 2 2" xfId="42178" xr:uid="{00000000-0005-0000-0000-0000D6640000}"/>
    <cellStyle name="40% - Accent2 7 2 5 2 3" xfId="30877" xr:uid="{00000000-0005-0000-0000-0000D7640000}"/>
    <cellStyle name="40% - Accent2 7 2 5 3" xfId="13926" xr:uid="{00000000-0005-0000-0000-0000D8640000}"/>
    <cellStyle name="40% - Accent2 7 2 5 3 2" xfId="36528" xr:uid="{00000000-0005-0000-0000-0000D9640000}"/>
    <cellStyle name="40% - Accent2 7 2 5 4" xfId="25227" xr:uid="{00000000-0005-0000-0000-0000DA640000}"/>
    <cellStyle name="40% - Accent2 7 2 6" xfId="4224" xr:uid="{00000000-0005-0000-0000-0000DB640000}"/>
    <cellStyle name="40% - Accent2 7 2 6 2" xfId="9874" xr:uid="{00000000-0005-0000-0000-0000DC640000}"/>
    <cellStyle name="40% - Accent2 7 2 6 2 2" xfId="21175" xr:uid="{00000000-0005-0000-0000-0000DD640000}"/>
    <cellStyle name="40% - Accent2 7 2 6 2 2 2" xfId="43777" xr:uid="{00000000-0005-0000-0000-0000DE640000}"/>
    <cellStyle name="40% - Accent2 7 2 6 2 3" xfId="32476" xr:uid="{00000000-0005-0000-0000-0000DF640000}"/>
    <cellStyle name="40% - Accent2 7 2 6 3" xfId="15525" xr:uid="{00000000-0005-0000-0000-0000E0640000}"/>
    <cellStyle name="40% - Accent2 7 2 6 3 2" xfId="38127" xr:uid="{00000000-0005-0000-0000-0000E1640000}"/>
    <cellStyle name="40% - Accent2 7 2 6 4" xfId="26826" xr:uid="{00000000-0005-0000-0000-0000E2640000}"/>
    <cellStyle name="40% - Accent2 7 2 7" xfId="6704" xr:uid="{00000000-0005-0000-0000-0000E3640000}"/>
    <cellStyle name="40% - Accent2 7 2 7 2" xfId="18005" xr:uid="{00000000-0005-0000-0000-0000E4640000}"/>
    <cellStyle name="40% - Accent2 7 2 7 2 2" xfId="40607" xr:uid="{00000000-0005-0000-0000-0000E5640000}"/>
    <cellStyle name="40% - Accent2 7 2 7 3" xfId="29306" xr:uid="{00000000-0005-0000-0000-0000E6640000}"/>
    <cellStyle name="40% - Accent2 7 2 8" xfId="12355" xr:uid="{00000000-0005-0000-0000-0000E7640000}"/>
    <cellStyle name="40% - Accent2 7 2 8 2" xfId="34957" xr:uid="{00000000-0005-0000-0000-0000E8640000}"/>
    <cellStyle name="40% - Accent2 7 2 9" xfId="23656" xr:uid="{00000000-0005-0000-0000-0000E9640000}"/>
    <cellStyle name="40% - Accent2 7 3" xfId="1211" xr:uid="{00000000-0005-0000-0000-0000EA640000}"/>
    <cellStyle name="40% - Accent2 7 3 2" xfId="1896" xr:uid="{00000000-0005-0000-0000-0000EB640000}"/>
    <cellStyle name="40% - Accent2 7 3 2 2" xfId="3279" xr:uid="{00000000-0005-0000-0000-0000EC640000}"/>
    <cellStyle name="40% - Accent2 7 3 2 2 2" xfId="6251" xr:uid="{00000000-0005-0000-0000-0000ED640000}"/>
    <cellStyle name="40% - Accent2 7 3 2 2 2 2" xfId="11901" xr:uid="{00000000-0005-0000-0000-0000EE640000}"/>
    <cellStyle name="40% - Accent2 7 3 2 2 2 2 2" xfId="23202" xr:uid="{00000000-0005-0000-0000-0000EF640000}"/>
    <cellStyle name="40% - Accent2 7 3 2 2 2 2 2 2" xfId="45804" xr:uid="{00000000-0005-0000-0000-0000F0640000}"/>
    <cellStyle name="40% - Accent2 7 3 2 2 2 2 3" xfId="34503" xr:uid="{00000000-0005-0000-0000-0000F1640000}"/>
    <cellStyle name="40% - Accent2 7 3 2 2 2 3" xfId="17552" xr:uid="{00000000-0005-0000-0000-0000F2640000}"/>
    <cellStyle name="40% - Accent2 7 3 2 2 2 3 2" xfId="40154" xr:uid="{00000000-0005-0000-0000-0000F3640000}"/>
    <cellStyle name="40% - Accent2 7 3 2 2 2 4" xfId="28853" xr:uid="{00000000-0005-0000-0000-0000F4640000}"/>
    <cellStyle name="40% - Accent2 7 3 2 2 3" xfId="9069" xr:uid="{00000000-0005-0000-0000-0000F5640000}"/>
    <cellStyle name="40% - Accent2 7 3 2 2 3 2" xfId="20370" xr:uid="{00000000-0005-0000-0000-0000F6640000}"/>
    <cellStyle name="40% - Accent2 7 3 2 2 3 2 2" xfId="42972" xr:uid="{00000000-0005-0000-0000-0000F7640000}"/>
    <cellStyle name="40% - Accent2 7 3 2 2 3 3" xfId="31671" xr:uid="{00000000-0005-0000-0000-0000F8640000}"/>
    <cellStyle name="40% - Accent2 7 3 2 2 4" xfId="14720" xr:uid="{00000000-0005-0000-0000-0000F9640000}"/>
    <cellStyle name="40% - Accent2 7 3 2 2 4 2" xfId="37322" xr:uid="{00000000-0005-0000-0000-0000FA640000}"/>
    <cellStyle name="40% - Accent2 7 3 2 2 5" xfId="26021" xr:uid="{00000000-0005-0000-0000-0000FB640000}"/>
    <cellStyle name="40% - Accent2 7 3 2 3" xfId="5017" xr:uid="{00000000-0005-0000-0000-0000FC640000}"/>
    <cellStyle name="40% - Accent2 7 3 2 3 2" xfId="10667" xr:uid="{00000000-0005-0000-0000-0000FD640000}"/>
    <cellStyle name="40% - Accent2 7 3 2 3 2 2" xfId="21968" xr:uid="{00000000-0005-0000-0000-0000FE640000}"/>
    <cellStyle name="40% - Accent2 7 3 2 3 2 2 2" xfId="44570" xr:uid="{00000000-0005-0000-0000-0000FF640000}"/>
    <cellStyle name="40% - Accent2 7 3 2 3 2 3" xfId="33269" xr:uid="{00000000-0005-0000-0000-000000650000}"/>
    <cellStyle name="40% - Accent2 7 3 2 3 3" xfId="16318" xr:uid="{00000000-0005-0000-0000-000001650000}"/>
    <cellStyle name="40% - Accent2 7 3 2 3 3 2" xfId="38920" xr:uid="{00000000-0005-0000-0000-000002650000}"/>
    <cellStyle name="40% - Accent2 7 3 2 3 4" xfId="27619" xr:uid="{00000000-0005-0000-0000-000003650000}"/>
    <cellStyle name="40% - Accent2 7 3 2 4" xfId="7752" xr:uid="{00000000-0005-0000-0000-000004650000}"/>
    <cellStyle name="40% - Accent2 7 3 2 4 2" xfId="19053" xr:uid="{00000000-0005-0000-0000-000005650000}"/>
    <cellStyle name="40% - Accent2 7 3 2 4 2 2" xfId="41655" xr:uid="{00000000-0005-0000-0000-000006650000}"/>
    <cellStyle name="40% - Accent2 7 3 2 4 3" xfId="30354" xr:uid="{00000000-0005-0000-0000-000007650000}"/>
    <cellStyle name="40% - Accent2 7 3 2 5" xfId="13403" xr:uid="{00000000-0005-0000-0000-000008650000}"/>
    <cellStyle name="40% - Accent2 7 3 2 5 2" xfId="36005" xr:uid="{00000000-0005-0000-0000-000009650000}"/>
    <cellStyle name="40% - Accent2 7 3 2 6" xfId="24704" xr:uid="{00000000-0005-0000-0000-00000A650000}"/>
    <cellStyle name="40% - Accent2 7 3 3" xfId="2608" xr:uid="{00000000-0005-0000-0000-00000B650000}"/>
    <cellStyle name="40% - Accent2 7 3 3 2" xfId="5627" xr:uid="{00000000-0005-0000-0000-00000C650000}"/>
    <cellStyle name="40% - Accent2 7 3 3 2 2" xfId="11277" xr:uid="{00000000-0005-0000-0000-00000D650000}"/>
    <cellStyle name="40% - Accent2 7 3 3 2 2 2" xfId="22578" xr:uid="{00000000-0005-0000-0000-00000E650000}"/>
    <cellStyle name="40% - Accent2 7 3 3 2 2 2 2" xfId="45180" xr:uid="{00000000-0005-0000-0000-00000F650000}"/>
    <cellStyle name="40% - Accent2 7 3 3 2 2 3" xfId="33879" xr:uid="{00000000-0005-0000-0000-000010650000}"/>
    <cellStyle name="40% - Accent2 7 3 3 2 3" xfId="16928" xr:uid="{00000000-0005-0000-0000-000011650000}"/>
    <cellStyle name="40% - Accent2 7 3 3 2 3 2" xfId="39530" xr:uid="{00000000-0005-0000-0000-000012650000}"/>
    <cellStyle name="40% - Accent2 7 3 3 2 4" xfId="28229" xr:uid="{00000000-0005-0000-0000-000013650000}"/>
    <cellStyle name="40% - Accent2 7 3 3 3" xfId="8444" xr:uid="{00000000-0005-0000-0000-000014650000}"/>
    <cellStyle name="40% - Accent2 7 3 3 3 2" xfId="19745" xr:uid="{00000000-0005-0000-0000-000015650000}"/>
    <cellStyle name="40% - Accent2 7 3 3 3 2 2" xfId="42347" xr:uid="{00000000-0005-0000-0000-000016650000}"/>
    <cellStyle name="40% - Accent2 7 3 3 3 3" xfId="31046" xr:uid="{00000000-0005-0000-0000-000017650000}"/>
    <cellStyle name="40% - Accent2 7 3 3 4" xfId="14095" xr:uid="{00000000-0005-0000-0000-000018650000}"/>
    <cellStyle name="40% - Accent2 7 3 3 4 2" xfId="36697" xr:uid="{00000000-0005-0000-0000-000019650000}"/>
    <cellStyle name="40% - Accent2 7 3 3 5" xfId="25396" xr:uid="{00000000-0005-0000-0000-00001A650000}"/>
    <cellStyle name="40% - Accent2 7 3 4" xfId="4393" xr:uid="{00000000-0005-0000-0000-00001B650000}"/>
    <cellStyle name="40% - Accent2 7 3 4 2" xfId="10043" xr:uid="{00000000-0005-0000-0000-00001C650000}"/>
    <cellStyle name="40% - Accent2 7 3 4 2 2" xfId="21344" xr:uid="{00000000-0005-0000-0000-00001D650000}"/>
    <cellStyle name="40% - Accent2 7 3 4 2 2 2" xfId="43946" xr:uid="{00000000-0005-0000-0000-00001E650000}"/>
    <cellStyle name="40% - Accent2 7 3 4 2 3" xfId="32645" xr:uid="{00000000-0005-0000-0000-00001F650000}"/>
    <cellStyle name="40% - Accent2 7 3 4 3" xfId="15694" xr:uid="{00000000-0005-0000-0000-000020650000}"/>
    <cellStyle name="40% - Accent2 7 3 4 3 2" xfId="38296" xr:uid="{00000000-0005-0000-0000-000021650000}"/>
    <cellStyle name="40% - Accent2 7 3 4 4" xfId="26995" xr:uid="{00000000-0005-0000-0000-000022650000}"/>
    <cellStyle name="40% - Accent2 7 3 5" xfId="7190" xr:uid="{00000000-0005-0000-0000-000023650000}"/>
    <cellStyle name="40% - Accent2 7 3 5 2" xfId="18491" xr:uid="{00000000-0005-0000-0000-000024650000}"/>
    <cellStyle name="40% - Accent2 7 3 5 2 2" xfId="41093" xr:uid="{00000000-0005-0000-0000-000025650000}"/>
    <cellStyle name="40% - Accent2 7 3 5 3" xfId="29792" xr:uid="{00000000-0005-0000-0000-000026650000}"/>
    <cellStyle name="40% - Accent2 7 3 6" xfId="12841" xr:uid="{00000000-0005-0000-0000-000027650000}"/>
    <cellStyle name="40% - Accent2 7 3 6 2" xfId="35443" xr:uid="{00000000-0005-0000-0000-000028650000}"/>
    <cellStyle name="40% - Accent2 7 3 7" xfId="24142" xr:uid="{00000000-0005-0000-0000-000029650000}"/>
    <cellStyle name="40% - Accent2 7 4" xfId="902" xr:uid="{00000000-0005-0000-0000-00002A650000}"/>
    <cellStyle name="40% - Accent2 7 4 2" xfId="2972" xr:uid="{00000000-0005-0000-0000-00002B650000}"/>
    <cellStyle name="40% - Accent2 7 4 2 2" xfId="5944" xr:uid="{00000000-0005-0000-0000-00002C650000}"/>
    <cellStyle name="40% - Accent2 7 4 2 2 2" xfId="11594" xr:uid="{00000000-0005-0000-0000-00002D650000}"/>
    <cellStyle name="40% - Accent2 7 4 2 2 2 2" xfId="22895" xr:uid="{00000000-0005-0000-0000-00002E650000}"/>
    <cellStyle name="40% - Accent2 7 4 2 2 2 2 2" xfId="45497" xr:uid="{00000000-0005-0000-0000-00002F650000}"/>
    <cellStyle name="40% - Accent2 7 4 2 2 2 3" xfId="34196" xr:uid="{00000000-0005-0000-0000-000030650000}"/>
    <cellStyle name="40% - Accent2 7 4 2 2 3" xfId="17245" xr:uid="{00000000-0005-0000-0000-000031650000}"/>
    <cellStyle name="40% - Accent2 7 4 2 2 3 2" xfId="39847" xr:uid="{00000000-0005-0000-0000-000032650000}"/>
    <cellStyle name="40% - Accent2 7 4 2 2 4" xfId="28546" xr:uid="{00000000-0005-0000-0000-000033650000}"/>
    <cellStyle name="40% - Accent2 7 4 2 3" xfId="8762" xr:uid="{00000000-0005-0000-0000-000034650000}"/>
    <cellStyle name="40% - Accent2 7 4 2 3 2" xfId="20063" xr:uid="{00000000-0005-0000-0000-000035650000}"/>
    <cellStyle name="40% - Accent2 7 4 2 3 2 2" xfId="42665" xr:uid="{00000000-0005-0000-0000-000036650000}"/>
    <cellStyle name="40% - Accent2 7 4 2 3 3" xfId="31364" xr:uid="{00000000-0005-0000-0000-000037650000}"/>
    <cellStyle name="40% - Accent2 7 4 2 4" xfId="14413" xr:uid="{00000000-0005-0000-0000-000038650000}"/>
    <cellStyle name="40% - Accent2 7 4 2 4 2" xfId="37015" xr:uid="{00000000-0005-0000-0000-000039650000}"/>
    <cellStyle name="40% - Accent2 7 4 2 5" xfId="25714" xr:uid="{00000000-0005-0000-0000-00003A650000}"/>
    <cellStyle name="40% - Accent2 7 4 3" xfId="4710" xr:uid="{00000000-0005-0000-0000-00003B650000}"/>
    <cellStyle name="40% - Accent2 7 4 3 2" xfId="10360" xr:uid="{00000000-0005-0000-0000-00003C650000}"/>
    <cellStyle name="40% - Accent2 7 4 3 2 2" xfId="21661" xr:uid="{00000000-0005-0000-0000-00003D650000}"/>
    <cellStyle name="40% - Accent2 7 4 3 2 2 2" xfId="44263" xr:uid="{00000000-0005-0000-0000-00003E650000}"/>
    <cellStyle name="40% - Accent2 7 4 3 2 3" xfId="32962" xr:uid="{00000000-0005-0000-0000-00003F650000}"/>
    <cellStyle name="40% - Accent2 7 4 3 3" xfId="16011" xr:uid="{00000000-0005-0000-0000-000040650000}"/>
    <cellStyle name="40% - Accent2 7 4 3 3 2" xfId="38613" xr:uid="{00000000-0005-0000-0000-000041650000}"/>
    <cellStyle name="40% - Accent2 7 4 3 4" xfId="27312" xr:uid="{00000000-0005-0000-0000-000042650000}"/>
    <cellStyle name="40% - Accent2 7 4 4" xfId="6897" xr:uid="{00000000-0005-0000-0000-000043650000}"/>
    <cellStyle name="40% - Accent2 7 4 4 2" xfId="18198" xr:uid="{00000000-0005-0000-0000-000044650000}"/>
    <cellStyle name="40% - Accent2 7 4 4 2 2" xfId="40800" xr:uid="{00000000-0005-0000-0000-000045650000}"/>
    <cellStyle name="40% - Accent2 7 4 4 3" xfId="29499" xr:uid="{00000000-0005-0000-0000-000046650000}"/>
    <cellStyle name="40% - Accent2 7 4 5" xfId="12548" xr:uid="{00000000-0005-0000-0000-000047650000}"/>
    <cellStyle name="40% - Accent2 7 4 5 2" xfId="35150" xr:uid="{00000000-0005-0000-0000-000048650000}"/>
    <cellStyle name="40% - Accent2 7 4 6" xfId="23849" xr:uid="{00000000-0005-0000-0000-000049650000}"/>
    <cellStyle name="40% - Accent2 7 5" xfId="1893" xr:uid="{00000000-0005-0000-0000-00004A650000}"/>
    <cellStyle name="40% - Accent2 7 5 2" xfId="3747" xr:uid="{00000000-0005-0000-0000-00004B650000}"/>
    <cellStyle name="40% - Accent2 7 5 2 2" xfId="9457" xr:uid="{00000000-0005-0000-0000-00004C650000}"/>
    <cellStyle name="40% - Accent2 7 5 2 2 2" xfId="20758" xr:uid="{00000000-0005-0000-0000-00004D650000}"/>
    <cellStyle name="40% - Accent2 7 5 2 2 2 2" xfId="43360" xr:uid="{00000000-0005-0000-0000-00004E650000}"/>
    <cellStyle name="40% - Accent2 7 5 2 2 3" xfId="32059" xr:uid="{00000000-0005-0000-0000-00004F650000}"/>
    <cellStyle name="40% - Accent2 7 5 2 3" xfId="15108" xr:uid="{00000000-0005-0000-0000-000050650000}"/>
    <cellStyle name="40% - Accent2 7 5 2 3 2" xfId="37710" xr:uid="{00000000-0005-0000-0000-000051650000}"/>
    <cellStyle name="40% - Accent2 7 5 2 4" xfId="26409" xr:uid="{00000000-0005-0000-0000-000052650000}"/>
    <cellStyle name="40% - Accent2 7 5 3" xfId="5320" xr:uid="{00000000-0005-0000-0000-000053650000}"/>
    <cellStyle name="40% - Accent2 7 5 3 2" xfId="10970" xr:uid="{00000000-0005-0000-0000-000054650000}"/>
    <cellStyle name="40% - Accent2 7 5 3 2 2" xfId="22271" xr:uid="{00000000-0005-0000-0000-000055650000}"/>
    <cellStyle name="40% - Accent2 7 5 3 2 2 2" xfId="44873" xr:uid="{00000000-0005-0000-0000-000056650000}"/>
    <cellStyle name="40% - Accent2 7 5 3 2 3" xfId="33572" xr:uid="{00000000-0005-0000-0000-000057650000}"/>
    <cellStyle name="40% - Accent2 7 5 3 3" xfId="16621" xr:uid="{00000000-0005-0000-0000-000058650000}"/>
    <cellStyle name="40% - Accent2 7 5 3 3 2" xfId="39223" xr:uid="{00000000-0005-0000-0000-000059650000}"/>
    <cellStyle name="40% - Accent2 7 5 3 4" xfId="27922" xr:uid="{00000000-0005-0000-0000-00005A650000}"/>
    <cellStyle name="40% - Accent2 7 5 4" xfId="7749" xr:uid="{00000000-0005-0000-0000-00005B650000}"/>
    <cellStyle name="40% - Accent2 7 5 4 2" xfId="19050" xr:uid="{00000000-0005-0000-0000-00005C650000}"/>
    <cellStyle name="40% - Accent2 7 5 4 2 2" xfId="41652" xr:uid="{00000000-0005-0000-0000-00005D650000}"/>
    <cellStyle name="40% - Accent2 7 5 4 3" xfId="30351" xr:uid="{00000000-0005-0000-0000-00005E650000}"/>
    <cellStyle name="40% - Accent2 7 5 5" xfId="13400" xr:uid="{00000000-0005-0000-0000-00005F650000}"/>
    <cellStyle name="40% - Accent2 7 5 5 2" xfId="36002" xr:uid="{00000000-0005-0000-0000-000060650000}"/>
    <cellStyle name="40% - Accent2 7 5 6" xfId="24701" xr:uid="{00000000-0005-0000-0000-000061650000}"/>
    <cellStyle name="40% - Accent2 7 6" xfId="2299" xr:uid="{00000000-0005-0000-0000-000062650000}"/>
    <cellStyle name="40% - Accent2 7 6 2" xfId="8135" xr:uid="{00000000-0005-0000-0000-000063650000}"/>
    <cellStyle name="40% - Accent2 7 6 2 2" xfId="19436" xr:uid="{00000000-0005-0000-0000-000064650000}"/>
    <cellStyle name="40% - Accent2 7 6 2 2 2" xfId="42038" xr:uid="{00000000-0005-0000-0000-000065650000}"/>
    <cellStyle name="40% - Accent2 7 6 2 3" xfId="30737" xr:uid="{00000000-0005-0000-0000-000066650000}"/>
    <cellStyle name="40% - Accent2 7 6 3" xfId="13786" xr:uid="{00000000-0005-0000-0000-000067650000}"/>
    <cellStyle name="40% - Accent2 7 6 3 2" xfId="36388" xr:uid="{00000000-0005-0000-0000-000068650000}"/>
    <cellStyle name="40% - Accent2 7 6 4" xfId="25087" xr:uid="{00000000-0005-0000-0000-000069650000}"/>
    <cellStyle name="40% - Accent2 7 7" xfId="4086" xr:uid="{00000000-0005-0000-0000-00006A650000}"/>
    <cellStyle name="40% - Accent2 7 7 2" xfId="9736" xr:uid="{00000000-0005-0000-0000-00006B650000}"/>
    <cellStyle name="40% - Accent2 7 7 2 2" xfId="21037" xr:uid="{00000000-0005-0000-0000-00006C650000}"/>
    <cellStyle name="40% - Accent2 7 7 2 2 2" xfId="43639" xr:uid="{00000000-0005-0000-0000-00006D650000}"/>
    <cellStyle name="40% - Accent2 7 7 2 3" xfId="32338" xr:uid="{00000000-0005-0000-0000-00006E650000}"/>
    <cellStyle name="40% - Accent2 7 7 3" xfId="15387" xr:uid="{00000000-0005-0000-0000-00006F650000}"/>
    <cellStyle name="40% - Accent2 7 7 3 2" xfId="37989" xr:uid="{00000000-0005-0000-0000-000070650000}"/>
    <cellStyle name="40% - Accent2 7 7 4" xfId="26688" xr:uid="{00000000-0005-0000-0000-000071650000}"/>
    <cellStyle name="40% - Accent2 7 8" xfId="6537" xr:uid="{00000000-0005-0000-0000-000072650000}"/>
    <cellStyle name="40% - Accent2 7 8 2" xfId="17838" xr:uid="{00000000-0005-0000-0000-000073650000}"/>
    <cellStyle name="40% - Accent2 7 8 2 2" xfId="40440" xr:uid="{00000000-0005-0000-0000-000074650000}"/>
    <cellStyle name="40% - Accent2 7 8 3" xfId="29139" xr:uid="{00000000-0005-0000-0000-000075650000}"/>
    <cellStyle name="40% - Accent2 7 9" xfId="12188" xr:uid="{00000000-0005-0000-0000-000076650000}"/>
    <cellStyle name="40% - Accent2 7 9 2" xfId="34790" xr:uid="{00000000-0005-0000-0000-000077650000}"/>
    <cellStyle name="40% - Accent2 8" xfId="497" xr:uid="{00000000-0005-0000-0000-000078650000}"/>
    <cellStyle name="40% - Accent2 8 2" xfId="1268" xr:uid="{00000000-0005-0000-0000-000079650000}"/>
    <cellStyle name="40% - Accent2 8 2 2" xfId="1898" xr:uid="{00000000-0005-0000-0000-00007A650000}"/>
    <cellStyle name="40% - Accent2 8 2 2 2" xfId="3337" xr:uid="{00000000-0005-0000-0000-00007B650000}"/>
    <cellStyle name="40% - Accent2 8 2 2 2 2" xfId="6309" xr:uid="{00000000-0005-0000-0000-00007C650000}"/>
    <cellStyle name="40% - Accent2 8 2 2 2 2 2" xfId="11959" xr:uid="{00000000-0005-0000-0000-00007D650000}"/>
    <cellStyle name="40% - Accent2 8 2 2 2 2 2 2" xfId="23260" xr:uid="{00000000-0005-0000-0000-00007E650000}"/>
    <cellStyle name="40% - Accent2 8 2 2 2 2 2 2 2" xfId="45862" xr:uid="{00000000-0005-0000-0000-00007F650000}"/>
    <cellStyle name="40% - Accent2 8 2 2 2 2 2 3" xfId="34561" xr:uid="{00000000-0005-0000-0000-000080650000}"/>
    <cellStyle name="40% - Accent2 8 2 2 2 2 3" xfId="17610" xr:uid="{00000000-0005-0000-0000-000081650000}"/>
    <cellStyle name="40% - Accent2 8 2 2 2 2 3 2" xfId="40212" xr:uid="{00000000-0005-0000-0000-000082650000}"/>
    <cellStyle name="40% - Accent2 8 2 2 2 2 4" xfId="28911" xr:uid="{00000000-0005-0000-0000-000083650000}"/>
    <cellStyle name="40% - Accent2 8 2 2 2 3" xfId="9127" xr:uid="{00000000-0005-0000-0000-000084650000}"/>
    <cellStyle name="40% - Accent2 8 2 2 2 3 2" xfId="20428" xr:uid="{00000000-0005-0000-0000-000085650000}"/>
    <cellStyle name="40% - Accent2 8 2 2 2 3 2 2" xfId="43030" xr:uid="{00000000-0005-0000-0000-000086650000}"/>
    <cellStyle name="40% - Accent2 8 2 2 2 3 3" xfId="31729" xr:uid="{00000000-0005-0000-0000-000087650000}"/>
    <cellStyle name="40% - Accent2 8 2 2 2 4" xfId="14778" xr:uid="{00000000-0005-0000-0000-000088650000}"/>
    <cellStyle name="40% - Accent2 8 2 2 2 4 2" xfId="37380" xr:uid="{00000000-0005-0000-0000-000089650000}"/>
    <cellStyle name="40% - Accent2 8 2 2 2 5" xfId="26079" xr:uid="{00000000-0005-0000-0000-00008A650000}"/>
    <cellStyle name="40% - Accent2 8 2 2 3" xfId="5075" xr:uid="{00000000-0005-0000-0000-00008B650000}"/>
    <cellStyle name="40% - Accent2 8 2 2 3 2" xfId="10725" xr:uid="{00000000-0005-0000-0000-00008C650000}"/>
    <cellStyle name="40% - Accent2 8 2 2 3 2 2" xfId="22026" xr:uid="{00000000-0005-0000-0000-00008D650000}"/>
    <cellStyle name="40% - Accent2 8 2 2 3 2 2 2" xfId="44628" xr:uid="{00000000-0005-0000-0000-00008E650000}"/>
    <cellStyle name="40% - Accent2 8 2 2 3 2 3" xfId="33327" xr:uid="{00000000-0005-0000-0000-00008F650000}"/>
    <cellStyle name="40% - Accent2 8 2 2 3 3" xfId="16376" xr:uid="{00000000-0005-0000-0000-000090650000}"/>
    <cellStyle name="40% - Accent2 8 2 2 3 3 2" xfId="38978" xr:uid="{00000000-0005-0000-0000-000091650000}"/>
    <cellStyle name="40% - Accent2 8 2 2 3 4" xfId="27677" xr:uid="{00000000-0005-0000-0000-000092650000}"/>
    <cellStyle name="40% - Accent2 8 2 2 4" xfId="7754" xr:uid="{00000000-0005-0000-0000-000093650000}"/>
    <cellStyle name="40% - Accent2 8 2 2 4 2" xfId="19055" xr:uid="{00000000-0005-0000-0000-000094650000}"/>
    <cellStyle name="40% - Accent2 8 2 2 4 2 2" xfId="41657" xr:uid="{00000000-0005-0000-0000-000095650000}"/>
    <cellStyle name="40% - Accent2 8 2 2 4 3" xfId="30356" xr:uid="{00000000-0005-0000-0000-000096650000}"/>
    <cellStyle name="40% - Accent2 8 2 2 5" xfId="13405" xr:uid="{00000000-0005-0000-0000-000097650000}"/>
    <cellStyle name="40% - Accent2 8 2 2 5 2" xfId="36007" xr:uid="{00000000-0005-0000-0000-000098650000}"/>
    <cellStyle name="40% - Accent2 8 2 2 6" xfId="24706" xr:uid="{00000000-0005-0000-0000-000099650000}"/>
    <cellStyle name="40% - Accent2 8 2 3" xfId="2666" xr:uid="{00000000-0005-0000-0000-00009A650000}"/>
    <cellStyle name="40% - Accent2 8 2 3 2" xfId="5685" xr:uid="{00000000-0005-0000-0000-00009B650000}"/>
    <cellStyle name="40% - Accent2 8 2 3 2 2" xfId="11335" xr:uid="{00000000-0005-0000-0000-00009C650000}"/>
    <cellStyle name="40% - Accent2 8 2 3 2 2 2" xfId="22636" xr:uid="{00000000-0005-0000-0000-00009D650000}"/>
    <cellStyle name="40% - Accent2 8 2 3 2 2 2 2" xfId="45238" xr:uid="{00000000-0005-0000-0000-00009E650000}"/>
    <cellStyle name="40% - Accent2 8 2 3 2 2 3" xfId="33937" xr:uid="{00000000-0005-0000-0000-00009F650000}"/>
    <cellStyle name="40% - Accent2 8 2 3 2 3" xfId="16986" xr:uid="{00000000-0005-0000-0000-0000A0650000}"/>
    <cellStyle name="40% - Accent2 8 2 3 2 3 2" xfId="39588" xr:uid="{00000000-0005-0000-0000-0000A1650000}"/>
    <cellStyle name="40% - Accent2 8 2 3 2 4" xfId="28287" xr:uid="{00000000-0005-0000-0000-0000A2650000}"/>
    <cellStyle name="40% - Accent2 8 2 3 3" xfId="8502" xr:uid="{00000000-0005-0000-0000-0000A3650000}"/>
    <cellStyle name="40% - Accent2 8 2 3 3 2" xfId="19803" xr:uid="{00000000-0005-0000-0000-0000A4650000}"/>
    <cellStyle name="40% - Accent2 8 2 3 3 2 2" xfId="42405" xr:uid="{00000000-0005-0000-0000-0000A5650000}"/>
    <cellStyle name="40% - Accent2 8 2 3 3 3" xfId="31104" xr:uid="{00000000-0005-0000-0000-0000A6650000}"/>
    <cellStyle name="40% - Accent2 8 2 3 4" xfId="14153" xr:uid="{00000000-0005-0000-0000-0000A7650000}"/>
    <cellStyle name="40% - Accent2 8 2 3 4 2" xfId="36755" xr:uid="{00000000-0005-0000-0000-0000A8650000}"/>
    <cellStyle name="40% - Accent2 8 2 3 5" xfId="25454" xr:uid="{00000000-0005-0000-0000-0000A9650000}"/>
    <cellStyle name="40% - Accent2 8 2 4" xfId="4451" xr:uid="{00000000-0005-0000-0000-0000AA650000}"/>
    <cellStyle name="40% - Accent2 8 2 4 2" xfId="10101" xr:uid="{00000000-0005-0000-0000-0000AB650000}"/>
    <cellStyle name="40% - Accent2 8 2 4 2 2" xfId="21402" xr:uid="{00000000-0005-0000-0000-0000AC650000}"/>
    <cellStyle name="40% - Accent2 8 2 4 2 2 2" xfId="44004" xr:uid="{00000000-0005-0000-0000-0000AD650000}"/>
    <cellStyle name="40% - Accent2 8 2 4 2 3" xfId="32703" xr:uid="{00000000-0005-0000-0000-0000AE650000}"/>
    <cellStyle name="40% - Accent2 8 2 4 3" xfId="15752" xr:uid="{00000000-0005-0000-0000-0000AF650000}"/>
    <cellStyle name="40% - Accent2 8 2 4 3 2" xfId="38354" xr:uid="{00000000-0005-0000-0000-0000B0650000}"/>
    <cellStyle name="40% - Accent2 8 2 4 4" xfId="27053" xr:uid="{00000000-0005-0000-0000-0000B1650000}"/>
    <cellStyle name="40% - Accent2 8 2 5" xfId="7247" xr:uid="{00000000-0005-0000-0000-0000B2650000}"/>
    <cellStyle name="40% - Accent2 8 2 5 2" xfId="18548" xr:uid="{00000000-0005-0000-0000-0000B3650000}"/>
    <cellStyle name="40% - Accent2 8 2 5 2 2" xfId="41150" xr:uid="{00000000-0005-0000-0000-0000B4650000}"/>
    <cellStyle name="40% - Accent2 8 2 5 3" xfId="29849" xr:uid="{00000000-0005-0000-0000-0000B5650000}"/>
    <cellStyle name="40% - Accent2 8 2 6" xfId="12898" xr:uid="{00000000-0005-0000-0000-0000B6650000}"/>
    <cellStyle name="40% - Accent2 8 2 6 2" xfId="35500" xr:uid="{00000000-0005-0000-0000-0000B7650000}"/>
    <cellStyle name="40% - Accent2 8 2 7" xfId="24199" xr:uid="{00000000-0005-0000-0000-0000B8650000}"/>
    <cellStyle name="40% - Accent2 8 3" xfId="965" xr:uid="{00000000-0005-0000-0000-0000B9650000}"/>
    <cellStyle name="40% - Accent2 8 3 2" xfId="3029" xr:uid="{00000000-0005-0000-0000-0000BA650000}"/>
    <cellStyle name="40% - Accent2 8 3 2 2" xfId="6001" xr:uid="{00000000-0005-0000-0000-0000BB650000}"/>
    <cellStyle name="40% - Accent2 8 3 2 2 2" xfId="11651" xr:uid="{00000000-0005-0000-0000-0000BC650000}"/>
    <cellStyle name="40% - Accent2 8 3 2 2 2 2" xfId="22952" xr:uid="{00000000-0005-0000-0000-0000BD650000}"/>
    <cellStyle name="40% - Accent2 8 3 2 2 2 2 2" xfId="45554" xr:uid="{00000000-0005-0000-0000-0000BE650000}"/>
    <cellStyle name="40% - Accent2 8 3 2 2 2 3" xfId="34253" xr:uid="{00000000-0005-0000-0000-0000BF650000}"/>
    <cellStyle name="40% - Accent2 8 3 2 2 3" xfId="17302" xr:uid="{00000000-0005-0000-0000-0000C0650000}"/>
    <cellStyle name="40% - Accent2 8 3 2 2 3 2" xfId="39904" xr:uid="{00000000-0005-0000-0000-0000C1650000}"/>
    <cellStyle name="40% - Accent2 8 3 2 2 4" xfId="28603" xr:uid="{00000000-0005-0000-0000-0000C2650000}"/>
    <cellStyle name="40% - Accent2 8 3 2 3" xfId="8819" xr:uid="{00000000-0005-0000-0000-0000C3650000}"/>
    <cellStyle name="40% - Accent2 8 3 2 3 2" xfId="20120" xr:uid="{00000000-0005-0000-0000-0000C4650000}"/>
    <cellStyle name="40% - Accent2 8 3 2 3 2 2" xfId="42722" xr:uid="{00000000-0005-0000-0000-0000C5650000}"/>
    <cellStyle name="40% - Accent2 8 3 2 3 3" xfId="31421" xr:uid="{00000000-0005-0000-0000-0000C6650000}"/>
    <cellStyle name="40% - Accent2 8 3 2 4" xfId="14470" xr:uid="{00000000-0005-0000-0000-0000C7650000}"/>
    <cellStyle name="40% - Accent2 8 3 2 4 2" xfId="37072" xr:uid="{00000000-0005-0000-0000-0000C8650000}"/>
    <cellStyle name="40% - Accent2 8 3 2 5" xfId="25771" xr:uid="{00000000-0005-0000-0000-0000C9650000}"/>
    <cellStyle name="40% - Accent2 8 3 3" xfId="4767" xr:uid="{00000000-0005-0000-0000-0000CA650000}"/>
    <cellStyle name="40% - Accent2 8 3 3 2" xfId="10417" xr:uid="{00000000-0005-0000-0000-0000CB650000}"/>
    <cellStyle name="40% - Accent2 8 3 3 2 2" xfId="21718" xr:uid="{00000000-0005-0000-0000-0000CC650000}"/>
    <cellStyle name="40% - Accent2 8 3 3 2 2 2" xfId="44320" xr:uid="{00000000-0005-0000-0000-0000CD650000}"/>
    <cellStyle name="40% - Accent2 8 3 3 2 3" xfId="33019" xr:uid="{00000000-0005-0000-0000-0000CE650000}"/>
    <cellStyle name="40% - Accent2 8 3 3 3" xfId="16068" xr:uid="{00000000-0005-0000-0000-0000CF650000}"/>
    <cellStyle name="40% - Accent2 8 3 3 3 2" xfId="38670" xr:uid="{00000000-0005-0000-0000-0000D0650000}"/>
    <cellStyle name="40% - Accent2 8 3 3 4" xfId="27369" xr:uid="{00000000-0005-0000-0000-0000D1650000}"/>
    <cellStyle name="40% - Accent2 8 3 4" xfId="6954" xr:uid="{00000000-0005-0000-0000-0000D2650000}"/>
    <cellStyle name="40% - Accent2 8 3 4 2" xfId="18255" xr:uid="{00000000-0005-0000-0000-0000D3650000}"/>
    <cellStyle name="40% - Accent2 8 3 4 2 2" xfId="40857" xr:uid="{00000000-0005-0000-0000-0000D4650000}"/>
    <cellStyle name="40% - Accent2 8 3 4 3" xfId="29556" xr:uid="{00000000-0005-0000-0000-0000D5650000}"/>
    <cellStyle name="40% - Accent2 8 3 5" xfId="12605" xr:uid="{00000000-0005-0000-0000-0000D6650000}"/>
    <cellStyle name="40% - Accent2 8 3 5 2" xfId="35207" xr:uid="{00000000-0005-0000-0000-0000D7650000}"/>
    <cellStyle name="40% - Accent2 8 3 6" xfId="23906" xr:uid="{00000000-0005-0000-0000-0000D8650000}"/>
    <cellStyle name="40% - Accent2 8 4" xfId="1897" xr:uid="{00000000-0005-0000-0000-0000D9650000}"/>
    <cellStyle name="40% - Accent2 8 4 2" xfId="3749" xr:uid="{00000000-0005-0000-0000-0000DA650000}"/>
    <cellStyle name="40% - Accent2 8 4 2 2" xfId="9459" xr:uid="{00000000-0005-0000-0000-0000DB650000}"/>
    <cellStyle name="40% - Accent2 8 4 2 2 2" xfId="20760" xr:uid="{00000000-0005-0000-0000-0000DC650000}"/>
    <cellStyle name="40% - Accent2 8 4 2 2 2 2" xfId="43362" xr:uid="{00000000-0005-0000-0000-0000DD650000}"/>
    <cellStyle name="40% - Accent2 8 4 2 2 3" xfId="32061" xr:uid="{00000000-0005-0000-0000-0000DE650000}"/>
    <cellStyle name="40% - Accent2 8 4 2 3" xfId="15110" xr:uid="{00000000-0005-0000-0000-0000DF650000}"/>
    <cellStyle name="40% - Accent2 8 4 2 3 2" xfId="37712" xr:uid="{00000000-0005-0000-0000-0000E0650000}"/>
    <cellStyle name="40% - Accent2 8 4 2 4" xfId="26411" xr:uid="{00000000-0005-0000-0000-0000E1650000}"/>
    <cellStyle name="40% - Accent2 8 4 3" xfId="5377" xr:uid="{00000000-0005-0000-0000-0000E2650000}"/>
    <cellStyle name="40% - Accent2 8 4 3 2" xfId="11027" xr:uid="{00000000-0005-0000-0000-0000E3650000}"/>
    <cellStyle name="40% - Accent2 8 4 3 2 2" xfId="22328" xr:uid="{00000000-0005-0000-0000-0000E4650000}"/>
    <cellStyle name="40% - Accent2 8 4 3 2 2 2" xfId="44930" xr:uid="{00000000-0005-0000-0000-0000E5650000}"/>
    <cellStyle name="40% - Accent2 8 4 3 2 3" xfId="33629" xr:uid="{00000000-0005-0000-0000-0000E6650000}"/>
    <cellStyle name="40% - Accent2 8 4 3 3" xfId="16678" xr:uid="{00000000-0005-0000-0000-0000E7650000}"/>
    <cellStyle name="40% - Accent2 8 4 3 3 2" xfId="39280" xr:uid="{00000000-0005-0000-0000-0000E8650000}"/>
    <cellStyle name="40% - Accent2 8 4 3 4" xfId="27979" xr:uid="{00000000-0005-0000-0000-0000E9650000}"/>
    <cellStyle name="40% - Accent2 8 4 4" xfId="7753" xr:uid="{00000000-0005-0000-0000-0000EA650000}"/>
    <cellStyle name="40% - Accent2 8 4 4 2" xfId="19054" xr:uid="{00000000-0005-0000-0000-0000EB650000}"/>
    <cellStyle name="40% - Accent2 8 4 4 2 2" xfId="41656" xr:uid="{00000000-0005-0000-0000-0000EC650000}"/>
    <cellStyle name="40% - Accent2 8 4 4 3" xfId="30355" xr:uid="{00000000-0005-0000-0000-0000ED650000}"/>
    <cellStyle name="40% - Accent2 8 4 5" xfId="13404" xr:uid="{00000000-0005-0000-0000-0000EE650000}"/>
    <cellStyle name="40% - Accent2 8 4 5 2" xfId="36006" xr:uid="{00000000-0005-0000-0000-0000EF650000}"/>
    <cellStyle name="40% - Accent2 8 4 6" xfId="24705" xr:uid="{00000000-0005-0000-0000-0000F0650000}"/>
    <cellStyle name="40% - Accent2 8 5" xfId="2358" xr:uid="{00000000-0005-0000-0000-0000F1650000}"/>
    <cellStyle name="40% - Accent2 8 5 2" xfId="8194" xr:uid="{00000000-0005-0000-0000-0000F2650000}"/>
    <cellStyle name="40% - Accent2 8 5 2 2" xfId="19495" xr:uid="{00000000-0005-0000-0000-0000F3650000}"/>
    <cellStyle name="40% - Accent2 8 5 2 2 2" xfId="42097" xr:uid="{00000000-0005-0000-0000-0000F4650000}"/>
    <cellStyle name="40% - Accent2 8 5 2 3" xfId="30796" xr:uid="{00000000-0005-0000-0000-0000F5650000}"/>
    <cellStyle name="40% - Accent2 8 5 3" xfId="13845" xr:uid="{00000000-0005-0000-0000-0000F6650000}"/>
    <cellStyle name="40% - Accent2 8 5 3 2" xfId="36447" xr:uid="{00000000-0005-0000-0000-0000F7650000}"/>
    <cellStyle name="40% - Accent2 8 5 4" xfId="25146" xr:uid="{00000000-0005-0000-0000-0000F8650000}"/>
    <cellStyle name="40% - Accent2 8 6" xfId="4143" xr:uid="{00000000-0005-0000-0000-0000F9650000}"/>
    <cellStyle name="40% - Accent2 8 6 2" xfId="9793" xr:uid="{00000000-0005-0000-0000-0000FA650000}"/>
    <cellStyle name="40% - Accent2 8 6 2 2" xfId="21094" xr:uid="{00000000-0005-0000-0000-0000FB650000}"/>
    <cellStyle name="40% - Accent2 8 6 2 2 2" xfId="43696" xr:uid="{00000000-0005-0000-0000-0000FC650000}"/>
    <cellStyle name="40% - Accent2 8 6 2 3" xfId="32395" xr:uid="{00000000-0005-0000-0000-0000FD650000}"/>
    <cellStyle name="40% - Accent2 8 6 3" xfId="15444" xr:uid="{00000000-0005-0000-0000-0000FE650000}"/>
    <cellStyle name="40% - Accent2 8 6 3 2" xfId="38046" xr:uid="{00000000-0005-0000-0000-0000FF650000}"/>
    <cellStyle name="40% - Accent2 8 6 4" xfId="26745" xr:uid="{00000000-0005-0000-0000-000000660000}"/>
    <cellStyle name="40% - Accent2 8 7" xfId="6594" xr:uid="{00000000-0005-0000-0000-000001660000}"/>
    <cellStyle name="40% - Accent2 8 7 2" xfId="17895" xr:uid="{00000000-0005-0000-0000-000002660000}"/>
    <cellStyle name="40% - Accent2 8 7 2 2" xfId="40497" xr:uid="{00000000-0005-0000-0000-000003660000}"/>
    <cellStyle name="40% - Accent2 8 7 3" xfId="29196" xr:uid="{00000000-0005-0000-0000-000004660000}"/>
    <cellStyle name="40% - Accent2 8 8" xfId="12245" xr:uid="{00000000-0005-0000-0000-000005660000}"/>
    <cellStyle name="40% - Accent2 8 8 2" xfId="34847" xr:uid="{00000000-0005-0000-0000-000006660000}"/>
    <cellStyle name="40% - Accent2 8 9" xfId="23546" xr:uid="{00000000-0005-0000-0000-000007660000}"/>
    <cellStyle name="40% - Accent2 9" xfId="699" xr:uid="{00000000-0005-0000-0000-000008660000}"/>
    <cellStyle name="40% - Accent2 9 2" xfId="756" xr:uid="{00000000-0005-0000-0000-000009660000}"/>
    <cellStyle name="40% - Accent2 9 2 2" xfId="3169" xr:uid="{00000000-0005-0000-0000-00000A660000}"/>
    <cellStyle name="40% - Accent2 9 2 2 2" xfId="6141" xr:uid="{00000000-0005-0000-0000-00000B660000}"/>
    <cellStyle name="40% - Accent2 9 2 2 2 2" xfId="11791" xr:uid="{00000000-0005-0000-0000-00000C660000}"/>
    <cellStyle name="40% - Accent2 9 2 2 2 2 2" xfId="23092" xr:uid="{00000000-0005-0000-0000-00000D660000}"/>
    <cellStyle name="40% - Accent2 9 2 2 2 2 2 2" xfId="45694" xr:uid="{00000000-0005-0000-0000-00000E660000}"/>
    <cellStyle name="40% - Accent2 9 2 2 2 2 3" xfId="34393" xr:uid="{00000000-0005-0000-0000-00000F660000}"/>
    <cellStyle name="40% - Accent2 9 2 2 2 3" xfId="17442" xr:uid="{00000000-0005-0000-0000-000010660000}"/>
    <cellStyle name="40% - Accent2 9 2 2 2 3 2" xfId="40044" xr:uid="{00000000-0005-0000-0000-000011660000}"/>
    <cellStyle name="40% - Accent2 9 2 2 2 4" xfId="28743" xr:uid="{00000000-0005-0000-0000-000012660000}"/>
    <cellStyle name="40% - Accent2 9 2 2 3" xfId="8959" xr:uid="{00000000-0005-0000-0000-000013660000}"/>
    <cellStyle name="40% - Accent2 9 2 2 3 2" xfId="20260" xr:uid="{00000000-0005-0000-0000-000014660000}"/>
    <cellStyle name="40% - Accent2 9 2 2 3 2 2" xfId="42862" xr:uid="{00000000-0005-0000-0000-000015660000}"/>
    <cellStyle name="40% - Accent2 9 2 2 3 3" xfId="31561" xr:uid="{00000000-0005-0000-0000-000016660000}"/>
    <cellStyle name="40% - Accent2 9 2 2 4" xfId="14610" xr:uid="{00000000-0005-0000-0000-000017660000}"/>
    <cellStyle name="40% - Accent2 9 2 2 4 2" xfId="37212" xr:uid="{00000000-0005-0000-0000-000018660000}"/>
    <cellStyle name="40% - Accent2 9 2 2 5" xfId="25911" xr:uid="{00000000-0005-0000-0000-000019660000}"/>
    <cellStyle name="40% - Accent2 9 2 3" xfId="4907" xr:uid="{00000000-0005-0000-0000-00001A660000}"/>
    <cellStyle name="40% - Accent2 9 2 3 2" xfId="10557" xr:uid="{00000000-0005-0000-0000-00001B660000}"/>
    <cellStyle name="40% - Accent2 9 2 3 2 2" xfId="21858" xr:uid="{00000000-0005-0000-0000-00001C660000}"/>
    <cellStyle name="40% - Accent2 9 2 3 2 2 2" xfId="44460" xr:uid="{00000000-0005-0000-0000-00001D660000}"/>
    <cellStyle name="40% - Accent2 9 2 3 2 3" xfId="33159" xr:uid="{00000000-0005-0000-0000-00001E660000}"/>
    <cellStyle name="40% - Accent2 9 2 3 3" xfId="16208" xr:uid="{00000000-0005-0000-0000-00001F660000}"/>
    <cellStyle name="40% - Accent2 9 2 3 3 2" xfId="38810" xr:uid="{00000000-0005-0000-0000-000020660000}"/>
    <cellStyle name="40% - Accent2 9 2 3 4" xfId="27509" xr:uid="{00000000-0005-0000-0000-000021660000}"/>
    <cellStyle name="40% - Accent2 9 2 4" xfId="6783" xr:uid="{00000000-0005-0000-0000-000022660000}"/>
    <cellStyle name="40% - Accent2 9 2 4 2" xfId="18084" xr:uid="{00000000-0005-0000-0000-000023660000}"/>
    <cellStyle name="40% - Accent2 9 2 4 2 2" xfId="40686" xr:uid="{00000000-0005-0000-0000-000024660000}"/>
    <cellStyle name="40% - Accent2 9 2 4 3" xfId="29385" xr:uid="{00000000-0005-0000-0000-000025660000}"/>
    <cellStyle name="40% - Accent2 9 2 5" xfId="12434" xr:uid="{00000000-0005-0000-0000-000026660000}"/>
    <cellStyle name="40% - Accent2 9 2 5 2" xfId="35036" xr:uid="{00000000-0005-0000-0000-000027660000}"/>
    <cellStyle name="40% - Accent2 9 2 6" xfId="23735" xr:uid="{00000000-0005-0000-0000-000028660000}"/>
    <cellStyle name="40% - Accent2 9 3" xfId="1899" xr:uid="{00000000-0005-0000-0000-000029660000}"/>
    <cellStyle name="40% - Accent2 9 3 2" xfId="3750" xr:uid="{00000000-0005-0000-0000-00002A660000}"/>
    <cellStyle name="40% - Accent2 9 3 2 2" xfId="9460" xr:uid="{00000000-0005-0000-0000-00002B660000}"/>
    <cellStyle name="40% - Accent2 9 3 2 2 2" xfId="20761" xr:uid="{00000000-0005-0000-0000-00002C660000}"/>
    <cellStyle name="40% - Accent2 9 3 2 2 2 2" xfId="43363" xr:uid="{00000000-0005-0000-0000-00002D660000}"/>
    <cellStyle name="40% - Accent2 9 3 2 2 3" xfId="32062" xr:uid="{00000000-0005-0000-0000-00002E660000}"/>
    <cellStyle name="40% - Accent2 9 3 2 3" xfId="15111" xr:uid="{00000000-0005-0000-0000-00002F660000}"/>
    <cellStyle name="40% - Accent2 9 3 2 3 2" xfId="37713" xr:uid="{00000000-0005-0000-0000-000030660000}"/>
    <cellStyle name="40% - Accent2 9 3 2 4" xfId="26412" xr:uid="{00000000-0005-0000-0000-000031660000}"/>
    <cellStyle name="40% - Accent2 9 3 3" xfId="5517" xr:uid="{00000000-0005-0000-0000-000032660000}"/>
    <cellStyle name="40% - Accent2 9 3 3 2" xfId="11167" xr:uid="{00000000-0005-0000-0000-000033660000}"/>
    <cellStyle name="40% - Accent2 9 3 3 2 2" xfId="22468" xr:uid="{00000000-0005-0000-0000-000034660000}"/>
    <cellStyle name="40% - Accent2 9 3 3 2 2 2" xfId="45070" xr:uid="{00000000-0005-0000-0000-000035660000}"/>
    <cellStyle name="40% - Accent2 9 3 3 2 3" xfId="33769" xr:uid="{00000000-0005-0000-0000-000036660000}"/>
    <cellStyle name="40% - Accent2 9 3 3 3" xfId="16818" xr:uid="{00000000-0005-0000-0000-000037660000}"/>
    <cellStyle name="40% - Accent2 9 3 3 3 2" xfId="39420" xr:uid="{00000000-0005-0000-0000-000038660000}"/>
    <cellStyle name="40% - Accent2 9 3 3 4" xfId="28119" xr:uid="{00000000-0005-0000-0000-000039660000}"/>
    <cellStyle name="40% - Accent2 9 3 4" xfId="7755" xr:uid="{00000000-0005-0000-0000-00003A660000}"/>
    <cellStyle name="40% - Accent2 9 3 4 2" xfId="19056" xr:uid="{00000000-0005-0000-0000-00003B660000}"/>
    <cellStyle name="40% - Accent2 9 3 4 2 2" xfId="41658" xr:uid="{00000000-0005-0000-0000-00003C660000}"/>
    <cellStyle name="40% - Accent2 9 3 4 3" xfId="30357" xr:uid="{00000000-0005-0000-0000-00003D660000}"/>
    <cellStyle name="40% - Accent2 9 3 5" xfId="13406" xr:uid="{00000000-0005-0000-0000-00003E660000}"/>
    <cellStyle name="40% - Accent2 9 3 5 2" xfId="36008" xr:uid="{00000000-0005-0000-0000-00003F660000}"/>
    <cellStyle name="40% - Accent2 9 3 6" xfId="24707" xr:uid="{00000000-0005-0000-0000-000040660000}"/>
    <cellStyle name="40% - Accent2 9 4" xfId="2498" xr:uid="{00000000-0005-0000-0000-000041660000}"/>
    <cellStyle name="40% - Accent2 9 4 2" xfId="8334" xr:uid="{00000000-0005-0000-0000-000042660000}"/>
    <cellStyle name="40% - Accent2 9 4 2 2" xfId="19635" xr:uid="{00000000-0005-0000-0000-000043660000}"/>
    <cellStyle name="40% - Accent2 9 4 2 2 2" xfId="42237" xr:uid="{00000000-0005-0000-0000-000044660000}"/>
    <cellStyle name="40% - Accent2 9 4 2 3" xfId="30936" xr:uid="{00000000-0005-0000-0000-000045660000}"/>
    <cellStyle name="40% - Accent2 9 4 3" xfId="13985" xr:uid="{00000000-0005-0000-0000-000046660000}"/>
    <cellStyle name="40% - Accent2 9 4 3 2" xfId="36587" xr:uid="{00000000-0005-0000-0000-000047660000}"/>
    <cellStyle name="40% - Accent2 9 4 4" xfId="25286" xr:uid="{00000000-0005-0000-0000-000048660000}"/>
    <cellStyle name="40% - Accent2 9 5" xfId="4283" xr:uid="{00000000-0005-0000-0000-000049660000}"/>
    <cellStyle name="40% - Accent2 9 5 2" xfId="9933" xr:uid="{00000000-0005-0000-0000-00004A660000}"/>
    <cellStyle name="40% - Accent2 9 5 2 2" xfId="21234" xr:uid="{00000000-0005-0000-0000-00004B660000}"/>
    <cellStyle name="40% - Accent2 9 5 2 2 2" xfId="43836" xr:uid="{00000000-0005-0000-0000-00004C660000}"/>
    <cellStyle name="40% - Accent2 9 5 2 3" xfId="32535" xr:uid="{00000000-0005-0000-0000-00004D660000}"/>
    <cellStyle name="40% - Accent2 9 5 3" xfId="15584" xr:uid="{00000000-0005-0000-0000-00004E660000}"/>
    <cellStyle name="40% - Accent2 9 5 3 2" xfId="38186" xr:uid="{00000000-0005-0000-0000-00004F660000}"/>
    <cellStyle name="40% - Accent2 9 5 4" xfId="26885" xr:uid="{00000000-0005-0000-0000-000050660000}"/>
    <cellStyle name="40% - Accent2 9 6" xfId="6762" xr:uid="{00000000-0005-0000-0000-000051660000}"/>
    <cellStyle name="40% - Accent2 9 6 2" xfId="18063" xr:uid="{00000000-0005-0000-0000-000052660000}"/>
    <cellStyle name="40% - Accent2 9 6 2 2" xfId="40665" xr:uid="{00000000-0005-0000-0000-000053660000}"/>
    <cellStyle name="40% - Accent2 9 6 3" xfId="29364" xr:uid="{00000000-0005-0000-0000-000054660000}"/>
    <cellStyle name="40% - Accent2 9 7" xfId="12413" xr:uid="{00000000-0005-0000-0000-000055660000}"/>
    <cellStyle name="40% - Accent2 9 7 2" xfId="35015" xr:uid="{00000000-0005-0000-0000-000056660000}"/>
    <cellStyle name="40% - Accent2 9 8" xfId="23714" xr:uid="{00000000-0005-0000-0000-000057660000}"/>
    <cellStyle name="40% - Accent3" xfId="28" builtinId="39" customBuiltin="1"/>
    <cellStyle name="40% - Accent3 10" xfId="856" xr:uid="{00000000-0005-0000-0000-000059660000}"/>
    <cellStyle name="40% - Accent3 10 2" xfId="1900" xr:uid="{00000000-0005-0000-0000-00005A660000}"/>
    <cellStyle name="40% - Accent3 10 2 2" xfId="3164" xr:uid="{00000000-0005-0000-0000-00005B660000}"/>
    <cellStyle name="40% - Accent3 10 2 2 2" xfId="6136" xr:uid="{00000000-0005-0000-0000-00005C660000}"/>
    <cellStyle name="40% - Accent3 10 2 2 2 2" xfId="11786" xr:uid="{00000000-0005-0000-0000-00005D660000}"/>
    <cellStyle name="40% - Accent3 10 2 2 2 2 2" xfId="23087" xr:uid="{00000000-0005-0000-0000-00005E660000}"/>
    <cellStyle name="40% - Accent3 10 2 2 2 2 2 2" xfId="45689" xr:uid="{00000000-0005-0000-0000-00005F660000}"/>
    <cellStyle name="40% - Accent3 10 2 2 2 2 3" xfId="34388" xr:uid="{00000000-0005-0000-0000-000060660000}"/>
    <cellStyle name="40% - Accent3 10 2 2 2 3" xfId="17437" xr:uid="{00000000-0005-0000-0000-000061660000}"/>
    <cellStyle name="40% - Accent3 10 2 2 2 3 2" xfId="40039" xr:uid="{00000000-0005-0000-0000-000062660000}"/>
    <cellStyle name="40% - Accent3 10 2 2 2 4" xfId="28738" xr:uid="{00000000-0005-0000-0000-000063660000}"/>
    <cellStyle name="40% - Accent3 10 2 2 3" xfId="8954" xr:uid="{00000000-0005-0000-0000-000064660000}"/>
    <cellStyle name="40% - Accent3 10 2 2 3 2" xfId="20255" xr:uid="{00000000-0005-0000-0000-000065660000}"/>
    <cellStyle name="40% - Accent3 10 2 2 3 2 2" xfId="42857" xr:uid="{00000000-0005-0000-0000-000066660000}"/>
    <cellStyle name="40% - Accent3 10 2 2 3 3" xfId="31556" xr:uid="{00000000-0005-0000-0000-000067660000}"/>
    <cellStyle name="40% - Accent3 10 2 2 4" xfId="14605" xr:uid="{00000000-0005-0000-0000-000068660000}"/>
    <cellStyle name="40% - Accent3 10 2 2 4 2" xfId="37207" xr:uid="{00000000-0005-0000-0000-000069660000}"/>
    <cellStyle name="40% - Accent3 10 2 2 5" xfId="25906" xr:uid="{00000000-0005-0000-0000-00006A660000}"/>
    <cellStyle name="40% - Accent3 10 2 3" xfId="4902" xr:uid="{00000000-0005-0000-0000-00006B660000}"/>
    <cellStyle name="40% - Accent3 10 2 3 2" xfId="10552" xr:uid="{00000000-0005-0000-0000-00006C660000}"/>
    <cellStyle name="40% - Accent3 10 2 3 2 2" xfId="21853" xr:uid="{00000000-0005-0000-0000-00006D660000}"/>
    <cellStyle name="40% - Accent3 10 2 3 2 2 2" xfId="44455" xr:uid="{00000000-0005-0000-0000-00006E660000}"/>
    <cellStyle name="40% - Accent3 10 2 3 2 3" xfId="33154" xr:uid="{00000000-0005-0000-0000-00006F660000}"/>
    <cellStyle name="40% - Accent3 10 2 3 3" xfId="16203" xr:uid="{00000000-0005-0000-0000-000070660000}"/>
    <cellStyle name="40% - Accent3 10 2 3 3 2" xfId="38805" xr:uid="{00000000-0005-0000-0000-000071660000}"/>
    <cellStyle name="40% - Accent3 10 2 3 4" xfId="27504" xr:uid="{00000000-0005-0000-0000-000072660000}"/>
    <cellStyle name="40% - Accent3 10 2 4" xfId="7756" xr:uid="{00000000-0005-0000-0000-000073660000}"/>
    <cellStyle name="40% - Accent3 10 2 4 2" xfId="19057" xr:uid="{00000000-0005-0000-0000-000074660000}"/>
    <cellStyle name="40% - Accent3 10 2 4 2 2" xfId="41659" xr:uid="{00000000-0005-0000-0000-000075660000}"/>
    <cellStyle name="40% - Accent3 10 2 4 3" xfId="30358" xr:uid="{00000000-0005-0000-0000-000076660000}"/>
    <cellStyle name="40% - Accent3 10 2 5" xfId="13407" xr:uid="{00000000-0005-0000-0000-000077660000}"/>
    <cellStyle name="40% - Accent3 10 2 5 2" xfId="36009" xr:uid="{00000000-0005-0000-0000-000078660000}"/>
    <cellStyle name="40% - Accent3 10 2 6" xfId="24708" xr:uid="{00000000-0005-0000-0000-000079660000}"/>
    <cellStyle name="40% - Accent3 10 3" xfId="2493" xr:uid="{00000000-0005-0000-0000-00007A660000}"/>
    <cellStyle name="40% - Accent3 10 3 2" xfId="5512" xr:uid="{00000000-0005-0000-0000-00007B660000}"/>
    <cellStyle name="40% - Accent3 10 3 2 2" xfId="11162" xr:uid="{00000000-0005-0000-0000-00007C660000}"/>
    <cellStyle name="40% - Accent3 10 3 2 2 2" xfId="22463" xr:uid="{00000000-0005-0000-0000-00007D660000}"/>
    <cellStyle name="40% - Accent3 10 3 2 2 2 2" xfId="45065" xr:uid="{00000000-0005-0000-0000-00007E660000}"/>
    <cellStyle name="40% - Accent3 10 3 2 2 3" xfId="33764" xr:uid="{00000000-0005-0000-0000-00007F660000}"/>
    <cellStyle name="40% - Accent3 10 3 2 3" xfId="16813" xr:uid="{00000000-0005-0000-0000-000080660000}"/>
    <cellStyle name="40% - Accent3 10 3 2 3 2" xfId="39415" xr:uid="{00000000-0005-0000-0000-000081660000}"/>
    <cellStyle name="40% - Accent3 10 3 2 4" xfId="28114" xr:uid="{00000000-0005-0000-0000-000082660000}"/>
    <cellStyle name="40% - Accent3 10 3 3" xfId="8329" xr:uid="{00000000-0005-0000-0000-000083660000}"/>
    <cellStyle name="40% - Accent3 10 3 3 2" xfId="19630" xr:uid="{00000000-0005-0000-0000-000084660000}"/>
    <cellStyle name="40% - Accent3 10 3 3 2 2" xfId="42232" xr:uid="{00000000-0005-0000-0000-000085660000}"/>
    <cellStyle name="40% - Accent3 10 3 3 3" xfId="30931" xr:uid="{00000000-0005-0000-0000-000086660000}"/>
    <cellStyle name="40% - Accent3 10 3 4" xfId="13980" xr:uid="{00000000-0005-0000-0000-000087660000}"/>
    <cellStyle name="40% - Accent3 10 3 4 2" xfId="36582" xr:uid="{00000000-0005-0000-0000-000088660000}"/>
    <cellStyle name="40% - Accent3 10 3 5" xfId="25281" xr:uid="{00000000-0005-0000-0000-000089660000}"/>
    <cellStyle name="40% - Accent3 10 4" xfId="4278" xr:uid="{00000000-0005-0000-0000-00008A660000}"/>
    <cellStyle name="40% - Accent3 10 4 2" xfId="9928" xr:uid="{00000000-0005-0000-0000-00008B660000}"/>
    <cellStyle name="40% - Accent3 10 4 2 2" xfId="21229" xr:uid="{00000000-0005-0000-0000-00008C660000}"/>
    <cellStyle name="40% - Accent3 10 4 2 2 2" xfId="43831" xr:uid="{00000000-0005-0000-0000-00008D660000}"/>
    <cellStyle name="40% - Accent3 10 4 2 3" xfId="32530" xr:uid="{00000000-0005-0000-0000-00008E660000}"/>
    <cellStyle name="40% - Accent3 10 4 3" xfId="15579" xr:uid="{00000000-0005-0000-0000-00008F660000}"/>
    <cellStyle name="40% - Accent3 10 4 3 2" xfId="38181" xr:uid="{00000000-0005-0000-0000-000090660000}"/>
    <cellStyle name="40% - Accent3 10 4 4" xfId="26880" xr:uid="{00000000-0005-0000-0000-000091660000}"/>
    <cellStyle name="40% - Accent3 10 5" xfId="6856" xr:uid="{00000000-0005-0000-0000-000092660000}"/>
    <cellStyle name="40% - Accent3 10 5 2" xfId="18157" xr:uid="{00000000-0005-0000-0000-000093660000}"/>
    <cellStyle name="40% - Accent3 10 5 2 2" xfId="40759" xr:uid="{00000000-0005-0000-0000-000094660000}"/>
    <cellStyle name="40% - Accent3 10 5 3" xfId="29458" xr:uid="{00000000-0005-0000-0000-000095660000}"/>
    <cellStyle name="40% - Accent3 10 6" xfId="12507" xr:uid="{00000000-0005-0000-0000-000096660000}"/>
    <cellStyle name="40% - Accent3 10 6 2" xfId="35109" xr:uid="{00000000-0005-0000-0000-000097660000}"/>
    <cellStyle name="40% - Accent3 10 7" xfId="23808" xr:uid="{00000000-0005-0000-0000-000098660000}"/>
    <cellStyle name="40% - Accent3 11" xfId="731" xr:uid="{00000000-0005-0000-0000-000099660000}"/>
    <cellStyle name="40% - Accent3 11 2" xfId="1901" xr:uid="{00000000-0005-0000-0000-00009A660000}"/>
    <cellStyle name="40% - Accent3 11 2 2" xfId="3751" xr:uid="{00000000-0005-0000-0000-00009B660000}"/>
    <cellStyle name="40% - Accent3 11 2 2 2" xfId="9461" xr:uid="{00000000-0005-0000-0000-00009C660000}"/>
    <cellStyle name="40% - Accent3 11 2 2 2 2" xfId="20762" xr:uid="{00000000-0005-0000-0000-00009D660000}"/>
    <cellStyle name="40% - Accent3 11 2 2 2 2 2" xfId="43364" xr:uid="{00000000-0005-0000-0000-00009E660000}"/>
    <cellStyle name="40% - Accent3 11 2 2 2 3" xfId="32063" xr:uid="{00000000-0005-0000-0000-00009F660000}"/>
    <cellStyle name="40% - Accent3 11 2 2 3" xfId="15112" xr:uid="{00000000-0005-0000-0000-0000A0660000}"/>
    <cellStyle name="40% - Accent3 11 2 2 3 2" xfId="37714" xr:uid="{00000000-0005-0000-0000-0000A1660000}"/>
    <cellStyle name="40% - Accent3 11 2 2 4" xfId="26413" xr:uid="{00000000-0005-0000-0000-0000A2660000}"/>
    <cellStyle name="40% - Accent3 11 2 3" xfId="7757" xr:uid="{00000000-0005-0000-0000-0000A3660000}"/>
    <cellStyle name="40% - Accent3 11 2 3 2" xfId="19058" xr:uid="{00000000-0005-0000-0000-0000A4660000}"/>
    <cellStyle name="40% - Accent3 11 2 3 2 2" xfId="41660" xr:uid="{00000000-0005-0000-0000-0000A5660000}"/>
    <cellStyle name="40% - Accent3 11 2 3 3" xfId="30359" xr:uid="{00000000-0005-0000-0000-0000A6660000}"/>
    <cellStyle name="40% - Accent3 11 2 4" xfId="13408" xr:uid="{00000000-0005-0000-0000-0000A7660000}"/>
    <cellStyle name="40% - Accent3 11 2 4 2" xfId="36010" xr:uid="{00000000-0005-0000-0000-0000A8660000}"/>
    <cellStyle name="40% - Accent3 11 2 5" xfId="24709" xr:uid="{00000000-0005-0000-0000-0000A9660000}"/>
    <cellStyle name="40% - Accent3 11 3" xfId="2182" xr:uid="{00000000-0005-0000-0000-0000AA660000}"/>
    <cellStyle name="40% - Accent3 11 3 2" xfId="8026" xr:uid="{00000000-0005-0000-0000-0000AB660000}"/>
    <cellStyle name="40% - Accent3 11 3 2 2" xfId="19327" xr:uid="{00000000-0005-0000-0000-0000AC660000}"/>
    <cellStyle name="40% - Accent3 11 3 2 2 2" xfId="41929" xr:uid="{00000000-0005-0000-0000-0000AD660000}"/>
    <cellStyle name="40% - Accent3 11 3 2 3" xfId="30628" xr:uid="{00000000-0005-0000-0000-0000AE660000}"/>
    <cellStyle name="40% - Accent3 11 3 3" xfId="13677" xr:uid="{00000000-0005-0000-0000-0000AF660000}"/>
    <cellStyle name="40% - Accent3 11 3 3 2" xfId="36279" xr:uid="{00000000-0005-0000-0000-0000B0660000}"/>
    <cellStyle name="40% - Accent3 11 3 4" xfId="24978" xr:uid="{00000000-0005-0000-0000-0000B1660000}"/>
    <cellStyle name="40% - Accent3 11 4" xfId="3978" xr:uid="{00000000-0005-0000-0000-0000B2660000}"/>
    <cellStyle name="40% - Accent3 11 4 2" xfId="9628" xr:uid="{00000000-0005-0000-0000-0000B3660000}"/>
    <cellStyle name="40% - Accent3 11 4 2 2" xfId="20929" xr:uid="{00000000-0005-0000-0000-0000B4660000}"/>
    <cellStyle name="40% - Accent3 11 4 2 2 2" xfId="43531" xr:uid="{00000000-0005-0000-0000-0000B5660000}"/>
    <cellStyle name="40% - Accent3 11 4 2 3" xfId="32230" xr:uid="{00000000-0005-0000-0000-0000B6660000}"/>
    <cellStyle name="40% - Accent3 11 4 3" xfId="15279" xr:uid="{00000000-0005-0000-0000-0000B7660000}"/>
    <cellStyle name="40% - Accent3 11 4 3 2" xfId="37881" xr:uid="{00000000-0005-0000-0000-0000B8660000}"/>
    <cellStyle name="40% - Accent3 11 4 4" xfId="26580" xr:uid="{00000000-0005-0000-0000-0000B9660000}"/>
    <cellStyle name="40% - Accent3 11 5" xfId="6778" xr:uid="{00000000-0005-0000-0000-0000BA660000}"/>
    <cellStyle name="40% - Accent3 11 5 2" xfId="18079" xr:uid="{00000000-0005-0000-0000-0000BB660000}"/>
    <cellStyle name="40% - Accent3 11 5 2 2" xfId="40681" xr:uid="{00000000-0005-0000-0000-0000BC660000}"/>
    <cellStyle name="40% - Accent3 11 5 3" xfId="29380" xr:uid="{00000000-0005-0000-0000-0000BD660000}"/>
    <cellStyle name="40% - Accent3 11 6" xfId="12429" xr:uid="{00000000-0005-0000-0000-0000BE660000}"/>
    <cellStyle name="40% - Accent3 11 6 2" xfId="35031" xr:uid="{00000000-0005-0000-0000-0000BF660000}"/>
    <cellStyle name="40% - Accent3 11 7" xfId="23730" xr:uid="{00000000-0005-0000-0000-0000C0660000}"/>
    <cellStyle name="40% - Accent3 12" xfId="1522" xr:uid="{00000000-0005-0000-0000-0000C1660000}"/>
    <cellStyle name="40% - Accent3 12 2" xfId="3949" xr:uid="{00000000-0005-0000-0000-0000C2660000}"/>
    <cellStyle name="40% - Accent3 12 2 2" xfId="9618" xr:uid="{00000000-0005-0000-0000-0000C3660000}"/>
    <cellStyle name="40% - Accent3 12 2 2 2" xfId="20919" xr:uid="{00000000-0005-0000-0000-0000C4660000}"/>
    <cellStyle name="40% - Accent3 12 2 2 2 2" xfId="43521" xr:uid="{00000000-0005-0000-0000-0000C5660000}"/>
    <cellStyle name="40% - Accent3 12 2 2 3" xfId="32220" xr:uid="{00000000-0005-0000-0000-0000C6660000}"/>
    <cellStyle name="40% - Accent3 12 2 3" xfId="15269" xr:uid="{00000000-0005-0000-0000-0000C7660000}"/>
    <cellStyle name="40% - Accent3 12 2 3 2" xfId="37871" xr:uid="{00000000-0005-0000-0000-0000C8660000}"/>
    <cellStyle name="40% - Accent3 12 2 4" xfId="26570" xr:uid="{00000000-0005-0000-0000-0000C9660000}"/>
    <cellStyle name="40% - Accent3 13" xfId="2256" xr:uid="{00000000-0005-0000-0000-0000CA660000}"/>
    <cellStyle name="40% - Accent3 14" xfId="114" xr:uid="{00000000-0005-0000-0000-0000CB660000}"/>
    <cellStyle name="40% - Accent3 2" xfId="53" xr:uid="{00000000-0005-0000-0000-0000CC660000}"/>
    <cellStyle name="40% - Accent3 2 2" xfId="373" xr:uid="{00000000-0005-0000-0000-0000CD660000}"/>
    <cellStyle name="40% - Accent3 2 2 10" xfId="23480" xr:uid="{00000000-0005-0000-0000-0000CE660000}"/>
    <cellStyle name="40% - Accent3 2 2 2" xfId="630" xr:uid="{00000000-0005-0000-0000-0000CF660000}"/>
    <cellStyle name="40% - Accent3 2 2 2 2" xfId="1340" xr:uid="{00000000-0005-0000-0000-0000D0660000}"/>
    <cellStyle name="40% - Accent3 2 2 2 2 2" xfId="1904" xr:uid="{00000000-0005-0000-0000-0000D1660000}"/>
    <cellStyle name="40% - Accent3 2 2 2 2 2 2" xfId="3409" xr:uid="{00000000-0005-0000-0000-0000D2660000}"/>
    <cellStyle name="40% - Accent3 2 2 2 2 2 2 2" xfId="6381" xr:uid="{00000000-0005-0000-0000-0000D3660000}"/>
    <cellStyle name="40% - Accent3 2 2 2 2 2 2 2 2" xfId="12031" xr:uid="{00000000-0005-0000-0000-0000D4660000}"/>
    <cellStyle name="40% - Accent3 2 2 2 2 2 2 2 2 2" xfId="23332" xr:uid="{00000000-0005-0000-0000-0000D5660000}"/>
    <cellStyle name="40% - Accent3 2 2 2 2 2 2 2 2 2 2" xfId="45934" xr:uid="{00000000-0005-0000-0000-0000D6660000}"/>
    <cellStyle name="40% - Accent3 2 2 2 2 2 2 2 2 3" xfId="34633" xr:uid="{00000000-0005-0000-0000-0000D7660000}"/>
    <cellStyle name="40% - Accent3 2 2 2 2 2 2 2 3" xfId="17682" xr:uid="{00000000-0005-0000-0000-0000D8660000}"/>
    <cellStyle name="40% - Accent3 2 2 2 2 2 2 2 3 2" xfId="40284" xr:uid="{00000000-0005-0000-0000-0000D9660000}"/>
    <cellStyle name="40% - Accent3 2 2 2 2 2 2 2 4" xfId="28983" xr:uid="{00000000-0005-0000-0000-0000DA660000}"/>
    <cellStyle name="40% - Accent3 2 2 2 2 2 2 3" xfId="9199" xr:uid="{00000000-0005-0000-0000-0000DB660000}"/>
    <cellStyle name="40% - Accent3 2 2 2 2 2 2 3 2" xfId="20500" xr:uid="{00000000-0005-0000-0000-0000DC660000}"/>
    <cellStyle name="40% - Accent3 2 2 2 2 2 2 3 2 2" xfId="43102" xr:uid="{00000000-0005-0000-0000-0000DD660000}"/>
    <cellStyle name="40% - Accent3 2 2 2 2 2 2 3 3" xfId="31801" xr:uid="{00000000-0005-0000-0000-0000DE660000}"/>
    <cellStyle name="40% - Accent3 2 2 2 2 2 2 4" xfId="14850" xr:uid="{00000000-0005-0000-0000-0000DF660000}"/>
    <cellStyle name="40% - Accent3 2 2 2 2 2 2 4 2" xfId="37452" xr:uid="{00000000-0005-0000-0000-0000E0660000}"/>
    <cellStyle name="40% - Accent3 2 2 2 2 2 2 5" xfId="26151" xr:uid="{00000000-0005-0000-0000-0000E1660000}"/>
    <cellStyle name="40% - Accent3 2 2 2 2 2 3" xfId="5147" xr:uid="{00000000-0005-0000-0000-0000E2660000}"/>
    <cellStyle name="40% - Accent3 2 2 2 2 2 3 2" xfId="10797" xr:uid="{00000000-0005-0000-0000-0000E3660000}"/>
    <cellStyle name="40% - Accent3 2 2 2 2 2 3 2 2" xfId="22098" xr:uid="{00000000-0005-0000-0000-0000E4660000}"/>
    <cellStyle name="40% - Accent3 2 2 2 2 2 3 2 2 2" xfId="44700" xr:uid="{00000000-0005-0000-0000-0000E5660000}"/>
    <cellStyle name="40% - Accent3 2 2 2 2 2 3 2 3" xfId="33399" xr:uid="{00000000-0005-0000-0000-0000E6660000}"/>
    <cellStyle name="40% - Accent3 2 2 2 2 2 3 3" xfId="16448" xr:uid="{00000000-0005-0000-0000-0000E7660000}"/>
    <cellStyle name="40% - Accent3 2 2 2 2 2 3 3 2" xfId="39050" xr:uid="{00000000-0005-0000-0000-0000E8660000}"/>
    <cellStyle name="40% - Accent3 2 2 2 2 2 3 4" xfId="27749" xr:uid="{00000000-0005-0000-0000-0000E9660000}"/>
    <cellStyle name="40% - Accent3 2 2 2 2 2 4" xfId="7760" xr:uid="{00000000-0005-0000-0000-0000EA660000}"/>
    <cellStyle name="40% - Accent3 2 2 2 2 2 4 2" xfId="19061" xr:uid="{00000000-0005-0000-0000-0000EB660000}"/>
    <cellStyle name="40% - Accent3 2 2 2 2 2 4 2 2" xfId="41663" xr:uid="{00000000-0005-0000-0000-0000EC660000}"/>
    <cellStyle name="40% - Accent3 2 2 2 2 2 4 3" xfId="30362" xr:uid="{00000000-0005-0000-0000-0000ED660000}"/>
    <cellStyle name="40% - Accent3 2 2 2 2 2 5" xfId="13411" xr:uid="{00000000-0005-0000-0000-0000EE660000}"/>
    <cellStyle name="40% - Accent3 2 2 2 2 2 5 2" xfId="36013" xr:uid="{00000000-0005-0000-0000-0000EF660000}"/>
    <cellStyle name="40% - Accent3 2 2 2 2 2 6" xfId="24712" xr:uid="{00000000-0005-0000-0000-0000F0660000}"/>
    <cellStyle name="40% - Accent3 2 2 2 2 3" xfId="2738" xr:uid="{00000000-0005-0000-0000-0000F1660000}"/>
    <cellStyle name="40% - Accent3 2 2 2 2 3 2" xfId="5757" xr:uid="{00000000-0005-0000-0000-0000F2660000}"/>
    <cellStyle name="40% - Accent3 2 2 2 2 3 2 2" xfId="11407" xr:uid="{00000000-0005-0000-0000-0000F3660000}"/>
    <cellStyle name="40% - Accent3 2 2 2 2 3 2 2 2" xfId="22708" xr:uid="{00000000-0005-0000-0000-0000F4660000}"/>
    <cellStyle name="40% - Accent3 2 2 2 2 3 2 2 2 2" xfId="45310" xr:uid="{00000000-0005-0000-0000-0000F5660000}"/>
    <cellStyle name="40% - Accent3 2 2 2 2 3 2 2 3" xfId="34009" xr:uid="{00000000-0005-0000-0000-0000F6660000}"/>
    <cellStyle name="40% - Accent3 2 2 2 2 3 2 3" xfId="17058" xr:uid="{00000000-0005-0000-0000-0000F7660000}"/>
    <cellStyle name="40% - Accent3 2 2 2 2 3 2 3 2" xfId="39660" xr:uid="{00000000-0005-0000-0000-0000F8660000}"/>
    <cellStyle name="40% - Accent3 2 2 2 2 3 2 4" xfId="28359" xr:uid="{00000000-0005-0000-0000-0000F9660000}"/>
    <cellStyle name="40% - Accent3 2 2 2 2 3 3" xfId="8574" xr:uid="{00000000-0005-0000-0000-0000FA660000}"/>
    <cellStyle name="40% - Accent3 2 2 2 2 3 3 2" xfId="19875" xr:uid="{00000000-0005-0000-0000-0000FB660000}"/>
    <cellStyle name="40% - Accent3 2 2 2 2 3 3 2 2" xfId="42477" xr:uid="{00000000-0005-0000-0000-0000FC660000}"/>
    <cellStyle name="40% - Accent3 2 2 2 2 3 3 3" xfId="31176" xr:uid="{00000000-0005-0000-0000-0000FD660000}"/>
    <cellStyle name="40% - Accent3 2 2 2 2 3 4" xfId="14225" xr:uid="{00000000-0005-0000-0000-0000FE660000}"/>
    <cellStyle name="40% - Accent3 2 2 2 2 3 4 2" xfId="36827" xr:uid="{00000000-0005-0000-0000-0000FF660000}"/>
    <cellStyle name="40% - Accent3 2 2 2 2 3 5" xfId="25526" xr:uid="{00000000-0005-0000-0000-000000670000}"/>
    <cellStyle name="40% - Accent3 2 2 2 2 4" xfId="4523" xr:uid="{00000000-0005-0000-0000-000001670000}"/>
    <cellStyle name="40% - Accent3 2 2 2 2 4 2" xfId="10173" xr:uid="{00000000-0005-0000-0000-000002670000}"/>
    <cellStyle name="40% - Accent3 2 2 2 2 4 2 2" xfId="21474" xr:uid="{00000000-0005-0000-0000-000003670000}"/>
    <cellStyle name="40% - Accent3 2 2 2 2 4 2 2 2" xfId="44076" xr:uid="{00000000-0005-0000-0000-000004670000}"/>
    <cellStyle name="40% - Accent3 2 2 2 2 4 2 3" xfId="32775" xr:uid="{00000000-0005-0000-0000-000005670000}"/>
    <cellStyle name="40% - Accent3 2 2 2 2 4 3" xfId="15824" xr:uid="{00000000-0005-0000-0000-000006670000}"/>
    <cellStyle name="40% - Accent3 2 2 2 2 4 3 2" xfId="38426" xr:uid="{00000000-0005-0000-0000-000007670000}"/>
    <cellStyle name="40% - Accent3 2 2 2 2 4 4" xfId="27125" xr:uid="{00000000-0005-0000-0000-000008670000}"/>
    <cellStyle name="40% - Accent3 2 2 2 2 5" xfId="7319" xr:uid="{00000000-0005-0000-0000-000009670000}"/>
    <cellStyle name="40% - Accent3 2 2 2 2 5 2" xfId="18620" xr:uid="{00000000-0005-0000-0000-00000A670000}"/>
    <cellStyle name="40% - Accent3 2 2 2 2 5 2 2" xfId="41222" xr:uid="{00000000-0005-0000-0000-00000B670000}"/>
    <cellStyle name="40% - Accent3 2 2 2 2 5 3" xfId="29921" xr:uid="{00000000-0005-0000-0000-00000C670000}"/>
    <cellStyle name="40% - Accent3 2 2 2 2 6" xfId="12970" xr:uid="{00000000-0005-0000-0000-00000D670000}"/>
    <cellStyle name="40% - Accent3 2 2 2 2 6 2" xfId="35572" xr:uid="{00000000-0005-0000-0000-00000E670000}"/>
    <cellStyle name="40% - Accent3 2 2 2 2 7" xfId="24271" xr:uid="{00000000-0005-0000-0000-00000F670000}"/>
    <cellStyle name="40% - Accent3 2 2 2 3" xfId="1038" xr:uid="{00000000-0005-0000-0000-000010670000}"/>
    <cellStyle name="40% - Accent3 2 2 2 3 2" xfId="3101" xr:uid="{00000000-0005-0000-0000-000011670000}"/>
    <cellStyle name="40% - Accent3 2 2 2 3 2 2" xfId="6073" xr:uid="{00000000-0005-0000-0000-000012670000}"/>
    <cellStyle name="40% - Accent3 2 2 2 3 2 2 2" xfId="11723" xr:uid="{00000000-0005-0000-0000-000013670000}"/>
    <cellStyle name="40% - Accent3 2 2 2 3 2 2 2 2" xfId="23024" xr:uid="{00000000-0005-0000-0000-000014670000}"/>
    <cellStyle name="40% - Accent3 2 2 2 3 2 2 2 2 2" xfId="45626" xr:uid="{00000000-0005-0000-0000-000015670000}"/>
    <cellStyle name="40% - Accent3 2 2 2 3 2 2 2 3" xfId="34325" xr:uid="{00000000-0005-0000-0000-000016670000}"/>
    <cellStyle name="40% - Accent3 2 2 2 3 2 2 3" xfId="17374" xr:uid="{00000000-0005-0000-0000-000017670000}"/>
    <cellStyle name="40% - Accent3 2 2 2 3 2 2 3 2" xfId="39976" xr:uid="{00000000-0005-0000-0000-000018670000}"/>
    <cellStyle name="40% - Accent3 2 2 2 3 2 2 4" xfId="28675" xr:uid="{00000000-0005-0000-0000-000019670000}"/>
    <cellStyle name="40% - Accent3 2 2 2 3 2 3" xfId="8891" xr:uid="{00000000-0005-0000-0000-00001A670000}"/>
    <cellStyle name="40% - Accent3 2 2 2 3 2 3 2" xfId="20192" xr:uid="{00000000-0005-0000-0000-00001B670000}"/>
    <cellStyle name="40% - Accent3 2 2 2 3 2 3 2 2" xfId="42794" xr:uid="{00000000-0005-0000-0000-00001C670000}"/>
    <cellStyle name="40% - Accent3 2 2 2 3 2 3 3" xfId="31493" xr:uid="{00000000-0005-0000-0000-00001D670000}"/>
    <cellStyle name="40% - Accent3 2 2 2 3 2 4" xfId="14542" xr:uid="{00000000-0005-0000-0000-00001E670000}"/>
    <cellStyle name="40% - Accent3 2 2 2 3 2 4 2" xfId="37144" xr:uid="{00000000-0005-0000-0000-00001F670000}"/>
    <cellStyle name="40% - Accent3 2 2 2 3 2 5" xfId="25843" xr:uid="{00000000-0005-0000-0000-000020670000}"/>
    <cellStyle name="40% - Accent3 2 2 2 3 3" xfId="4839" xr:uid="{00000000-0005-0000-0000-000021670000}"/>
    <cellStyle name="40% - Accent3 2 2 2 3 3 2" xfId="10489" xr:uid="{00000000-0005-0000-0000-000022670000}"/>
    <cellStyle name="40% - Accent3 2 2 2 3 3 2 2" xfId="21790" xr:uid="{00000000-0005-0000-0000-000023670000}"/>
    <cellStyle name="40% - Accent3 2 2 2 3 3 2 2 2" xfId="44392" xr:uid="{00000000-0005-0000-0000-000024670000}"/>
    <cellStyle name="40% - Accent3 2 2 2 3 3 2 3" xfId="33091" xr:uid="{00000000-0005-0000-0000-000025670000}"/>
    <cellStyle name="40% - Accent3 2 2 2 3 3 3" xfId="16140" xr:uid="{00000000-0005-0000-0000-000026670000}"/>
    <cellStyle name="40% - Accent3 2 2 2 3 3 3 2" xfId="38742" xr:uid="{00000000-0005-0000-0000-000027670000}"/>
    <cellStyle name="40% - Accent3 2 2 2 3 3 4" xfId="27441" xr:uid="{00000000-0005-0000-0000-000028670000}"/>
    <cellStyle name="40% - Accent3 2 2 2 3 4" xfId="7026" xr:uid="{00000000-0005-0000-0000-000029670000}"/>
    <cellStyle name="40% - Accent3 2 2 2 3 4 2" xfId="18327" xr:uid="{00000000-0005-0000-0000-00002A670000}"/>
    <cellStyle name="40% - Accent3 2 2 2 3 4 2 2" xfId="40929" xr:uid="{00000000-0005-0000-0000-00002B670000}"/>
    <cellStyle name="40% - Accent3 2 2 2 3 4 3" xfId="29628" xr:uid="{00000000-0005-0000-0000-00002C670000}"/>
    <cellStyle name="40% - Accent3 2 2 2 3 5" xfId="12677" xr:uid="{00000000-0005-0000-0000-00002D670000}"/>
    <cellStyle name="40% - Accent3 2 2 2 3 5 2" xfId="35279" xr:uid="{00000000-0005-0000-0000-00002E670000}"/>
    <cellStyle name="40% - Accent3 2 2 2 3 6" xfId="23978" xr:uid="{00000000-0005-0000-0000-00002F670000}"/>
    <cellStyle name="40% - Accent3 2 2 2 4" xfId="1903" xr:uid="{00000000-0005-0000-0000-000030670000}"/>
    <cellStyle name="40% - Accent3 2 2 2 4 2" xfId="3753" xr:uid="{00000000-0005-0000-0000-000031670000}"/>
    <cellStyle name="40% - Accent3 2 2 2 4 2 2" xfId="9463" xr:uid="{00000000-0005-0000-0000-000032670000}"/>
    <cellStyle name="40% - Accent3 2 2 2 4 2 2 2" xfId="20764" xr:uid="{00000000-0005-0000-0000-000033670000}"/>
    <cellStyle name="40% - Accent3 2 2 2 4 2 2 2 2" xfId="43366" xr:uid="{00000000-0005-0000-0000-000034670000}"/>
    <cellStyle name="40% - Accent3 2 2 2 4 2 2 3" xfId="32065" xr:uid="{00000000-0005-0000-0000-000035670000}"/>
    <cellStyle name="40% - Accent3 2 2 2 4 2 3" xfId="15114" xr:uid="{00000000-0005-0000-0000-000036670000}"/>
    <cellStyle name="40% - Accent3 2 2 2 4 2 3 2" xfId="37716" xr:uid="{00000000-0005-0000-0000-000037670000}"/>
    <cellStyle name="40% - Accent3 2 2 2 4 2 4" xfId="26415" xr:uid="{00000000-0005-0000-0000-000038670000}"/>
    <cellStyle name="40% - Accent3 2 2 2 4 3" xfId="5449" xr:uid="{00000000-0005-0000-0000-000039670000}"/>
    <cellStyle name="40% - Accent3 2 2 2 4 3 2" xfId="11099" xr:uid="{00000000-0005-0000-0000-00003A670000}"/>
    <cellStyle name="40% - Accent3 2 2 2 4 3 2 2" xfId="22400" xr:uid="{00000000-0005-0000-0000-00003B670000}"/>
    <cellStyle name="40% - Accent3 2 2 2 4 3 2 2 2" xfId="45002" xr:uid="{00000000-0005-0000-0000-00003C670000}"/>
    <cellStyle name="40% - Accent3 2 2 2 4 3 2 3" xfId="33701" xr:uid="{00000000-0005-0000-0000-00003D670000}"/>
    <cellStyle name="40% - Accent3 2 2 2 4 3 3" xfId="16750" xr:uid="{00000000-0005-0000-0000-00003E670000}"/>
    <cellStyle name="40% - Accent3 2 2 2 4 3 3 2" xfId="39352" xr:uid="{00000000-0005-0000-0000-00003F670000}"/>
    <cellStyle name="40% - Accent3 2 2 2 4 3 4" xfId="28051" xr:uid="{00000000-0005-0000-0000-000040670000}"/>
    <cellStyle name="40% - Accent3 2 2 2 4 4" xfId="7759" xr:uid="{00000000-0005-0000-0000-000041670000}"/>
    <cellStyle name="40% - Accent3 2 2 2 4 4 2" xfId="19060" xr:uid="{00000000-0005-0000-0000-000042670000}"/>
    <cellStyle name="40% - Accent3 2 2 2 4 4 2 2" xfId="41662" xr:uid="{00000000-0005-0000-0000-000043670000}"/>
    <cellStyle name="40% - Accent3 2 2 2 4 4 3" xfId="30361" xr:uid="{00000000-0005-0000-0000-000044670000}"/>
    <cellStyle name="40% - Accent3 2 2 2 4 5" xfId="13410" xr:uid="{00000000-0005-0000-0000-000045670000}"/>
    <cellStyle name="40% - Accent3 2 2 2 4 5 2" xfId="36012" xr:uid="{00000000-0005-0000-0000-000046670000}"/>
    <cellStyle name="40% - Accent3 2 2 2 4 6" xfId="24711" xr:uid="{00000000-0005-0000-0000-000047670000}"/>
    <cellStyle name="40% - Accent3 2 2 2 5" xfId="2430" xr:uid="{00000000-0005-0000-0000-000048670000}"/>
    <cellStyle name="40% - Accent3 2 2 2 5 2" xfId="8266" xr:uid="{00000000-0005-0000-0000-000049670000}"/>
    <cellStyle name="40% - Accent3 2 2 2 5 2 2" xfId="19567" xr:uid="{00000000-0005-0000-0000-00004A670000}"/>
    <cellStyle name="40% - Accent3 2 2 2 5 2 2 2" xfId="42169" xr:uid="{00000000-0005-0000-0000-00004B670000}"/>
    <cellStyle name="40% - Accent3 2 2 2 5 2 3" xfId="30868" xr:uid="{00000000-0005-0000-0000-00004C670000}"/>
    <cellStyle name="40% - Accent3 2 2 2 5 3" xfId="13917" xr:uid="{00000000-0005-0000-0000-00004D670000}"/>
    <cellStyle name="40% - Accent3 2 2 2 5 3 2" xfId="36519" xr:uid="{00000000-0005-0000-0000-00004E670000}"/>
    <cellStyle name="40% - Accent3 2 2 2 5 4" xfId="25218" xr:uid="{00000000-0005-0000-0000-00004F670000}"/>
    <cellStyle name="40% - Accent3 2 2 2 6" xfId="4215" xr:uid="{00000000-0005-0000-0000-000050670000}"/>
    <cellStyle name="40% - Accent3 2 2 2 6 2" xfId="9865" xr:uid="{00000000-0005-0000-0000-000051670000}"/>
    <cellStyle name="40% - Accent3 2 2 2 6 2 2" xfId="21166" xr:uid="{00000000-0005-0000-0000-000052670000}"/>
    <cellStyle name="40% - Accent3 2 2 2 6 2 2 2" xfId="43768" xr:uid="{00000000-0005-0000-0000-000053670000}"/>
    <cellStyle name="40% - Accent3 2 2 2 6 2 3" xfId="32467" xr:uid="{00000000-0005-0000-0000-000054670000}"/>
    <cellStyle name="40% - Accent3 2 2 2 6 3" xfId="15516" xr:uid="{00000000-0005-0000-0000-000055670000}"/>
    <cellStyle name="40% - Accent3 2 2 2 6 3 2" xfId="38118" xr:uid="{00000000-0005-0000-0000-000056670000}"/>
    <cellStyle name="40% - Accent3 2 2 2 6 4" xfId="26817" xr:uid="{00000000-0005-0000-0000-000057670000}"/>
    <cellStyle name="40% - Accent3 2 2 2 7" xfId="6695" xr:uid="{00000000-0005-0000-0000-000058670000}"/>
    <cellStyle name="40% - Accent3 2 2 2 7 2" xfId="17996" xr:uid="{00000000-0005-0000-0000-000059670000}"/>
    <cellStyle name="40% - Accent3 2 2 2 7 2 2" xfId="40598" xr:uid="{00000000-0005-0000-0000-00005A670000}"/>
    <cellStyle name="40% - Accent3 2 2 2 7 3" xfId="29297" xr:uid="{00000000-0005-0000-0000-00005B670000}"/>
    <cellStyle name="40% - Accent3 2 2 2 8" xfId="12346" xr:uid="{00000000-0005-0000-0000-00005C670000}"/>
    <cellStyle name="40% - Accent3 2 2 2 8 2" xfId="34948" xr:uid="{00000000-0005-0000-0000-00005D670000}"/>
    <cellStyle name="40% - Accent3 2 2 2 9" xfId="23647" xr:uid="{00000000-0005-0000-0000-00005E670000}"/>
    <cellStyle name="40% - Accent3 2 2 3" xfId="1202" xr:uid="{00000000-0005-0000-0000-00005F670000}"/>
    <cellStyle name="40% - Accent3 2 2 3 2" xfId="1905" xr:uid="{00000000-0005-0000-0000-000060670000}"/>
    <cellStyle name="40% - Accent3 2 2 3 2 2" xfId="3270" xr:uid="{00000000-0005-0000-0000-000061670000}"/>
    <cellStyle name="40% - Accent3 2 2 3 2 2 2" xfId="6242" xr:uid="{00000000-0005-0000-0000-000062670000}"/>
    <cellStyle name="40% - Accent3 2 2 3 2 2 2 2" xfId="11892" xr:uid="{00000000-0005-0000-0000-000063670000}"/>
    <cellStyle name="40% - Accent3 2 2 3 2 2 2 2 2" xfId="23193" xr:uid="{00000000-0005-0000-0000-000064670000}"/>
    <cellStyle name="40% - Accent3 2 2 3 2 2 2 2 2 2" xfId="45795" xr:uid="{00000000-0005-0000-0000-000065670000}"/>
    <cellStyle name="40% - Accent3 2 2 3 2 2 2 2 3" xfId="34494" xr:uid="{00000000-0005-0000-0000-000066670000}"/>
    <cellStyle name="40% - Accent3 2 2 3 2 2 2 3" xfId="17543" xr:uid="{00000000-0005-0000-0000-000067670000}"/>
    <cellStyle name="40% - Accent3 2 2 3 2 2 2 3 2" xfId="40145" xr:uid="{00000000-0005-0000-0000-000068670000}"/>
    <cellStyle name="40% - Accent3 2 2 3 2 2 2 4" xfId="28844" xr:uid="{00000000-0005-0000-0000-000069670000}"/>
    <cellStyle name="40% - Accent3 2 2 3 2 2 3" xfId="9060" xr:uid="{00000000-0005-0000-0000-00006A670000}"/>
    <cellStyle name="40% - Accent3 2 2 3 2 2 3 2" xfId="20361" xr:uid="{00000000-0005-0000-0000-00006B670000}"/>
    <cellStyle name="40% - Accent3 2 2 3 2 2 3 2 2" xfId="42963" xr:uid="{00000000-0005-0000-0000-00006C670000}"/>
    <cellStyle name="40% - Accent3 2 2 3 2 2 3 3" xfId="31662" xr:uid="{00000000-0005-0000-0000-00006D670000}"/>
    <cellStyle name="40% - Accent3 2 2 3 2 2 4" xfId="14711" xr:uid="{00000000-0005-0000-0000-00006E670000}"/>
    <cellStyle name="40% - Accent3 2 2 3 2 2 4 2" xfId="37313" xr:uid="{00000000-0005-0000-0000-00006F670000}"/>
    <cellStyle name="40% - Accent3 2 2 3 2 2 5" xfId="26012" xr:uid="{00000000-0005-0000-0000-000070670000}"/>
    <cellStyle name="40% - Accent3 2 2 3 2 3" xfId="5008" xr:uid="{00000000-0005-0000-0000-000071670000}"/>
    <cellStyle name="40% - Accent3 2 2 3 2 3 2" xfId="10658" xr:uid="{00000000-0005-0000-0000-000072670000}"/>
    <cellStyle name="40% - Accent3 2 2 3 2 3 2 2" xfId="21959" xr:uid="{00000000-0005-0000-0000-000073670000}"/>
    <cellStyle name="40% - Accent3 2 2 3 2 3 2 2 2" xfId="44561" xr:uid="{00000000-0005-0000-0000-000074670000}"/>
    <cellStyle name="40% - Accent3 2 2 3 2 3 2 3" xfId="33260" xr:uid="{00000000-0005-0000-0000-000075670000}"/>
    <cellStyle name="40% - Accent3 2 2 3 2 3 3" xfId="16309" xr:uid="{00000000-0005-0000-0000-000076670000}"/>
    <cellStyle name="40% - Accent3 2 2 3 2 3 3 2" xfId="38911" xr:uid="{00000000-0005-0000-0000-000077670000}"/>
    <cellStyle name="40% - Accent3 2 2 3 2 3 4" xfId="27610" xr:uid="{00000000-0005-0000-0000-000078670000}"/>
    <cellStyle name="40% - Accent3 2 2 3 2 4" xfId="7761" xr:uid="{00000000-0005-0000-0000-000079670000}"/>
    <cellStyle name="40% - Accent3 2 2 3 2 4 2" xfId="19062" xr:uid="{00000000-0005-0000-0000-00007A670000}"/>
    <cellStyle name="40% - Accent3 2 2 3 2 4 2 2" xfId="41664" xr:uid="{00000000-0005-0000-0000-00007B670000}"/>
    <cellStyle name="40% - Accent3 2 2 3 2 4 3" xfId="30363" xr:uid="{00000000-0005-0000-0000-00007C670000}"/>
    <cellStyle name="40% - Accent3 2 2 3 2 5" xfId="13412" xr:uid="{00000000-0005-0000-0000-00007D670000}"/>
    <cellStyle name="40% - Accent3 2 2 3 2 5 2" xfId="36014" xr:uid="{00000000-0005-0000-0000-00007E670000}"/>
    <cellStyle name="40% - Accent3 2 2 3 2 6" xfId="24713" xr:uid="{00000000-0005-0000-0000-00007F670000}"/>
    <cellStyle name="40% - Accent3 2 2 3 3" xfId="2599" xr:uid="{00000000-0005-0000-0000-000080670000}"/>
    <cellStyle name="40% - Accent3 2 2 3 3 2" xfId="5618" xr:uid="{00000000-0005-0000-0000-000081670000}"/>
    <cellStyle name="40% - Accent3 2 2 3 3 2 2" xfId="11268" xr:uid="{00000000-0005-0000-0000-000082670000}"/>
    <cellStyle name="40% - Accent3 2 2 3 3 2 2 2" xfId="22569" xr:uid="{00000000-0005-0000-0000-000083670000}"/>
    <cellStyle name="40% - Accent3 2 2 3 3 2 2 2 2" xfId="45171" xr:uid="{00000000-0005-0000-0000-000084670000}"/>
    <cellStyle name="40% - Accent3 2 2 3 3 2 2 3" xfId="33870" xr:uid="{00000000-0005-0000-0000-000085670000}"/>
    <cellStyle name="40% - Accent3 2 2 3 3 2 3" xfId="16919" xr:uid="{00000000-0005-0000-0000-000086670000}"/>
    <cellStyle name="40% - Accent3 2 2 3 3 2 3 2" xfId="39521" xr:uid="{00000000-0005-0000-0000-000087670000}"/>
    <cellStyle name="40% - Accent3 2 2 3 3 2 4" xfId="28220" xr:uid="{00000000-0005-0000-0000-000088670000}"/>
    <cellStyle name="40% - Accent3 2 2 3 3 3" xfId="8435" xr:uid="{00000000-0005-0000-0000-000089670000}"/>
    <cellStyle name="40% - Accent3 2 2 3 3 3 2" xfId="19736" xr:uid="{00000000-0005-0000-0000-00008A670000}"/>
    <cellStyle name="40% - Accent3 2 2 3 3 3 2 2" xfId="42338" xr:uid="{00000000-0005-0000-0000-00008B670000}"/>
    <cellStyle name="40% - Accent3 2 2 3 3 3 3" xfId="31037" xr:uid="{00000000-0005-0000-0000-00008C670000}"/>
    <cellStyle name="40% - Accent3 2 2 3 3 4" xfId="14086" xr:uid="{00000000-0005-0000-0000-00008D670000}"/>
    <cellStyle name="40% - Accent3 2 2 3 3 4 2" xfId="36688" xr:uid="{00000000-0005-0000-0000-00008E670000}"/>
    <cellStyle name="40% - Accent3 2 2 3 3 5" xfId="25387" xr:uid="{00000000-0005-0000-0000-00008F670000}"/>
    <cellStyle name="40% - Accent3 2 2 3 4" xfId="4384" xr:uid="{00000000-0005-0000-0000-000090670000}"/>
    <cellStyle name="40% - Accent3 2 2 3 4 2" xfId="10034" xr:uid="{00000000-0005-0000-0000-000091670000}"/>
    <cellStyle name="40% - Accent3 2 2 3 4 2 2" xfId="21335" xr:uid="{00000000-0005-0000-0000-000092670000}"/>
    <cellStyle name="40% - Accent3 2 2 3 4 2 2 2" xfId="43937" xr:uid="{00000000-0005-0000-0000-000093670000}"/>
    <cellStyle name="40% - Accent3 2 2 3 4 2 3" xfId="32636" xr:uid="{00000000-0005-0000-0000-000094670000}"/>
    <cellStyle name="40% - Accent3 2 2 3 4 3" xfId="15685" xr:uid="{00000000-0005-0000-0000-000095670000}"/>
    <cellStyle name="40% - Accent3 2 2 3 4 3 2" xfId="38287" xr:uid="{00000000-0005-0000-0000-000096670000}"/>
    <cellStyle name="40% - Accent3 2 2 3 4 4" xfId="26986" xr:uid="{00000000-0005-0000-0000-000097670000}"/>
    <cellStyle name="40% - Accent3 2 2 3 5" xfId="7181" xr:uid="{00000000-0005-0000-0000-000098670000}"/>
    <cellStyle name="40% - Accent3 2 2 3 5 2" xfId="18482" xr:uid="{00000000-0005-0000-0000-000099670000}"/>
    <cellStyle name="40% - Accent3 2 2 3 5 2 2" xfId="41084" xr:uid="{00000000-0005-0000-0000-00009A670000}"/>
    <cellStyle name="40% - Accent3 2 2 3 5 3" xfId="29783" xr:uid="{00000000-0005-0000-0000-00009B670000}"/>
    <cellStyle name="40% - Accent3 2 2 3 6" xfId="12832" xr:uid="{00000000-0005-0000-0000-00009C670000}"/>
    <cellStyle name="40% - Accent3 2 2 3 6 2" xfId="35434" xr:uid="{00000000-0005-0000-0000-00009D670000}"/>
    <cellStyle name="40% - Accent3 2 2 3 7" xfId="24133" xr:uid="{00000000-0005-0000-0000-00009E670000}"/>
    <cellStyle name="40% - Accent3 2 2 4" xfId="892" xr:uid="{00000000-0005-0000-0000-00009F670000}"/>
    <cellStyle name="40% - Accent3 2 2 4 2" xfId="2963" xr:uid="{00000000-0005-0000-0000-0000A0670000}"/>
    <cellStyle name="40% - Accent3 2 2 4 2 2" xfId="5935" xr:uid="{00000000-0005-0000-0000-0000A1670000}"/>
    <cellStyle name="40% - Accent3 2 2 4 2 2 2" xfId="11585" xr:uid="{00000000-0005-0000-0000-0000A2670000}"/>
    <cellStyle name="40% - Accent3 2 2 4 2 2 2 2" xfId="22886" xr:uid="{00000000-0005-0000-0000-0000A3670000}"/>
    <cellStyle name="40% - Accent3 2 2 4 2 2 2 2 2" xfId="45488" xr:uid="{00000000-0005-0000-0000-0000A4670000}"/>
    <cellStyle name="40% - Accent3 2 2 4 2 2 2 3" xfId="34187" xr:uid="{00000000-0005-0000-0000-0000A5670000}"/>
    <cellStyle name="40% - Accent3 2 2 4 2 2 3" xfId="17236" xr:uid="{00000000-0005-0000-0000-0000A6670000}"/>
    <cellStyle name="40% - Accent3 2 2 4 2 2 3 2" xfId="39838" xr:uid="{00000000-0005-0000-0000-0000A7670000}"/>
    <cellStyle name="40% - Accent3 2 2 4 2 2 4" xfId="28537" xr:uid="{00000000-0005-0000-0000-0000A8670000}"/>
    <cellStyle name="40% - Accent3 2 2 4 2 3" xfId="8753" xr:uid="{00000000-0005-0000-0000-0000A9670000}"/>
    <cellStyle name="40% - Accent3 2 2 4 2 3 2" xfId="20054" xr:uid="{00000000-0005-0000-0000-0000AA670000}"/>
    <cellStyle name="40% - Accent3 2 2 4 2 3 2 2" xfId="42656" xr:uid="{00000000-0005-0000-0000-0000AB670000}"/>
    <cellStyle name="40% - Accent3 2 2 4 2 3 3" xfId="31355" xr:uid="{00000000-0005-0000-0000-0000AC670000}"/>
    <cellStyle name="40% - Accent3 2 2 4 2 4" xfId="14404" xr:uid="{00000000-0005-0000-0000-0000AD670000}"/>
    <cellStyle name="40% - Accent3 2 2 4 2 4 2" xfId="37006" xr:uid="{00000000-0005-0000-0000-0000AE670000}"/>
    <cellStyle name="40% - Accent3 2 2 4 2 5" xfId="25705" xr:uid="{00000000-0005-0000-0000-0000AF670000}"/>
    <cellStyle name="40% - Accent3 2 2 4 3" xfId="4701" xr:uid="{00000000-0005-0000-0000-0000B0670000}"/>
    <cellStyle name="40% - Accent3 2 2 4 3 2" xfId="10351" xr:uid="{00000000-0005-0000-0000-0000B1670000}"/>
    <cellStyle name="40% - Accent3 2 2 4 3 2 2" xfId="21652" xr:uid="{00000000-0005-0000-0000-0000B2670000}"/>
    <cellStyle name="40% - Accent3 2 2 4 3 2 2 2" xfId="44254" xr:uid="{00000000-0005-0000-0000-0000B3670000}"/>
    <cellStyle name="40% - Accent3 2 2 4 3 2 3" xfId="32953" xr:uid="{00000000-0005-0000-0000-0000B4670000}"/>
    <cellStyle name="40% - Accent3 2 2 4 3 3" xfId="16002" xr:uid="{00000000-0005-0000-0000-0000B5670000}"/>
    <cellStyle name="40% - Accent3 2 2 4 3 3 2" xfId="38604" xr:uid="{00000000-0005-0000-0000-0000B6670000}"/>
    <cellStyle name="40% - Accent3 2 2 4 3 4" xfId="27303" xr:uid="{00000000-0005-0000-0000-0000B7670000}"/>
    <cellStyle name="40% - Accent3 2 2 4 4" xfId="6888" xr:uid="{00000000-0005-0000-0000-0000B8670000}"/>
    <cellStyle name="40% - Accent3 2 2 4 4 2" xfId="18189" xr:uid="{00000000-0005-0000-0000-0000B9670000}"/>
    <cellStyle name="40% - Accent3 2 2 4 4 2 2" xfId="40791" xr:uid="{00000000-0005-0000-0000-0000BA670000}"/>
    <cellStyle name="40% - Accent3 2 2 4 4 3" xfId="29490" xr:uid="{00000000-0005-0000-0000-0000BB670000}"/>
    <cellStyle name="40% - Accent3 2 2 4 5" xfId="12539" xr:uid="{00000000-0005-0000-0000-0000BC670000}"/>
    <cellStyle name="40% - Accent3 2 2 4 5 2" xfId="35141" xr:uid="{00000000-0005-0000-0000-0000BD670000}"/>
    <cellStyle name="40% - Accent3 2 2 4 6" xfId="23840" xr:uid="{00000000-0005-0000-0000-0000BE670000}"/>
    <cellStyle name="40% - Accent3 2 2 5" xfId="1902" xr:uid="{00000000-0005-0000-0000-0000BF670000}"/>
    <cellStyle name="40% - Accent3 2 2 5 2" xfId="3752" xr:uid="{00000000-0005-0000-0000-0000C0670000}"/>
    <cellStyle name="40% - Accent3 2 2 5 2 2" xfId="9462" xr:uid="{00000000-0005-0000-0000-0000C1670000}"/>
    <cellStyle name="40% - Accent3 2 2 5 2 2 2" xfId="20763" xr:uid="{00000000-0005-0000-0000-0000C2670000}"/>
    <cellStyle name="40% - Accent3 2 2 5 2 2 2 2" xfId="43365" xr:uid="{00000000-0005-0000-0000-0000C3670000}"/>
    <cellStyle name="40% - Accent3 2 2 5 2 2 3" xfId="32064" xr:uid="{00000000-0005-0000-0000-0000C4670000}"/>
    <cellStyle name="40% - Accent3 2 2 5 2 3" xfId="15113" xr:uid="{00000000-0005-0000-0000-0000C5670000}"/>
    <cellStyle name="40% - Accent3 2 2 5 2 3 2" xfId="37715" xr:uid="{00000000-0005-0000-0000-0000C6670000}"/>
    <cellStyle name="40% - Accent3 2 2 5 2 4" xfId="26414" xr:uid="{00000000-0005-0000-0000-0000C7670000}"/>
    <cellStyle name="40% - Accent3 2 2 5 3" xfId="5311" xr:uid="{00000000-0005-0000-0000-0000C8670000}"/>
    <cellStyle name="40% - Accent3 2 2 5 3 2" xfId="10961" xr:uid="{00000000-0005-0000-0000-0000C9670000}"/>
    <cellStyle name="40% - Accent3 2 2 5 3 2 2" xfId="22262" xr:uid="{00000000-0005-0000-0000-0000CA670000}"/>
    <cellStyle name="40% - Accent3 2 2 5 3 2 2 2" xfId="44864" xr:uid="{00000000-0005-0000-0000-0000CB670000}"/>
    <cellStyle name="40% - Accent3 2 2 5 3 2 3" xfId="33563" xr:uid="{00000000-0005-0000-0000-0000CC670000}"/>
    <cellStyle name="40% - Accent3 2 2 5 3 3" xfId="16612" xr:uid="{00000000-0005-0000-0000-0000CD670000}"/>
    <cellStyle name="40% - Accent3 2 2 5 3 3 2" xfId="39214" xr:uid="{00000000-0005-0000-0000-0000CE670000}"/>
    <cellStyle name="40% - Accent3 2 2 5 3 4" xfId="27913" xr:uid="{00000000-0005-0000-0000-0000CF670000}"/>
    <cellStyle name="40% - Accent3 2 2 5 4" xfId="7758" xr:uid="{00000000-0005-0000-0000-0000D0670000}"/>
    <cellStyle name="40% - Accent3 2 2 5 4 2" xfId="19059" xr:uid="{00000000-0005-0000-0000-0000D1670000}"/>
    <cellStyle name="40% - Accent3 2 2 5 4 2 2" xfId="41661" xr:uid="{00000000-0005-0000-0000-0000D2670000}"/>
    <cellStyle name="40% - Accent3 2 2 5 4 3" xfId="30360" xr:uid="{00000000-0005-0000-0000-0000D3670000}"/>
    <cellStyle name="40% - Accent3 2 2 5 5" xfId="13409" xr:uid="{00000000-0005-0000-0000-0000D4670000}"/>
    <cellStyle name="40% - Accent3 2 2 5 5 2" xfId="36011" xr:uid="{00000000-0005-0000-0000-0000D5670000}"/>
    <cellStyle name="40% - Accent3 2 2 5 6" xfId="24710" xr:uid="{00000000-0005-0000-0000-0000D6670000}"/>
    <cellStyle name="40% - Accent3 2 2 6" xfId="2290" xr:uid="{00000000-0005-0000-0000-0000D7670000}"/>
    <cellStyle name="40% - Accent3 2 2 6 2" xfId="8126" xr:uid="{00000000-0005-0000-0000-0000D8670000}"/>
    <cellStyle name="40% - Accent3 2 2 6 2 2" xfId="19427" xr:uid="{00000000-0005-0000-0000-0000D9670000}"/>
    <cellStyle name="40% - Accent3 2 2 6 2 2 2" xfId="42029" xr:uid="{00000000-0005-0000-0000-0000DA670000}"/>
    <cellStyle name="40% - Accent3 2 2 6 2 3" xfId="30728" xr:uid="{00000000-0005-0000-0000-0000DB670000}"/>
    <cellStyle name="40% - Accent3 2 2 6 3" xfId="13777" xr:uid="{00000000-0005-0000-0000-0000DC670000}"/>
    <cellStyle name="40% - Accent3 2 2 6 3 2" xfId="36379" xr:uid="{00000000-0005-0000-0000-0000DD670000}"/>
    <cellStyle name="40% - Accent3 2 2 6 4" xfId="25078" xr:uid="{00000000-0005-0000-0000-0000DE670000}"/>
    <cellStyle name="40% - Accent3 2 2 7" xfId="4077" xr:uid="{00000000-0005-0000-0000-0000DF670000}"/>
    <cellStyle name="40% - Accent3 2 2 7 2" xfId="9727" xr:uid="{00000000-0005-0000-0000-0000E0670000}"/>
    <cellStyle name="40% - Accent3 2 2 7 2 2" xfId="21028" xr:uid="{00000000-0005-0000-0000-0000E1670000}"/>
    <cellStyle name="40% - Accent3 2 2 7 2 2 2" xfId="43630" xr:uid="{00000000-0005-0000-0000-0000E2670000}"/>
    <cellStyle name="40% - Accent3 2 2 7 2 3" xfId="32329" xr:uid="{00000000-0005-0000-0000-0000E3670000}"/>
    <cellStyle name="40% - Accent3 2 2 7 3" xfId="15378" xr:uid="{00000000-0005-0000-0000-0000E4670000}"/>
    <cellStyle name="40% - Accent3 2 2 7 3 2" xfId="37980" xr:uid="{00000000-0005-0000-0000-0000E5670000}"/>
    <cellStyle name="40% - Accent3 2 2 7 4" xfId="26679" xr:uid="{00000000-0005-0000-0000-0000E6670000}"/>
    <cellStyle name="40% - Accent3 2 2 8" xfId="6528" xr:uid="{00000000-0005-0000-0000-0000E7670000}"/>
    <cellStyle name="40% - Accent3 2 2 8 2" xfId="17829" xr:uid="{00000000-0005-0000-0000-0000E8670000}"/>
    <cellStyle name="40% - Accent3 2 2 8 2 2" xfId="40431" xr:uid="{00000000-0005-0000-0000-0000E9670000}"/>
    <cellStyle name="40% - Accent3 2 2 8 3" xfId="29130" xr:uid="{00000000-0005-0000-0000-0000EA670000}"/>
    <cellStyle name="40% - Accent3 2 2 9" xfId="12179" xr:uid="{00000000-0005-0000-0000-0000EB670000}"/>
    <cellStyle name="40% - Accent3 2 2 9 2" xfId="34781" xr:uid="{00000000-0005-0000-0000-0000EC670000}"/>
    <cellStyle name="40% - Accent3 2 3" xfId="2821" xr:uid="{00000000-0005-0000-0000-0000ED670000}"/>
    <cellStyle name="40% - Accent3 2 3 2" xfId="3678" xr:uid="{00000000-0005-0000-0000-0000EE670000}"/>
    <cellStyle name="40% - Accent3 2 3 2 2" xfId="5836" xr:uid="{00000000-0005-0000-0000-0000EF670000}"/>
    <cellStyle name="40% - Accent3 2 3 2 2 2" xfId="11486" xr:uid="{00000000-0005-0000-0000-0000F0670000}"/>
    <cellStyle name="40% - Accent3 2 3 2 2 2 2" xfId="22787" xr:uid="{00000000-0005-0000-0000-0000F1670000}"/>
    <cellStyle name="40% - Accent3 2 3 2 2 2 2 2" xfId="45389" xr:uid="{00000000-0005-0000-0000-0000F2670000}"/>
    <cellStyle name="40% - Accent3 2 3 2 2 2 3" xfId="34088" xr:uid="{00000000-0005-0000-0000-0000F3670000}"/>
    <cellStyle name="40% - Accent3 2 3 2 2 3" xfId="17137" xr:uid="{00000000-0005-0000-0000-0000F4670000}"/>
    <cellStyle name="40% - Accent3 2 3 2 2 3 2" xfId="39739" xr:uid="{00000000-0005-0000-0000-0000F5670000}"/>
    <cellStyle name="40% - Accent3 2 3 2 2 4" xfId="28438" xr:uid="{00000000-0005-0000-0000-0000F6670000}"/>
    <cellStyle name="40% - Accent3 2 3 2 3" xfId="9389" xr:uid="{00000000-0005-0000-0000-0000F7670000}"/>
    <cellStyle name="40% - Accent3 2 3 2 3 2" xfId="20690" xr:uid="{00000000-0005-0000-0000-0000F8670000}"/>
    <cellStyle name="40% - Accent3 2 3 2 3 2 2" xfId="43292" xr:uid="{00000000-0005-0000-0000-0000F9670000}"/>
    <cellStyle name="40% - Accent3 2 3 2 3 3" xfId="31991" xr:uid="{00000000-0005-0000-0000-0000FA670000}"/>
    <cellStyle name="40% - Accent3 2 3 2 4" xfId="15040" xr:uid="{00000000-0005-0000-0000-0000FB670000}"/>
    <cellStyle name="40% - Accent3 2 3 2 4 2" xfId="37642" xr:uid="{00000000-0005-0000-0000-0000FC670000}"/>
    <cellStyle name="40% - Accent3 2 3 2 5" xfId="26341" xr:uid="{00000000-0005-0000-0000-0000FD670000}"/>
    <cellStyle name="40% - Accent3 2 3 3" xfId="4602" xr:uid="{00000000-0005-0000-0000-0000FE670000}"/>
    <cellStyle name="40% - Accent3 2 3 3 2" xfId="10252" xr:uid="{00000000-0005-0000-0000-0000FF670000}"/>
    <cellStyle name="40% - Accent3 2 3 3 2 2" xfId="21553" xr:uid="{00000000-0005-0000-0000-000000680000}"/>
    <cellStyle name="40% - Accent3 2 3 3 2 2 2" xfId="44155" xr:uid="{00000000-0005-0000-0000-000001680000}"/>
    <cellStyle name="40% - Accent3 2 3 3 2 3" xfId="32854" xr:uid="{00000000-0005-0000-0000-000002680000}"/>
    <cellStyle name="40% - Accent3 2 3 3 3" xfId="15903" xr:uid="{00000000-0005-0000-0000-000003680000}"/>
    <cellStyle name="40% - Accent3 2 3 3 3 2" xfId="38505" xr:uid="{00000000-0005-0000-0000-000004680000}"/>
    <cellStyle name="40% - Accent3 2 3 3 4" xfId="27204" xr:uid="{00000000-0005-0000-0000-000005680000}"/>
    <cellStyle name="40% - Accent3 2 3 4" xfId="8654" xr:uid="{00000000-0005-0000-0000-000006680000}"/>
    <cellStyle name="40% - Accent3 2 3 4 2" xfId="19955" xr:uid="{00000000-0005-0000-0000-000007680000}"/>
    <cellStyle name="40% - Accent3 2 3 4 2 2" xfId="42557" xr:uid="{00000000-0005-0000-0000-000008680000}"/>
    <cellStyle name="40% - Accent3 2 3 4 3" xfId="31256" xr:uid="{00000000-0005-0000-0000-000009680000}"/>
    <cellStyle name="40% - Accent3 2 3 5" xfId="14305" xr:uid="{00000000-0005-0000-0000-00000A680000}"/>
    <cellStyle name="40% - Accent3 2 3 5 2" xfId="36907" xr:uid="{00000000-0005-0000-0000-00000B680000}"/>
    <cellStyle name="40% - Accent3 2 3 6" xfId="25606" xr:uid="{00000000-0005-0000-0000-00000C680000}"/>
    <cellStyle name="40% - Accent3 2 4" xfId="2840" xr:uid="{00000000-0005-0000-0000-00000D680000}"/>
    <cellStyle name="40% - Accent3 2 5" xfId="3908" xr:uid="{00000000-0005-0000-0000-00000E680000}"/>
    <cellStyle name="40% - Accent3 2 5 2" xfId="9606" xr:uid="{00000000-0005-0000-0000-00000F680000}"/>
    <cellStyle name="40% - Accent3 2 5 2 2" xfId="20907" xr:uid="{00000000-0005-0000-0000-000010680000}"/>
    <cellStyle name="40% - Accent3 2 5 2 2 2" xfId="43509" xr:uid="{00000000-0005-0000-0000-000011680000}"/>
    <cellStyle name="40% - Accent3 2 5 2 3" xfId="32208" xr:uid="{00000000-0005-0000-0000-000012680000}"/>
    <cellStyle name="40% - Accent3 2 5 3" xfId="15257" xr:uid="{00000000-0005-0000-0000-000013680000}"/>
    <cellStyle name="40% - Accent3 2 5 3 2" xfId="37859" xr:uid="{00000000-0005-0000-0000-000014680000}"/>
    <cellStyle name="40% - Accent3 2 5 4" xfId="26558" xr:uid="{00000000-0005-0000-0000-000015680000}"/>
    <cellStyle name="40% - Accent3 2 6" xfId="3950" xr:uid="{00000000-0005-0000-0000-000016680000}"/>
    <cellStyle name="40% - Accent3 2 7" xfId="160" xr:uid="{00000000-0005-0000-0000-000017680000}"/>
    <cellStyle name="40% - Accent3 3" xfId="219" xr:uid="{00000000-0005-0000-0000-000018680000}"/>
    <cellStyle name="40% - Accent3 3 2" xfId="347" xr:uid="{00000000-0005-0000-0000-000019680000}"/>
    <cellStyle name="40% - Accent3 3 2 10" xfId="23458" xr:uid="{00000000-0005-0000-0000-00001A680000}"/>
    <cellStyle name="40% - Accent3 3 2 2" xfId="608" xr:uid="{00000000-0005-0000-0000-00001B680000}"/>
    <cellStyle name="40% - Accent3 3 2 2 2" xfId="1318" xr:uid="{00000000-0005-0000-0000-00001C680000}"/>
    <cellStyle name="40% - Accent3 3 2 2 2 2" xfId="1908" xr:uid="{00000000-0005-0000-0000-00001D680000}"/>
    <cellStyle name="40% - Accent3 3 2 2 2 2 2" xfId="3387" xr:uid="{00000000-0005-0000-0000-00001E680000}"/>
    <cellStyle name="40% - Accent3 3 2 2 2 2 2 2" xfId="6359" xr:uid="{00000000-0005-0000-0000-00001F680000}"/>
    <cellStyle name="40% - Accent3 3 2 2 2 2 2 2 2" xfId="12009" xr:uid="{00000000-0005-0000-0000-000020680000}"/>
    <cellStyle name="40% - Accent3 3 2 2 2 2 2 2 2 2" xfId="23310" xr:uid="{00000000-0005-0000-0000-000021680000}"/>
    <cellStyle name="40% - Accent3 3 2 2 2 2 2 2 2 2 2" xfId="45912" xr:uid="{00000000-0005-0000-0000-000022680000}"/>
    <cellStyle name="40% - Accent3 3 2 2 2 2 2 2 2 3" xfId="34611" xr:uid="{00000000-0005-0000-0000-000023680000}"/>
    <cellStyle name="40% - Accent3 3 2 2 2 2 2 2 3" xfId="17660" xr:uid="{00000000-0005-0000-0000-000024680000}"/>
    <cellStyle name="40% - Accent3 3 2 2 2 2 2 2 3 2" xfId="40262" xr:uid="{00000000-0005-0000-0000-000025680000}"/>
    <cellStyle name="40% - Accent3 3 2 2 2 2 2 2 4" xfId="28961" xr:uid="{00000000-0005-0000-0000-000026680000}"/>
    <cellStyle name="40% - Accent3 3 2 2 2 2 2 3" xfId="9177" xr:uid="{00000000-0005-0000-0000-000027680000}"/>
    <cellStyle name="40% - Accent3 3 2 2 2 2 2 3 2" xfId="20478" xr:uid="{00000000-0005-0000-0000-000028680000}"/>
    <cellStyle name="40% - Accent3 3 2 2 2 2 2 3 2 2" xfId="43080" xr:uid="{00000000-0005-0000-0000-000029680000}"/>
    <cellStyle name="40% - Accent3 3 2 2 2 2 2 3 3" xfId="31779" xr:uid="{00000000-0005-0000-0000-00002A680000}"/>
    <cellStyle name="40% - Accent3 3 2 2 2 2 2 4" xfId="14828" xr:uid="{00000000-0005-0000-0000-00002B680000}"/>
    <cellStyle name="40% - Accent3 3 2 2 2 2 2 4 2" xfId="37430" xr:uid="{00000000-0005-0000-0000-00002C680000}"/>
    <cellStyle name="40% - Accent3 3 2 2 2 2 2 5" xfId="26129" xr:uid="{00000000-0005-0000-0000-00002D680000}"/>
    <cellStyle name="40% - Accent3 3 2 2 2 2 3" xfId="5125" xr:uid="{00000000-0005-0000-0000-00002E680000}"/>
    <cellStyle name="40% - Accent3 3 2 2 2 2 3 2" xfId="10775" xr:uid="{00000000-0005-0000-0000-00002F680000}"/>
    <cellStyle name="40% - Accent3 3 2 2 2 2 3 2 2" xfId="22076" xr:uid="{00000000-0005-0000-0000-000030680000}"/>
    <cellStyle name="40% - Accent3 3 2 2 2 2 3 2 2 2" xfId="44678" xr:uid="{00000000-0005-0000-0000-000031680000}"/>
    <cellStyle name="40% - Accent3 3 2 2 2 2 3 2 3" xfId="33377" xr:uid="{00000000-0005-0000-0000-000032680000}"/>
    <cellStyle name="40% - Accent3 3 2 2 2 2 3 3" xfId="16426" xr:uid="{00000000-0005-0000-0000-000033680000}"/>
    <cellStyle name="40% - Accent3 3 2 2 2 2 3 3 2" xfId="39028" xr:uid="{00000000-0005-0000-0000-000034680000}"/>
    <cellStyle name="40% - Accent3 3 2 2 2 2 3 4" xfId="27727" xr:uid="{00000000-0005-0000-0000-000035680000}"/>
    <cellStyle name="40% - Accent3 3 2 2 2 2 4" xfId="7764" xr:uid="{00000000-0005-0000-0000-000036680000}"/>
    <cellStyle name="40% - Accent3 3 2 2 2 2 4 2" xfId="19065" xr:uid="{00000000-0005-0000-0000-000037680000}"/>
    <cellStyle name="40% - Accent3 3 2 2 2 2 4 2 2" xfId="41667" xr:uid="{00000000-0005-0000-0000-000038680000}"/>
    <cellStyle name="40% - Accent3 3 2 2 2 2 4 3" xfId="30366" xr:uid="{00000000-0005-0000-0000-000039680000}"/>
    <cellStyle name="40% - Accent3 3 2 2 2 2 5" xfId="13415" xr:uid="{00000000-0005-0000-0000-00003A680000}"/>
    <cellStyle name="40% - Accent3 3 2 2 2 2 5 2" xfId="36017" xr:uid="{00000000-0005-0000-0000-00003B680000}"/>
    <cellStyle name="40% - Accent3 3 2 2 2 2 6" xfId="24716" xr:uid="{00000000-0005-0000-0000-00003C680000}"/>
    <cellStyle name="40% - Accent3 3 2 2 2 3" xfId="2716" xr:uid="{00000000-0005-0000-0000-00003D680000}"/>
    <cellStyle name="40% - Accent3 3 2 2 2 3 2" xfId="5735" xr:uid="{00000000-0005-0000-0000-00003E680000}"/>
    <cellStyle name="40% - Accent3 3 2 2 2 3 2 2" xfId="11385" xr:uid="{00000000-0005-0000-0000-00003F680000}"/>
    <cellStyle name="40% - Accent3 3 2 2 2 3 2 2 2" xfId="22686" xr:uid="{00000000-0005-0000-0000-000040680000}"/>
    <cellStyle name="40% - Accent3 3 2 2 2 3 2 2 2 2" xfId="45288" xr:uid="{00000000-0005-0000-0000-000041680000}"/>
    <cellStyle name="40% - Accent3 3 2 2 2 3 2 2 3" xfId="33987" xr:uid="{00000000-0005-0000-0000-000042680000}"/>
    <cellStyle name="40% - Accent3 3 2 2 2 3 2 3" xfId="17036" xr:uid="{00000000-0005-0000-0000-000043680000}"/>
    <cellStyle name="40% - Accent3 3 2 2 2 3 2 3 2" xfId="39638" xr:uid="{00000000-0005-0000-0000-000044680000}"/>
    <cellStyle name="40% - Accent3 3 2 2 2 3 2 4" xfId="28337" xr:uid="{00000000-0005-0000-0000-000045680000}"/>
    <cellStyle name="40% - Accent3 3 2 2 2 3 3" xfId="8552" xr:uid="{00000000-0005-0000-0000-000046680000}"/>
    <cellStyle name="40% - Accent3 3 2 2 2 3 3 2" xfId="19853" xr:uid="{00000000-0005-0000-0000-000047680000}"/>
    <cellStyle name="40% - Accent3 3 2 2 2 3 3 2 2" xfId="42455" xr:uid="{00000000-0005-0000-0000-000048680000}"/>
    <cellStyle name="40% - Accent3 3 2 2 2 3 3 3" xfId="31154" xr:uid="{00000000-0005-0000-0000-000049680000}"/>
    <cellStyle name="40% - Accent3 3 2 2 2 3 4" xfId="14203" xr:uid="{00000000-0005-0000-0000-00004A680000}"/>
    <cellStyle name="40% - Accent3 3 2 2 2 3 4 2" xfId="36805" xr:uid="{00000000-0005-0000-0000-00004B680000}"/>
    <cellStyle name="40% - Accent3 3 2 2 2 3 5" xfId="25504" xr:uid="{00000000-0005-0000-0000-00004C680000}"/>
    <cellStyle name="40% - Accent3 3 2 2 2 4" xfId="4501" xr:uid="{00000000-0005-0000-0000-00004D680000}"/>
    <cellStyle name="40% - Accent3 3 2 2 2 4 2" xfId="10151" xr:uid="{00000000-0005-0000-0000-00004E680000}"/>
    <cellStyle name="40% - Accent3 3 2 2 2 4 2 2" xfId="21452" xr:uid="{00000000-0005-0000-0000-00004F680000}"/>
    <cellStyle name="40% - Accent3 3 2 2 2 4 2 2 2" xfId="44054" xr:uid="{00000000-0005-0000-0000-000050680000}"/>
    <cellStyle name="40% - Accent3 3 2 2 2 4 2 3" xfId="32753" xr:uid="{00000000-0005-0000-0000-000051680000}"/>
    <cellStyle name="40% - Accent3 3 2 2 2 4 3" xfId="15802" xr:uid="{00000000-0005-0000-0000-000052680000}"/>
    <cellStyle name="40% - Accent3 3 2 2 2 4 3 2" xfId="38404" xr:uid="{00000000-0005-0000-0000-000053680000}"/>
    <cellStyle name="40% - Accent3 3 2 2 2 4 4" xfId="27103" xr:uid="{00000000-0005-0000-0000-000054680000}"/>
    <cellStyle name="40% - Accent3 3 2 2 2 5" xfId="7297" xr:uid="{00000000-0005-0000-0000-000055680000}"/>
    <cellStyle name="40% - Accent3 3 2 2 2 5 2" xfId="18598" xr:uid="{00000000-0005-0000-0000-000056680000}"/>
    <cellStyle name="40% - Accent3 3 2 2 2 5 2 2" xfId="41200" xr:uid="{00000000-0005-0000-0000-000057680000}"/>
    <cellStyle name="40% - Accent3 3 2 2 2 5 3" xfId="29899" xr:uid="{00000000-0005-0000-0000-000058680000}"/>
    <cellStyle name="40% - Accent3 3 2 2 2 6" xfId="12948" xr:uid="{00000000-0005-0000-0000-000059680000}"/>
    <cellStyle name="40% - Accent3 3 2 2 2 6 2" xfId="35550" xr:uid="{00000000-0005-0000-0000-00005A680000}"/>
    <cellStyle name="40% - Accent3 3 2 2 2 7" xfId="24249" xr:uid="{00000000-0005-0000-0000-00005B680000}"/>
    <cellStyle name="40% - Accent3 3 2 2 3" xfId="1016" xr:uid="{00000000-0005-0000-0000-00005C680000}"/>
    <cellStyle name="40% - Accent3 3 2 2 3 2" xfId="3079" xr:uid="{00000000-0005-0000-0000-00005D680000}"/>
    <cellStyle name="40% - Accent3 3 2 2 3 2 2" xfId="6051" xr:uid="{00000000-0005-0000-0000-00005E680000}"/>
    <cellStyle name="40% - Accent3 3 2 2 3 2 2 2" xfId="11701" xr:uid="{00000000-0005-0000-0000-00005F680000}"/>
    <cellStyle name="40% - Accent3 3 2 2 3 2 2 2 2" xfId="23002" xr:uid="{00000000-0005-0000-0000-000060680000}"/>
    <cellStyle name="40% - Accent3 3 2 2 3 2 2 2 2 2" xfId="45604" xr:uid="{00000000-0005-0000-0000-000061680000}"/>
    <cellStyle name="40% - Accent3 3 2 2 3 2 2 2 3" xfId="34303" xr:uid="{00000000-0005-0000-0000-000062680000}"/>
    <cellStyle name="40% - Accent3 3 2 2 3 2 2 3" xfId="17352" xr:uid="{00000000-0005-0000-0000-000063680000}"/>
    <cellStyle name="40% - Accent3 3 2 2 3 2 2 3 2" xfId="39954" xr:uid="{00000000-0005-0000-0000-000064680000}"/>
    <cellStyle name="40% - Accent3 3 2 2 3 2 2 4" xfId="28653" xr:uid="{00000000-0005-0000-0000-000065680000}"/>
    <cellStyle name="40% - Accent3 3 2 2 3 2 3" xfId="8869" xr:uid="{00000000-0005-0000-0000-000066680000}"/>
    <cellStyle name="40% - Accent3 3 2 2 3 2 3 2" xfId="20170" xr:uid="{00000000-0005-0000-0000-000067680000}"/>
    <cellStyle name="40% - Accent3 3 2 2 3 2 3 2 2" xfId="42772" xr:uid="{00000000-0005-0000-0000-000068680000}"/>
    <cellStyle name="40% - Accent3 3 2 2 3 2 3 3" xfId="31471" xr:uid="{00000000-0005-0000-0000-000069680000}"/>
    <cellStyle name="40% - Accent3 3 2 2 3 2 4" xfId="14520" xr:uid="{00000000-0005-0000-0000-00006A680000}"/>
    <cellStyle name="40% - Accent3 3 2 2 3 2 4 2" xfId="37122" xr:uid="{00000000-0005-0000-0000-00006B680000}"/>
    <cellStyle name="40% - Accent3 3 2 2 3 2 5" xfId="25821" xr:uid="{00000000-0005-0000-0000-00006C680000}"/>
    <cellStyle name="40% - Accent3 3 2 2 3 3" xfId="4817" xr:uid="{00000000-0005-0000-0000-00006D680000}"/>
    <cellStyle name="40% - Accent3 3 2 2 3 3 2" xfId="10467" xr:uid="{00000000-0005-0000-0000-00006E680000}"/>
    <cellStyle name="40% - Accent3 3 2 2 3 3 2 2" xfId="21768" xr:uid="{00000000-0005-0000-0000-00006F680000}"/>
    <cellStyle name="40% - Accent3 3 2 2 3 3 2 2 2" xfId="44370" xr:uid="{00000000-0005-0000-0000-000070680000}"/>
    <cellStyle name="40% - Accent3 3 2 2 3 3 2 3" xfId="33069" xr:uid="{00000000-0005-0000-0000-000071680000}"/>
    <cellStyle name="40% - Accent3 3 2 2 3 3 3" xfId="16118" xr:uid="{00000000-0005-0000-0000-000072680000}"/>
    <cellStyle name="40% - Accent3 3 2 2 3 3 3 2" xfId="38720" xr:uid="{00000000-0005-0000-0000-000073680000}"/>
    <cellStyle name="40% - Accent3 3 2 2 3 3 4" xfId="27419" xr:uid="{00000000-0005-0000-0000-000074680000}"/>
    <cellStyle name="40% - Accent3 3 2 2 3 4" xfId="7004" xr:uid="{00000000-0005-0000-0000-000075680000}"/>
    <cellStyle name="40% - Accent3 3 2 2 3 4 2" xfId="18305" xr:uid="{00000000-0005-0000-0000-000076680000}"/>
    <cellStyle name="40% - Accent3 3 2 2 3 4 2 2" xfId="40907" xr:uid="{00000000-0005-0000-0000-000077680000}"/>
    <cellStyle name="40% - Accent3 3 2 2 3 4 3" xfId="29606" xr:uid="{00000000-0005-0000-0000-000078680000}"/>
    <cellStyle name="40% - Accent3 3 2 2 3 5" xfId="12655" xr:uid="{00000000-0005-0000-0000-000079680000}"/>
    <cellStyle name="40% - Accent3 3 2 2 3 5 2" xfId="35257" xr:uid="{00000000-0005-0000-0000-00007A680000}"/>
    <cellStyle name="40% - Accent3 3 2 2 3 6" xfId="23956" xr:uid="{00000000-0005-0000-0000-00007B680000}"/>
    <cellStyle name="40% - Accent3 3 2 2 4" xfId="1907" xr:uid="{00000000-0005-0000-0000-00007C680000}"/>
    <cellStyle name="40% - Accent3 3 2 2 4 2" xfId="3755" xr:uid="{00000000-0005-0000-0000-00007D680000}"/>
    <cellStyle name="40% - Accent3 3 2 2 4 2 2" xfId="9465" xr:uid="{00000000-0005-0000-0000-00007E680000}"/>
    <cellStyle name="40% - Accent3 3 2 2 4 2 2 2" xfId="20766" xr:uid="{00000000-0005-0000-0000-00007F680000}"/>
    <cellStyle name="40% - Accent3 3 2 2 4 2 2 2 2" xfId="43368" xr:uid="{00000000-0005-0000-0000-000080680000}"/>
    <cellStyle name="40% - Accent3 3 2 2 4 2 2 3" xfId="32067" xr:uid="{00000000-0005-0000-0000-000081680000}"/>
    <cellStyle name="40% - Accent3 3 2 2 4 2 3" xfId="15116" xr:uid="{00000000-0005-0000-0000-000082680000}"/>
    <cellStyle name="40% - Accent3 3 2 2 4 2 3 2" xfId="37718" xr:uid="{00000000-0005-0000-0000-000083680000}"/>
    <cellStyle name="40% - Accent3 3 2 2 4 2 4" xfId="26417" xr:uid="{00000000-0005-0000-0000-000084680000}"/>
    <cellStyle name="40% - Accent3 3 2 2 4 3" xfId="5427" xr:uid="{00000000-0005-0000-0000-000085680000}"/>
    <cellStyle name="40% - Accent3 3 2 2 4 3 2" xfId="11077" xr:uid="{00000000-0005-0000-0000-000086680000}"/>
    <cellStyle name="40% - Accent3 3 2 2 4 3 2 2" xfId="22378" xr:uid="{00000000-0005-0000-0000-000087680000}"/>
    <cellStyle name="40% - Accent3 3 2 2 4 3 2 2 2" xfId="44980" xr:uid="{00000000-0005-0000-0000-000088680000}"/>
    <cellStyle name="40% - Accent3 3 2 2 4 3 2 3" xfId="33679" xr:uid="{00000000-0005-0000-0000-000089680000}"/>
    <cellStyle name="40% - Accent3 3 2 2 4 3 3" xfId="16728" xr:uid="{00000000-0005-0000-0000-00008A680000}"/>
    <cellStyle name="40% - Accent3 3 2 2 4 3 3 2" xfId="39330" xr:uid="{00000000-0005-0000-0000-00008B680000}"/>
    <cellStyle name="40% - Accent3 3 2 2 4 3 4" xfId="28029" xr:uid="{00000000-0005-0000-0000-00008C680000}"/>
    <cellStyle name="40% - Accent3 3 2 2 4 4" xfId="7763" xr:uid="{00000000-0005-0000-0000-00008D680000}"/>
    <cellStyle name="40% - Accent3 3 2 2 4 4 2" xfId="19064" xr:uid="{00000000-0005-0000-0000-00008E680000}"/>
    <cellStyle name="40% - Accent3 3 2 2 4 4 2 2" xfId="41666" xr:uid="{00000000-0005-0000-0000-00008F680000}"/>
    <cellStyle name="40% - Accent3 3 2 2 4 4 3" xfId="30365" xr:uid="{00000000-0005-0000-0000-000090680000}"/>
    <cellStyle name="40% - Accent3 3 2 2 4 5" xfId="13414" xr:uid="{00000000-0005-0000-0000-000091680000}"/>
    <cellStyle name="40% - Accent3 3 2 2 4 5 2" xfId="36016" xr:uid="{00000000-0005-0000-0000-000092680000}"/>
    <cellStyle name="40% - Accent3 3 2 2 4 6" xfId="24715" xr:uid="{00000000-0005-0000-0000-000093680000}"/>
    <cellStyle name="40% - Accent3 3 2 2 5" xfId="2408" xr:uid="{00000000-0005-0000-0000-000094680000}"/>
    <cellStyle name="40% - Accent3 3 2 2 5 2" xfId="8244" xr:uid="{00000000-0005-0000-0000-000095680000}"/>
    <cellStyle name="40% - Accent3 3 2 2 5 2 2" xfId="19545" xr:uid="{00000000-0005-0000-0000-000096680000}"/>
    <cellStyle name="40% - Accent3 3 2 2 5 2 2 2" xfId="42147" xr:uid="{00000000-0005-0000-0000-000097680000}"/>
    <cellStyle name="40% - Accent3 3 2 2 5 2 3" xfId="30846" xr:uid="{00000000-0005-0000-0000-000098680000}"/>
    <cellStyle name="40% - Accent3 3 2 2 5 3" xfId="13895" xr:uid="{00000000-0005-0000-0000-000099680000}"/>
    <cellStyle name="40% - Accent3 3 2 2 5 3 2" xfId="36497" xr:uid="{00000000-0005-0000-0000-00009A680000}"/>
    <cellStyle name="40% - Accent3 3 2 2 5 4" xfId="25196" xr:uid="{00000000-0005-0000-0000-00009B680000}"/>
    <cellStyle name="40% - Accent3 3 2 2 6" xfId="4193" xr:uid="{00000000-0005-0000-0000-00009C680000}"/>
    <cellStyle name="40% - Accent3 3 2 2 6 2" xfId="9843" xr:uid="{00000000-0005-0000-0000-00009D680000}"/>
    <cellStyle name="40% - Accent3 3 2 2 6 2 2" xfId="21144" xr:uid="{00000000-0005-0000-0000-00009E680000}"/>
    <cellStyle name="40% - Accent3 3 2 2 6 2 2 2" xfId="43746" xr:uid="{00000000-0005-0000-0000-00009F680000}"/>
    <cellStyle name="40% - Accent3 3 2 2 6 2 3" xfId="32445" xr:uid="{00000000-0005-0000-0000-0000A0680000}"/>
    <cellStyle name="40% - Accent3 3 2 2 6 3" xfId="15494" xr:uid="{00000000-0005-0000-0000-0000A1680000}"/>
    <cellStyle name="40% - Accent3 3 2 2 6 3 2" xfId="38096" xr:uid="{00000000-0005-0000-0000-0000A2680000}"/>
    <cellStyle name="40% - Accent3 3 2 2 6 4" xfId="26795" xr:uid="{00000000-0005-0000-0000-0000A3680000}"/>
    <cellStyle name="40% - Accent3 3 2 2 7" xfId="6673" xr:uid="{00000000-0005-0000-0000-0000A4680000}"/>
    <cellStyle name="40% - Accent3 3 2 2 7 2" xfId="17974" xr:uid="{00000000-0005-0000-0000-0000A5680000}"/>
    <cellStyle name="40% - Accent3 3 2 2 7 2 2" xfId="40576" xr:uid="{00000000-0005-0000-0000-0000A6680000}"/>
    <cellStyle name="40% - Accent3 3 2 2 7 3" xfId="29275" xr:uid="{00000000-0005-0000-0000-0000A7680000}"/>
    <cellStyle name="40% - Accent3 3 2 2 8" xfId="12324" xr:uid="{00000000-0005-0000-0000-0000A8680000}"/>
    <cellStyle name="40% - Accent3 3 2 2 8 2" xfId="34926" xr:uid="{00000000-0005-0000-0000-0000A9680000}"/>
    <cellStyle name="40% - Accent3 3 2 2 9" xfId="23625" xr:uid="{00000000-0005-0000-0000-0000AA680000}"/>
    <cellStyle name="40% - Accent3 3 2 3" xfId="1180" xr:uid="{00000000-0005-0000-0000-0000AB680000}"/>
    <cellStyle name="40% - Accent3 3 2 3 2" xfId="1909" xr:uid="{00000000-0005-0000-0000-0000AC680000}"/>
    <cellStyle name="40% - Accent3 3 2 3 2 2" xfId="3248" xr:uid="{00000000-0005-0000-0000-0000AD680000}"/>
    <cellStyle name="40% - Accent3 3 2 3 2 2 2" xfId="6220" xr:uid="{00000000-0005-0000-0000-0000AE680000}"/>
    <cellStyle name="40% - Accent3 3 2 3 2 2 2 2" xfId="11870" xr:uid="{00000000-0005-0000-0000-0000AF680000}"/>
    <cellStyle name="40% - Accent3 3 2 3 2 2 2 2 2" xfId="23171" xr:uid="{00000000-0005-0000-0000-0000B0680000}"/>
    <cellStyle name="40% - Accent3 3 2 3 2 2 2 2 2 2" xfId="45773" xr:uid="{00000000-0005-0000-0000-0000B1680000}"/>
    <cellStyle name="40% - Accent3 3 2 3 2 2 2 2 3" xfId="34472" xr:uid="{00000000-0005-0000-0000-0000B2680000}"/>
    <cellStyle name="40% - Accent3 3 2 3 2 2 2 3" xfId="17521" xr:uid="{00000000-0005-0000-0000-0000B3680000}"/>
    <cellStyle name="40% - Accent3 3 2 3 2 2 2 3 2" xfId="40123" xr:uid="{00000000-0005-0000-0000-0000B4680000}"/>
    <cellStyle name="40% - Accent3 3 2 3 2 2 2 4" xfId="28822" xr:uid="{00000000-0005-0000-0000-0000B5680000}"/>
    <cellStyle name="40% - Accent3 3 2 3 2 2 3" xfId="9038" xr:uid="{00000000-0005-0000-0000-0000B6680000}"/>
    <cellStyle name="40% - Accent3 3 2 3 2 2 3 2" xfId="20339" xr:uid="{00000000-0005-0000-0000-0000B7680000}"/>
    <cellStyle name="40% - Accent3 3 2 3 2 2 3 2 2" xfId="42941" xr:uid="{00000000-0005-0000-0000-0000B8680000}"/>
    <cellStyle name="40% - Accent3 3 2 3 2 2 3 3" xfId="31640" xr:uid="{00000000-0005-0000-0000-0000B9680000}"/>
    <cellStyle name="40% - Accent3 3 2 3 2 2 4" xfId="14689" xr:uid="{00000000-0005-0000-0000-0000BA680000}"/>
    <cellStyle name="40% - Accent3 3 2 3 2 2 4 2" xfId="37291" xr:uid="{00000000-0005-0000-0000-0000BB680000}"/>
    <cellStyle name="40% - Accent3 3 2 3 2 2 5" xfId="25990" xr:uid="{00000000-0005-0000-0000-0000BC680000}"/>
    <cellStyle name="40% - Accent3 3 2 3 2 3" xfId="4986" xr:uid="{00000000-0005-0000-0000-0000BD680000}"/>
    <cellStyle name="40% - Accent3 3 2 3 2 3 2" xfId="10636" xr:uid="{00000000-0005-0000-0000-0000BE680000}"/>
    <cellStyle name="40% - Accent3 3 2 3 2 3 2 2" xfId="21937" xr:uid="{00000000-0005-0000-0000-0000BF680000}"/>
    <cellStyle name="40% - Accent3 3 2 3 2 3 2 2 2" xfId="44539" xr:uid="{00000000-0005-0000-0000-0000C0680000}"/>
    <cellStyle name="40% - Accent3 3 2 3 2 3 2 3" xfId="33238" xr:uid="{00000000-0005-0000-0000-0000C1680000}"/>
    <cellStyle name="40% - Accent3 3 2 3 2 3 3" xfId="16287" xr:uid="{00000000-0005-0000-0000-0000C2680000}"/>
    <cellStyle name="40% - Accent3 3 2 3 2 3 3 2" xfId="38889" xr:uid="{00000000-0005-0000-0000-0000C3680000}"/>
    <cellStyle name="40% - Accent3 3 2 3 2 3 4" xfId="27588" xr:uid="{00000000-0005-0000-0000-0000C4680000}"/>
    <cellStyle name="40% - Accent3 3 2 3 2 4" xfId="7765" xr:uid="{00000000-0005-0000-0000-0000C5680000}"/>
    <cellStyle name="40% - Accent3 3 2 3 2 4 2" xfId="19066" xr:uid="{00000000-0005-0000-0000-0000C6680000}"/>
    <cellStyle name="40% - Accent3 3 2 3 2 4 2 2" xfId="41668" xr:uid="{00000000-0005-0000-0000-0000C7680000}"/>
    <cellStyle name="40% - Accent3 3 2 3 2 4 3" xfId="30367" xr:uid="{00000000-0005-0000-0000-0000C8680000}"/>
    <cellStyle name="40% - Accent3 3 2 3 2 5" xfId="13416" xr:uid="{00000000-0005-0000-0000-0000C9680000}"/>
    <cellStyle name="40% - Accent3 3 2 3 2 5 2" xfId="36018" xr:uid="{00000000-0005-0000-0000-0000CA680000}"/>
    <cellStyle name="40% - Accent3 3 2 3 2 6" xfId="24717" xr:uid="{00000000-0005-0000-0000-0000CB680000}"/>
    <cellStyle name="40% - Accent3 3 2 3 3" xfId="2577" xr:uid="{00000000-0005-0000-0000-0000CC680000}"/>
    <cellStyle name="40% - Accent3 3 2 3 3 2" xfId="5596" xr:uid="{00000000-0005-0000-0000-0000CD680000}"/>
    <cellStyle name="40% - Accent3 3 2 3 3 2 2" xfId="11246" xr:uid="{00000000-0005-0000-0000-0000CE680000}"/>
    <cellStyle name="40% - Accent3 3 2 3 3 2 2 2" xfId="22547" xr:uid="{00000000-0005-0000-0000-0000CF680000}"/>
    <cellStyle name="40% - Accent3 3 2 3 3 2 2 2 2" xfId="45149" xr:uid="{00000000-0005-0000-0000-0000D0680000}"/>
    <cellStyle name="40% - Accent3 3 2 3 3 2 2 3" xfId="33848" xr:uid="{00000000-0005-0000-0000-0000D1680000}"/>
    <cellStyle name="40% - Accent3 3 2 3 3 2 3" xfId="16897" xr:uid="{00000000-0005-0000-0000-0000D2680000}"/>
    <cellStyle name="40% - Accent3 3 2 3 3 2 3 2" xfId="39499" xr:uid="{00000000-0005-0000-0000-0000D3680000}"/>
    <cellStyle name="40% - Accent3 3 2 3 3 2 4" xfId="28198" xr:uid="{00000000-0005-0000-0000-0000D4680000}"/>
    <cellStyle name="40% - Accent3 3 2 3 3 3" xfId="8413" xr:uid="{00000000-0005-0000-0000-0000D5680000}"/>
    <cellStyle name="40% - Accent3 3 2 3 3 3 2" xfId="19714" xr:uid="{00000000-0005-0000-0000-0000D6680000}"/>
    <cellStyle name="40% - Accent3 3 2 3 3 3 2 2" xfId="42316" xr:uid="{00000000-0005-0000-0000-0000D7680000}"/>
    <cellStyle name="40% - Accent3 3 2 3 3 3 3" xfId="31015" xr:uid="{00000000-0005-0000-0000-0000D8680000}"/>
    <cellStyle name="40% - Accent3 3 2 3 3 4" xfId="14064" xr:uid="{00000000-0005-0000-0000-0000D9680000}"/>
    <cellStyle name="40% - Accent3 3 2 3 3 4 2" xfId="36666" xr:uid="{00000000-0005-0000-0000-0000DA680000}"/>
    <cellStyle name="40% - Accent3 3 2 3 3 5" xfId="25365" xr:uid="{00000000-0005-0000-0000-0000DB680000}"/>
    <cellStyle name="40% - Accent3 3 2 3 4" xfId="4362" xr:uid="{00000000-0005-0000-0000-0000DC680000}"/>
    <cellStyle name="40% - Accent3 3 2 3 4 2" xfId="10012" xr:uid="{00000000-0005-0000-0000-0000DD680000}"/>
    <cellStyle name="40% - Accent3 3 2 3 4 2 2" xfId="21313" xr:uid="{00000000-0005-0000-0000-0000DE680000}"/>
    <cellStyle name="40% - Accent3 3 2 3 4 2 2 2" xfId="43915" xr:uid="{00000000-0005-0000-0000-0000DF680000}"/>
    <cellStyle name="40% - Accent3 3 2 3 4 2 3" xfId="32614" xr:uid="{00000000-0005-0000-0000-0000E0680000}"/>
    <cellStyle name="40% - Accent3 3 2 3 4 3" xfId="15663" xr:uid="{00000000-0005-0000-0000-0000E1680000}"/>
    <cellStyle name="40% - Accent3 3 2 3 4 3 2" xfId="38265" xr:uid="{00000000-0005-0000-0000-0000E2680000}"/>
    <cellStyle name="40% - Accent3 3 2 3 4 4" xfId="26964" xr:uid="{00000000-0005-0000-0000-0000E3680000}"/>
    <cellStyle name="40% - Accent3 3 2 3 5" xfId="7159" xr:uid="{00000000-0005-0000-0000-0000E4680000}"/>
    <cellStyle name="40% - Accent3 3 2 3 5 2" xfId="18460" xr:uid="{00000000-0005-0000-0000-0000E5680000}"/>
    <cellStyle name="40% - Accent3 3 2 3 5 2 2" xfId="41062" xr:uid="{00000000-0005-0000-0000-0000E6680000}"/>
    <cellStyle name="40% - Accent3 3 2 3 5 3" xfId="29761" xr:uid="{00000000-0005-0000-0000-0000E7680000}"/>
    <cellStyle name="40% - Accent3 3 2 3 6" xfId="12810" xr:uid="{00000000-0005-0000-0000-0000E8680000}"/>
    <cellStyle name="40% - Accent3 3 2 3 6 2" xfId="35412" xr:uid="{00000000-0005-0000-0000-0000E9680000}"/>
    <cellStyle name="40% - Accent3 3 2 3 7" xfId="24111" xr:uid="{00000000-0005-0000-0000-0000EA680000}"/>
    <cellStyle name="40% - Accent3 3 2 4" xfId="869" xr:uid="{00000000-0005-0000-0000-0000EB680000}"/>
    <cellStyle name="40% - Accent3 3 2 4 2" xfId="2941" xr:uid="{00000000-0005-0000-0000-0000EC680000}"/>
    <cellStyle name="40% - Accent3 3 2 4 2 2" xfId="5913" xr:uid="{00000000-0005-0000-0000-0000ED680000}"/>
    <cellStyle name="40% - Accent3 3 2 4 2 2 2" xfId="11563" xr:uid="{00000000-0005-0000-0000-0000EE680000}"/>
    <cellStyle name="40% - Accent3 3 2 4 2 2 2 2" xfId="22864" xr:uid="{00000000-0005-0000-0000-0000EF680000}"/>
    <cellStyle name="40% - Accent3 3 2 4 2 2 2 2 2" xfId="45466" xr:uid="{00000000-0005-0000-0000-0000F0680000}"/>
    <cellStyle name="40% - Accent3 3 2 4 2 2 2 3" xfId="34165" xr:uid="{00000000-0005-0000-0000-0000F1680000}"/>
    <cellStyle name="40% - Accent3 3 2 4 2 2 3" xfId="17214" xr:uid="{00000000-0005-0000-0000-0000F2680000}"/>
    <cellStyle name="40% - Accent3 3 2 4 2 2 3 2" xfId="39816" xr:uid="{00000000-0005-0000-0000-0000F3680000}"/>
    <cellStyle name="40% - Accent3 3 2 4 2 2 4" xfId="28515" xr:uid="{00000000-0005-0000-0000-0000F4680000}"/>
    <cellStyle name="40% - Accent3 3 2 4 2 3" xfId="8731" xr:uid="{00000000-0005-0000-0000-0000F5680000}"/>
    <cellStyle name="40% - Accent3 3 2 4 2 3 2" xfId="20032" xr:uid="{00000000-0005-0000-0000-0000F6680000}"/>
    <cellStyle name="40% - Accent3 3 2 4 2 3 2 2" xfId="42634" xr:uid="{00000000-0005-0000-0000-0000F7680000}"/>
    <cellStyle name="40% - Accent3 3 2 4 2 3 3" xfId="31333" xr:uid="{00000000-0005-0000-0000-0000F8680000}"/>
    <cellStyle name="40% - Accent3 3 2 4 2 4" xfId="14382" xr:uid="{00000000-0005-0000-0000-0000F9680000}"/>
    <cellStyle name="40% - Accent3 3 2 4 2 4 2" xfId="36984" xr:uid="{00000000-0005-0000-0000-0000FA680000}"/>
    <cellStyle name="40% - Accent3 3 2 4 2 5" xfId="25683" xr:uid="{00000000-0005-0000-0000-0000FB680000}"/>
    <cellStyle name="40% - Accent3 3 2 4 3" xfId="4679" xr:uid="{00000000-0005-0000-0000-0000FC680000}"/>
    <cellStyle name="40% - Accent3 3 2 4 3 2" xfId="10329" xr:uid="{00000000-0005-0000-0000-0000FD680000}"/>
    <cellStyle name="40% - Accent3 3 2 4 3 2 2" xfId="21630" xr:uid="{00000000-0005-0000-0000-0000FE680000}"/>
    <cellStyle name="40% - Accent3 3 2 4 3 2 2 2" xfId="44232" xr:uid="{00000000-0005-0000-0000-0000FF680000}"/>
    <cellStyle name="40% - Accent3 3 2 4 3 2 3" xfId="32931" xr:uid="{00000000-0005-0000-0000-000000690000}"/>
    <cellStyle name="40% - Accent3 3 2 4 3 3" xfId="15980" xr:uid="{00000000-0005-0000-0000-000001690000}"/>
    <cellStyle name="40% - Accent3 3 2 4 3 3 2" xfId="38582" xr:uid="{00000000-0005-0000-0000-000002690000}"/>
    <cellStyle name="40% - Accent3 3 2 4 3 4" xfId="27281" xr:uid="{00000000-0005-0000-0000-000003690000}"/>
    <cellStyle name="40% - Accent3 3 2 4 4" xfId="6866" xr:uid="{00000000-0005-0000-0000-000004690000}"/>
    <cellStyle name="40% - Accent3 3 2 4 4 2" xfId="18167" xr:uid="{00000000-0005-0000-0000-000005690000}"/>
    <cellStyle name="40% - Accent3 3 2 4 4 2 2" xfId="40769" xr:uid="{00000000-0005-0000-0000-000006690000}"/>
    <cellStyle name="40% - Accent3 3 2 4 4 3" xfId="29468" xr:uid="{00000000-0005-0000-0000-000007690000}"/>
    <cellStyle name="40% - Accent3 3 2 4 5" xfId="12517" xr:uid="{00000000-0005-0000-0000-000008690000}"/>
    <cellStyle name="40% - Accent3 3 2 4 5 2" xfId="35119" xr:uid="{00000000-0005-0000-0000-000009690000}"/>
    <cellStyle name="40% - Accent3 3 2 4 6" xfId="23818" xr:uid="{00000000-0005-0000-0000-00000A690000}"/>
    <cellStyle name="40% - Accent3 3 2 5" xfId="1906" xr:uid="{00000000-0005-0000-0000-00000B690000}"/>
    <cellStyle name="40% - Accent3 3 2 5 2" xfId="3754" xr:uid="{00000000-0005-0000-0000-00000C690000}"/>
    <cellStyle name="40% - Accent3 3 2 5 2 2" xfId="9464" xr:uid="{00000000-0005-0000-0000-00000D690000}"/>
    <cellStyle name="40% - Accent3 3 2 5 2 2 2" xfId="20765" xr:uid="{00000000-0005-0000-0000-00000E690000}"/>
    <cellStyle name="40% - Accent3 3 2 5 2 2 2 2" xfId="43367" xr:uid="{00000000-0005-0000-0000-00000F690000}"/>
    <cellStyle name="40% - Accent3 3 2 5 2 2 3" xfId="32066" xr:uid="{00000000-0005-0000-0000-000010690000}"/>
    <cellStyle name="40% - Accent3 3 2 5 2 3" xfId="15115" xr:uid="{00000000-0005-0000-0000-000011690000}"/>
    <cellStyle name="40% - Accent3 3 2 5 2 3 2" xfId="37717" xr:uid="{00000000-0005-0000-0000-000012690000}"/>
    <cellStyle name="40% - Accent3 3 2 5 2 4" xfId="26416" xr:uid="{00000000-0005-0000-0000-000013690000}"/>
    <cellStyle name="40% - Accent3 3 2 5 3" xfId="5289" xr:uid="{00000000-0005-0000-0000-000014690000}"/>
    <cellStyle name="40% - Accent3 3 2 5 3 2" xfId="10939" xr:uid="{00000000-0005-0000-0000-000015690000}"/>
    <cellStyle name="40% - Accent3 3 2 5 3 2 2" xfId="22240" xr:uid="{00000000-0005-0000-0000-000016690000}"/>
    <cellStyle name="40% - Accent3 3 2 5 3 2 2 2" xfId="44842" xr:uid="{00000000-0005-0000-0000-000017690000}"/>
    <cellStyle name="40% - Accent3 3 2 5 3 2 3" xfId="33541" xr:uid="{00000000-0005-0000-0000-000018690000}"/>
    <cellStyle name="40% - Accent3 3 2 5 3 3" xfId="16590" xr:uid="{00000000-0005-0000-0000-000019690000}"/>
    <cellStyle name="40% - Accent3 3 2 5 3 3 2" xfId="39192" xr:uid="{00000000-0005-0000-0000-00001A690000}"/>
    <cellStyle name="40% - Accent3 3 2 5 3 4" xfId="27891" xr:uid="{00000000-0005-0000-0000-00001B690000}"/>
    <cellStyle name="40% - Accent3 3 2 5 4" xfId="7762" xr:uid="{00000000-0005-0000-0000-00001C690000}"/>
    <cellStyle name="40% - Accent3 3 2 5 4 2" xfId="19063" xr:uid="{00000000-0005-0000-0000-00001D690000}"/>
    <cellStyle name="40% - Accent3 3 2 5 4 2 2" xfId="41665" xr:uid="{00000000-0005-0000-0000-00001E690000}"/>
    <cellStyle name="40% - Accent3 3 2 5 4 3" xfId="30364" xr:uid="{00000000-0005-0000-0000-00001F690000}"/>
    <cellStyle name="40% - Accent3 3 2 5 5" xfId="13413" xr:uid="{00000000-0005-0000-0000-000020690000}"/>
    <cellStyle name="40% - Accent3 3 2 5 5 2" xfId="36015" xr:uid="{00000000-0005-0000-0000-000021690000}"/>
    <cellStyle name="40% - Accent3 3 2 5 6" xfId="24714" xr:uid="{00000000-0005-0000-0000-000022690000}"/>
    <cellStyle name="40% - Accent3 3 2 6" xfId="2267" xr:uid="{00000000-0005-0000-0000-000023690000}"/>
    <cellStyle name="40% - Accent3 3 2 6 2" xfId="8103" xr:uid="{00000000-0005-0000-0000-000024690000}"/>
    <cellStyle name="40% - Accent3 3 2 6 2 2" xfId="19404" xr:uid="{00000000-0005-0000-0000-000025690000}"/>
    <cellStyle name="40% - Accent3 3 2 6 2 2 2" xfId="42006" xr:uid="{00000000-0005-0000-0000-000026690000}"/>
    <cellStyle name="40% - Accent3 3 2 6 2 3" xfId="30705" xr:uid="{00000000-0005-0000-0000-000027690000}"/>
    <cellStyle name="40% - Accent3 3 2 6 3" xfId="13754" xr:uid="{00000000-0005-0000-0000-000028690000}"/>
    <cellStyle name="40% - Accent3 3 2 6 3 2" xfId="36356" xr:uid="{00000000-0005-0000-0000-000029690000}"/>
    <cellStyle name="40% - Accent3 3 2 6 4" xfId="25055" xr:uid="{00000000-0005-0000-0000-00002A690000}"/>
    <cellStyle name="40% - Accent3 3 2 7" xfId="4055" xr:uid="{00000000-0005-0000-0000-00002B690000}"/>
    <cellStyle name="40% - Accent3 3 2 7 2" xfId="9705" xr:uid="{00000000-0005-0000-0000-00002C690000}"/>
    <cellStyle name="40% - Accent3 3 2 7 2 2" xfId="21006" xr:uid="{00000000-0005-0000-0000-00002D690000}"/>
    <cellStyle name="40% - Accent3 3 2 7 2 2 2" xfId="43608" xr:uid="{00000000-0005-0000-0000-00002E690000}"/>
    <cellStyle name="40% - Accent3 3 2 7 2 3" xfId="32307" xr:uid="{00000000-0005-0000-0000-00002F690000}"/>
    <cellStyle name="40% - Accent3 3 2 7 3" xfId="15356" xr:uid="{00000000-0005-0000-0000-000030690000}"/>
    <cellStyle name="40% - Accent3 3 2 7 3 2" xfId="37958" xr:uid="{00000000-0005-0000-0000-000031690000}"/>
    <cellStyle name="40% - Accent3 3 2 7 4" xfId="26657" xr:uid="{00000000-0005-0000-0000-000032690000}"/>
    <cellStyle name="40% - Accent3 3 2 8" xfId="6506" xr:uid="{00000000-0005-0000-0000-000033690000}"/>
    <cellStyle name="40% - Accent3 3 2 8 2" xfId="17807" xr:uid="{00000000-0005-0000-0000-000034690000}"/>
    <cellStyle name="40% - Accent3 3 2 8 2 2" xfId="40409" xr:uid="{00000000-0005-0000-0000-000035690000}"/>
    <cellStyle name="40% - Accent3 3 2 8 3" xfId="29108" xr:uid="{00000000-0005-0000-0000-000036690000}"/>
    <cellStyle name="40% - Accent3 3 2 9" xfId="12157" xr:uid="{00000000-0005-0000-0000-000037690000}"/>
    <cellStyle name="40% - Accent3 3 2 9 2" xfId="34759" xr:uid="{00000000-0005-0000-0000-000038690000}"/>
    <cellStyle name="40% - Accent3 3 3" xfId="412" xr:uid="{00000000-0005-0000-0000-000039690000}"/>
    <cellStyle name="40% - Accent3 3 3 10" xfId="23507" xr:uid="{00000000-0005-0000-0000-00003A690000}"/>
    <cellStyle name="40% - Accent3 3 3 2" xfId="657" xr:uid="{00000000-0005-0000-0000-00003B690000}"/>
    <cellStyle name="40% - Accent3 3 3 2 2" xfId="1367" xr:uid="{00000000-0005-0000-0000-00003C690000}"/>
    <cellStyle name="40% - Accent3 3 3 2 2 2" xfId="1912" xr:uid="{00000000-0005-0000-0000-00003D690000}"/>
    <cellStyle name="40% - Accent3 3 3 2 2 2 2" xfId="3436" xr:uid="{00000000-0005-0000-0000-00003E690000}"/>
    <cellStyle name="40% - Accent3 3 3 2 2 2 2 2" xfId="6408" xr:uid="{00000000-0005-0000-0000-00003F690000}"/>
    <cellStyle name="40% - Accent3 3 3 2 2 2 2 2 2" xfId="12058" xr:uid="{00000000-0005-0000-0000-000040690000}"/>
    <cellStyle name="40% - Accent3 3 3 2 2 2 2 2 2 2" xfId="23359" xr:uid="{00000000-0005-0000-0000-000041690000}"/>
    <cellStyle name="40% - Accent3 3 3 2 2 2 2 2 2 2 2" xfId="45961" xr:uid="{00000000-0005-0000-0000-000042690000}"/>
    <cellStyle name="40% - Accent3 3 3 2 2 2 2 2 2 3" xfId="34660" xr:uid="{00000000-0005-0000-0000-000043690000}"/>
    <cellStyle name="40% - Accent3 3 3 2 2 2 2 2 3" xfId="17709" xr:uid="{00000000-0005-0000-0000-000044690000}"/>
    <cellStyle name="40% - Accent3 3 3 2 2 2 2 2 3 2" xfId="40311" xr:uid="{00000000-0005-0000-0000-000045690000}"/>
    <cellStyle name="40% - Accent3 3 3 2 2 2 2 2 4" xfId="29010" xr:uid="{00000000-0005-0000-0000-000046690000}"/>
    <cellStyle name="40% - Accent3 3 3 2 2 2 2 3" xfId="9226" xr:uid="{00000000-0005-0000-0000-000047690000}"/>
    <cellStyle name="40% - Accent3 3 3 2 2 2 2 3 2" xfId="20527" xr:uid="{00000000-0005-0000-0000-000048690000}"/>
    <cellStyle name="40% - Accent3 3 3 2 2 2 2 3 2 2" xfId="43129" xr:uid="{00000000-0005-0000-0000-000049690000}"/>
    <cellStyle name="40% - Accent3 3 3 2 2 2 2 3 3" xfId="31828" xr:uid="{00000000-0005-0000-0000-00004A690000}"/>
    <cellStyle name="40% - Accent3 3 3 2 2 2 2 4" xfId="14877" xr:uid="{00000000-0005-0000-0000-00004B690000}"/>
    <cellStyle name="40% - Accent3 3 3 2 2 2 2 4 2" xfId="37479" xr:uid="{00000000-0005-0000-0000-00004C690000}"/>
    <cellStyle name="40% - Accent3 3 3 2 2 2 2 5" xfId="26178" xr:uid="{00000000-0005-0000-0000-00004D690000}"/>
    <cellStyle name="40% - Accent3 3 3 2 2 2 3" xfId="5174" xr:uid="{00000000-0005-0000-0000-00004E690000}"/>
    <cellStyle name="40% - Accent3 3 3 2 2 2 3 2" xfId="10824" xr:uid="{00000000-0005-0000-0000-00004F690000}"/>
    <cellStyle name="40% - Accent3 3 3 2 2 2 3 2 2" xfId="22125" xr:uid="{00000000-0005-0000-0000-000050690000}"/>
    <cellStyle name="40% - Accent3 3 3 2 2 2 3 2 2 2" xfId="44727" xr:uid="{00000000-0005-0000-0000-000051690000}"/>
    <cellStyle name="40% - Accent3 3 3 2 2 2 3 2 3" xfId="33426" xr:uid="{00000000-0005-0000-0000-000052690000}"/>
    <cellStyle name="40% - Accent3 3 3 2 2 2 3 3" xfId="16475" xr:uid="{00000000-0005-0000-0000-000053690000}"/>
    <cellStyle name="40% - Accent3 3 3 2 2 2 3 3 2" xfId="39077" xr:uid="{00000000-0005-0000-0000-000054690000}"/>
    <cellStyle name="40% - Accent3 3 3 2 2 2 3 4" xfId="27776" xr:uid="{00000000-0005-0000-0000-000055690000}"/>
    <cellStyle name="40% - Accent3 3 3 2 2 2 4" xfId="7768" xr:uid="{00000000-0005-0000-0000-000056690000}"/>
    <cellStyle name="40% - Accent3 3 3 2 2 2 4 2" xfId="19069" xr:uid="{00000000-0005-0000-0000-000057690000}"/>
    <cellStyle name="40% - Accent3 3 3 2 2 2 4 2 2" xfId="41671" xr:uid="{00000000-0005-0000-0000-000058690000}"/>
    <cellStyle name="40% - Accent3 3 3 2 2 2 4 3" xfId="30370" xr:uid="{00000000-0005-0000-0000-000059690000}"/>
    <cellStyle name="40% - Accent3 3 3 2 2 2 5" xfId="13419" xr:uid="{00000000-0005-0000-0000-00005A690000}"/>
    <cellStyle name="40% - Accent3 3 3 2 2 2 5 2" xfId="36021" xr:uid="{00000000-0005-0000-0000-00005B690000}"/>
    <cellStyle name="40% - Accent3 3 3 2 2 2 6" xfId="24720" xr:uid="{00000000-0005-0000-0000-00005C690000}"/>
    <cellStyle name="40% - Accent3 3 3 2 2 3" xfId="2765" xr:uid="{00000000-0005-0000-0000-00005D690000}"/>
    <cellStyle name="40% - Accent3 3 3 2 2 3 2" xfId="5784" xr:uid="{00000000-0005-0000-0000-00005E690000}"/>
    <cellStyle name="40% - Accent3 3 3 2 2 3 2 2" xfId="11434" xr:uid="{00000000-0005-0000-0000-00005F690000}"/>
    <cellStyle name="40% - Accent3 3 3 2 2 3 2 2 2" xfId="22735" xr:uid="{00000000-0005-0000-0000-000060690000}"/>
    <cellStyle name="40% - Accent3 3 3 2 2 3 2 2 2 2" xfId="45337" xr:uid="{00000000-0005-0000-0000-000061690000}"/>
    <cellStyle name="40% - Accent3 3 3 2 2 3 2 2 3" xfId="34036" xr:uid="{00000000-0005-0000-0000-000062690000}"/>
    <cellStyle name="40% - Accent3 3 3 2 2 3 2 3" xfId="17085" xr:uid="{00000000-0005-0000-0000-000063690000}"/>
    <cellStyle name="40% - Accent3 3 3 2 2 3 2 3 2" xfId="39687" xr:uid="{00000000-0005-0000-0000-000064690000}"/>
    <cellStyle name="40% - Accent3 3 3 2 2 3 2 4" xfId="28386" xr:uid="{00000000-0005-0000-0000-000065690000}"/>
    <cellStyle name="40% - Accent3 3 3 2 2 3 3" xfId="8601" xr:uid="{00000000-0005-0000-0000-000066690000}"/>
    <cellStyle name="40% - Accent3 3 3 2 2 3 3 2" xfId="19902" xr:uid="{00000000-0005-0000-0000-000067690000}"/>
    <cellStyle name="40% - Accent3 3 3 2 2 3 3 2 2" xfId="42504" xr:uid="{00000000-0005-0000-0000-000068690000}"/>
    <cellStyle name="40% - Accent3 3 3 2 2 3 3 3" xfId="31203" xr:uid="{00000000-0005-0000-0000-000069690000}"/>
    <cellStyle name="40% - Accent3 3 3 2 2 3 4" xfId="14252" xr:uid="{00000000-0005-0000-0000-00006A690000}"/>
    <cellStyle name="40% - Accent3 3 3 2 2 3 4 2" xfId="36854" xr:uid="{00000000-0005-0000-0000-00006B690000}"/>
    <cellStyle name="40% - Accent3 3 3 2 2 3 5" xfId="25553" xr:uid="{00000000-0005-0000-0000-00006C690000}"/>
    <cellStyle name="40% - Accent3 3 3 2 2 4" xfId="4550" xr:uid="{00000000-0005-0000-0000-00006D690000}"/>
    <cellStyle name="40% - Accent3 3 3 2 2 4 2" xfId="10200" xr:uid="{00000000-0005-0000-0000-00006E690000}"/>
    <cellStyle name="40% - Accent3 3 3 2 2 4 2 2" xfId="21501" xr:uid="{00000000-0005-0000-0000-00006F690000}"/>
    <cellStyle name="40% - Accent3 3 3 2 2 4 2 2 2" xfId="44103" xr:uid="{00000000-0005-0000-0000-000070690000}"/>
    <cellStyle name="40% - Accent3 3 3 2 2 4 2 3" xfId="32802" xr:uid="{00000000-0005-0000-0000-000071690000}"/>
    <cellStyle name="40% - Accent3 3 3 2 2 4 3" xfId="15851" xr:uid="{00000000-0005-0000-0000-000072690000}"/>
    <cellStyle name="40% - Accent3 3 3 2 2 4 3 2" xfId="38453" xr:uid="{00000000-0005-0000-0000-000073690000}"/>
    <cellStyle name="40% - Accent3 3 3 2 2 4 4" xfId="27152" xr:uid="{00000000-0005-0000-0000-000074690000}"/>
    <cellStyle name="40% - Accent3 3 3 2 2 5" xfId="7346" xr:uid="{00000000-0005-0000-0000-000075690000}"/>
    <cellStyle name="40% - Accent3 3 3 2 2 5 2" xfId="18647" xr:uid="{00000000-0005-0000-0000-000076690000}"/>
    <cellStyle name="40% - Accent3 3 3 2 2 5 2 2" xfId="41249" xr:uid="{00000000-0005-0000-0000-000077690000}"/>
    <cellStyle name="40% - Accent3 3 3 2 2 5 3" xfId="29948" xr:uid="{00000000-0005-0000-0000-000078690000}"/>
    <cellStyle name="40% - Accent3 3 3 2 2 6" xfId="12997" xr:uid="{00000000-0005-0000-0000-000079690000}"/>
    <cellStyle name="40% - Accent3 3 3 2 2 6 2" xfId="35599" xr:uid="{00000000-0005-0000-0000-00007A690000}"/>
    <cellStyle name="40% - Accent3 3 3 2 2 7" xfId="24298" xr:uid="{00000000-0005-0000-0000-00007B690000}"/>
    <cellStyle name="40% - Accent3 3 3 2 3" xfId="1065" xr:uid="{00000000-0005-0000-0000-00007C690000}"/>
    <cellStyle name="40% - Accent3 3 3 2 3 2" xfId="3128" xr:uid="{00000000-0005-0000-0000-00007D690000}"/>
    <cellStyle name="40% - Accent3 3 3 2 3 2 2" xfId="6100" xr:uid="{00000000-0005-0000-0000-00007E690000}"/>
    <cellStyle name="40% - Accent3 3 3 2 3 2 2 2" xfId="11750" xr:uid="{00000000-0005-0000-0000-00007F690000}"/>
    <cellStyle name="40% - Accent3 3 3 2 3 2 2 2 2" xfId="23051" xr:uid="{00000000-0005-0000-0000-000080690000}"/>
    <cellStyle name="40% - Accent3 3 3 2 3 2 2 2 2 2" xfId="45653" xr:uid="{00000000-0005-0000-0000-000081690000}"/>
    <cellStyle name="40% - Accent3 3 3 2 3 2 2 2 3" xfId="34352" xr:uid="{00000000-0005-0000-0000-000082690000}"/>
    <cellStyle name="40% - Accent3 3 3 2 3 2 2 3" xfId="17401" xr:uid="{00000000-0005-0000-0000-000083690000}"/>
    <cellStyle name="40% - Accent3 3 3 2 3 2 2 3 2" xfId="40003" xr:uid="{00000000-0005-0000-0000-000084690000}"/>
    <cellStyle name="40% - Accent3 3 3 2 3 2 2 4" xfId="28702" xr:uid="{00000000-0005-0000-0000-000085690000}"/>
    <cellStyle name="40% - Accent3 3 3 2 3 2 3" xfId="8918" xr:uid="{00000000-0005-0000-0000-000086690000}"/>
    <cellStyle name="40% - Accent3 3 3 2 3 2 3 2" xfId="20219" xr:uid="{00000000-0005-0000-0000-000087690000}"/>
    <cellStyle name="40% - Accent3 3 3 2 3 2 3 2 2" xfId="42821" xr:uid="{00000000-0005-0000-0000-000088690000}"/>
    <cellStyle name="40% - Accent3 3 3 2 3 2 3 3" xfId="31520" xr:uid="{00000000-0005-0000-0000-000089690000}"/>
    <cellStyle name="40% - Accent3 3 3 2 3 2 4" xfId="14569" xr:uid="{00000000-0005-0000-0000-00008A690000}"/>
    <cellStyle name="40% - Accent3 3 3 2 3 2 4 2" xfId="37171" xr:uid="{00000000-0005-0000-0000-00008B690000}"/>
    <cellStyle name="40% - Accent3 3 3 2 3 2 5" xfId="25870" xr:uid="{00000000-0005-0000-0000-00008C690000}"/>
    <cellStyle name="40% - Accent3 3 3 2 3 3" xfId="4866" xr:uid="{00000000-0005-0000-0000-00008D690000}"/>
    <cellStyle name="40% - Accent3 3 3 2 3 3 2" xfId="10516" xr:uid="{00000000-0005-0000-0000-00008E690000}"/>
    <cellStyle name="40% - Accent3 3 3 2 3 3 2 2" xfId="21817" xr:uid="{00000000-0005-0000-0000-00008F690000}"/>
    <cellStyle name="40% - Accent3 3 3 2 3 3 2 2 2" xfId="44419" xr:uid="{00000000-0005-0000-0000-000090690000}"/>
    <cellStyle name="40% - Accent3 3 3 2 3 3 2 3" xfId="33118" xr:uid="{00000000-0005-0000-0000-000091690000}"/>
    <cellStyle name="40% - Accent3 3 3 2 3 3 3" xfId="16167" xr:uid="{00000000-0005-0000-0000-000092690000}"/>
    <cellStyle name="40% - Accent3 3 3 2 3 3 3 2" xfId="38769" xr:uid="{00000000-0005-0000-0000-000093690000}"/>
    <cellStyle name="40% - Accent3 3 3 2 3 3 4" xfId="27468" xr:uid="{00000000-0005-0000-0000-000094690000}"/>
    <cellStyle name="40% - Accent3 3 3 2 3 4" xfId="7053" xr:uid="{00000000-0005-0000-0000-000095690000}"/>
    <cellStyle name="40% - Accent3 3 3 2 3 4 2" xfId="18354" xr:uid="{00000000-0005-0000-0000-000096690000}"/>
    <cellStyle name="40% - Accent3 3 3 2 3 4 2 2" xfId="40956" xr:uid="{00000000-0005-0000-0000-000097690000}"/>
    <cellStyle name="40% - Accent3 3 3 2 3 4 3" xfId="29655" xr:uid="{00000000-0005-0000-0000-000098690000}"/>
    <cellStyle name="40% - Accent3 3 3 2 3 5" xfId="12704" xr:uid="{00000000-0005-0000-0000-000099690000}"/>
    <cellStyle name="40% - Accent3 3 3 2 3 5 2" xfId="35306" xr:uid="{00000000-0005-0000-0000-00009A690000}"/>
    <cellStyle name="40% - Accent3 3 3 2 3 6" xfId="24005" xr:uid="{00000000-0005-0000-0000-00009B690000}"/>
    <cellStyle name="40% - Accent3 3 3 2 4" xfId="1911" xr:uid="{00000000-0005-0000-0000-00009C690000}"/>
    <cellStyle name="40% - Accent3 3 3 2 4 2" xfId="3757" xr:uid="{00000000-0005-0000-0000-00009D690000}"/>
    <cellStyle name="40% - Accent3 3 3 2 4 2 2" xfId="9467" xr:uid="{00000000-0005-0000-0000-00009E690000}"/>
    <cellStyle name="40% - Accent3 3 3 2 4 2 2 2" xfId="20768" xr:uid="{00000000-0005-0000-0000-00009F690000}"/>
    <cellStyle name="40% - Accent3 3 3 2 4 2 2 2 2" xfId="43370" xr:uid="{00000000-0005-0000-0000-0000A0690000}"/>
    <cellStyle name="40% - Accent3 3 3 2 4 2 2 3" xfId="32069" xr:uid="{00000000-0005-0000-0000-0000A1690000}"/>
    <cellStyle name="40% - Accent3 3 3 2 4 2 3" xfId="15118" xr:uid="{00000000-0005-0000-0000-0000A2690000}"/>
    <cellStyle name="40% - Accent3 3 3 2 4 2 3 2" xfId="37720" xr:uid="{00000000-0005-0000-0000-0000A3690000}"/>
    <cellStyle name="40% - Accent3 3 3 2 4 2 4" xfId="26419" xr:uid="{00000000-0005-0000-0000-0000A4690000}"/>
    <cellStyle name="40% - Accent3 3 3 2 4 3" xfId="5476" xr:uid="{00000000-0005-0000-0000-0000A5690000}"/>
    <cellStyle name="40% - Accent3 3 3 2 4 3 2" xfId="11126" xr:uid="{00000000-0005-0000-0000-0000A6690000}"/>
    <cellStyle name="40% - Accent3 3 3 2 4 3 2 2" xfId="22427" xr:uid="{00000000-0005-0000-0000-0000A7690000}"/>
    <cellStyle name="40% - Accent3 3 3 2 4 3 2 2 2" xfId="45029" xr:uid="{00000000-0005-0000-0000-0000A8690000}"/>
    <cellStyle name="40% - Accent3 3 3 2 4 3 2 3" xfId="33728" xr:uid="{00000000-0005-0000-0000-0000A9690000}"/>
    <cellStyle name="40% - Accent3 3 3 2 4 3 3" xfId="16777" xr:uid="{00000000-0005-0000-0000-0000AA690000}"/>
    <cellStyle name="40% - Accent3 3 3 2 4 3 3 2" xfId="39379" xr:uid="{00000000-0005-0000-0000-0000AB690000}"/>
    <cellStyle name="40% - Accent3 3 3 2 4 3 4" xfId="28078" xr:uid="{00000000-0005-0000-0000-0000AC690000}"/>
    <cellStyle name="40% - Accent3 3 3 2 4 4" xfId="7767" xr:uid="{00000000-0005-0000-0000-0000AD690000}"/>
    <cellStyle name="40% - Accent3 3 3 2 4 4 2" xfId="19068" xr:uid="{00000000-0005-0000-0000-0000AE690000}"/>
    <cellStyle name="40% - Accent3 3 3 2 4 4 2 2" xfId="41670" xr:uid="{00000000-0005-0000-0000-0000AF690000}"/>
    <cellStyle name="40% - Accent3 3 3 2 4 4 3" xfId="30369" xr:uid="{00000000-0005-0000-0000-0000B0690000}"/>
    <cellStyle name="40% - Accent3 3 3 2 4 5" xfId="13418" xr:uid="{00000000-0005-0000-0000-0000B1690000}"/>
    <cellStyle name="40% - Accent3 3 3 2 4 5 2" xfId="36020" xr:uid="{00000000-0005-0000-0000-0000B2690000}"/>
    <cellStyle name="40% - Accent3 3 3 2 4 6" xfId="24719" xr:uid="{00000000-0005-0000-0000-0000B3690000}"/>
    <cellStyle name="40% - Accent3 3 3 2 5" xfId="2457" xr:uid="{00000000-0005-0000-0000-0000B4690000}"/>
    <cellStyle name="40% - Accent3 3 3 2 5 2" xfId="8293" xr:uid="{00000000-0005-0000-0000-0000B5690000}"/>
    <cellStyle name="40% - Accent3 3 3 2 5 2 2" xfId="19594" xr:uid="{00000000-0005-0000-0000-0000B6690000}"/>
    <cellStyle name="40% - Accent3 3 3 2 5 2 2 2" xfId="42196" xr:uid="{00000000-0005-0000-0000-0000B7690000}"/>
    <cellStyle name="40% - Accent3 3 3 2 5 2 3" xfId="30895" xr:uid="{00000000-0005-0000-0000-0000B8690000}"/>
    <cellStyle name="40% - Accent3 3 3 2 5 3" xfId="13944" xr:uid="{00000000-0005-0000-0000-0000B9690000}"/>
    <cellStyle name="40% - Accent3 3 3 2 5 3 2" xfId="36546" xr:uid="{00000000-0005-0000-0000-0000BA690000}"/>
    <cellStyle name="40% - Accent3 3 3 2 5 4" xfId="25245" xr:uid="{00000000-0005-0000-0000-0000BB690000}"/>
    <cellStyle name="40% - Accent3 3 3 2 6" xfId="4242" xr:uid="{00000000-0005-0000-0000-0000BC690000}"/>
    <cellStyle name="40% - Accent3 3 3 2 6 2" xfId="9892" xr:uid="{00000000-0005-0000-0000-0000BD690000}"/>
    <cellStyle name="40% - Accent3 3 3 2 6 2 2" xfId="21193" xr:uid="{00000000-0005-0000-0000-0000BE690000}"/>
    <cellStyle name="40% - Accent3 3 3 2 6 2 2 2" xfId="43795" xr:uid="{00000000-0005-0000-0000-0000BF690000}"/>
    <cellStyle name="40% - Accent3 3 3 2 6 2 3" xfId="32494" xr:uid="{00000000-0005-0000-0000-0000C0690000}"/>
    <cellStyle name="40% - Accent3 3 3 2 6 3" xfId="15543" xr:uid="{00000000-0005-0000-0000-0000C1690000}"/>
    <cellStyle name="40% - Accent3 3 3 2 6 3 2" xfId="38145" xr:uid="{00000000-0005-0000-0000-0000C2690000}"/>
    <cellStyle name="40% - Accent3 3 3 2 6 4" xfId="26844" xr:uid="{00000000-0005-0000-0000-0000C3690000}"/>
    <cellStyle name="40% - Accent3 3 3 2 7" xfId="6722" xr:uid="{00000000-0005-0000-0000-0000C4690000}"/>
    <cellStyle name="40% - Accent3 3 3 2 7 2" xfId="18023" xr:uid="{00000000-0005-0000-0000-0000C5690000}"/>
    <cellStyle name="40% - Accent3 3 3 2 7 2 2" xfId="40625" xr:uid="{00000000-0005-0000-0000-0000C6690000}"/>
    <cellStyle name="40% - Accent3 3 3 2 7 3" xfId="29324" xr:uid="{00000000-0005-0000-0000-0000C7690000}"/>
    <cellStyle name="40% - Accent3 3 3 2 8" xfId="12373" xr:uid="{00000000-0005-0000-0000-0000C8690000}"/>
    <cellStyle name="40% - Accent3 3 3 2 8 2" xfId="34975" xr:uid="{00000000-0005-0000-0000-0000C9690000}"/>
    <cellStyle name="40% - Accent3 3 3 2 9" xfId="23674" xr:uid="{00000000-0005-0000-0000-0000CA690000}"/>
    <cellStyle name="40% - Accent3 3 3 3" xfId="1229" xr:uid="{00000000-0005-0000-0000-0000CB690000}"/>
    <cellStyle name="40% - Accent3 3 3 3 2" xfId="1913" xr:uid="{00000000-0005-0000-0000-0000CC690000}"/>
    <cellStyle name="40% - Accent3 3 3 3 2 2" xfId="3297" xr:uid="{00000000-0005-0000-0000-0000CD690000}"/>
    <cellStyle name="40% - Accent3 3 3 3 2 2 2" xfId="6269" xr:uid="{00000000-0005-0000-0000-0000CE690000}"/>
    <cellStyle name="40% - Accent3 3 3 3 2 2 2 2" xfId="11919" xr:uid="{00000000-0005-0000-0000-0000CF690000}"/>
    <cellStyle name="40% - Accent3 3 3 3 2 2 2 2 2" xfId="23220" xr:uid="{00000000-0005-0000-0000-0000D0690000}"/>
    <cellStyle name="40% - Accent3 3 3 3 2 2 2 2 2 2" xfId="45822" xr:uid="{00000000-0005-0000-0000-0000D1690000}"/>
    <cellStyle name="40% - Accent3 3 3 3 2 2 2 2 3" xfId="34521" xr:uid="{00000000-0005-0000-0000-0000D2690000}"/>
    <cellStyle name="40% - Accent3 3 3 3 2 2 2 3" xfId="17570" xr:uid="{00000000-0005-0000-0000-0000D3690000}"/>
    <cellStyle name="40% - Accent3 3 3 3 2 2 2 3 2" xfId="40172" xr:uid="{00000000-0005-0000-0000-0000D4690000}"/>
    <cellStyle name="40% - Accent3 3 3 3 2 2 2 4" xfId="28871" xr:uid="{00000000-0005-0000-0000-0000D5690000}"/>
    <cellStyle name="40% - Accent3 3 3 3 2 2 3" xfId="9087" xr:uid="{00000000-0005-0000-0000-0000D6690000}"/>
    <cellStyle name="40% - Accent3 3 3 3 2 2 3 2" xfId="20388" xr:uid="{00000000-0005-0000-0000-0000D7690000}"/>
    <cellStyle name="40% - Accent3 3 3 3 2 2 3 2 2" xfId="42990" xr:uid="{00000000-0005-0000-0000-0000D8690000}"/>
    <cellStyle name="40% - Accent3 3 3 3 2 2 3 3" xfId="31689" xr:uid="{00000000-0005-0000-0000-0000D9690000}"/>
    <cellStyle name="40% - Accent3 3 3 3 2 2 4" xfId="14738" xr:uid="{00000000-0005-0000-0000-0000DA690000}"/>
    <cellStyle name="40% - Accent3 3 3 3 2 2 4 2" xfId="37340" xr:uid="{00000000-0005-0000-0000-0000DB690000}"/>
    <cellStyle name="40% - Accent3 3 3 3 2 2 5" xfId="26039" xr:uid="{00000000-0005-0000-0000-0000DC690000}"/>
    <cellStyle name="40% - Accent3 3 3 3 2 3" xfId="5035" xr:uid="{00000000-0005-0000-0000-0000DD690000}"/>
    <cellStyle name="40% - Accent3 3 3 3 2 3 2" xfId="10685" xr:uid="{00000000-0005-0000-0000-0000DE690000}"/>
    <cellStyle name="40% - Accent3 3 3 3 2 3 2 2" xfId="21986" xr:uid="{00000000-0005-0000-0000-0000DF690000}"/>
    <cellStyle name="40% - Accent3 3 3 3 2 3 2 2 2" xfId="44588" xr:uid="{00000000-0005-0000-0000-0000E0690000}"/>
    <cellStyle name="40% - Accent3 3 3 3 2 3 2 3" xfId="33287" xr:uid="{00000000-0005-0000-0000-0000E1690000}"/>
    <cellStyle name="40% - Accent3 3 3 3 2 3 3" xfId="16336" xr:uid="{00000000-0005-0000-0000-0000E2690000}"/>
    <cellStyle name="40% - Accent3 3 3 3 2 3 3 2" xfId="38938" xr:uid="{00000000-0005-0000-0000-0000E3690000}"/>
    <cellStyle name="40% - Accent3 3 3 3 2 3 4" xfId="27637" xr:uid="{00000000-0005-0000-0000-0000E4690000}"/>
    <cellStyle name="40% - Accent3 3 3 3 2 4" xfId="7769" xr:uid="{00000000-0005-0000-0000-0000E5690000}"/>
    <cellStyle name="40% - Accent3 3 3 3 2 4 2" xfId="19070" xr:uid="{00000000-0005-0000-0000-0000E6690000}"/>
    <cellStyle name="40% - Accent3 3 3 3 2 4 2 2" xfId="41672" xr:uid="{00000000-0005-0000-0000-0000E7690000}"/>
    <cellStyle name="40% - Accent3 3 3 3 2 4 3" xfId="30371" xr:uid="{00000000-0005-0000-0000-0000E8690000}"/>
    <cellStyle name="40% - Accent3 3 3 3 2 5" xfId="13420" xr:uid="{00000000-0005-0000-0000-0000E9690000}"/>
    <cellStyle name="40% - Accent3 3 3 3 2 5 2" xfId="36022" xr:uid="{00000000-0005-0000-0000-0000EA690000}"/>
    <cellStyle name="40% - Accent3 3 3 3 2 6" xfId="24721" xr:uid="{00000000-0005-0000-0000-0000EB690000}"/>
    <cellStyle name="40% - Accent3 3 3 3 3" xfId="2626" xr:uid="{00000000-0005-0000-0000-0000EC690000}"/>
    <cellStyle name="40% - Accent3 3 3 3 3 2" xfId="5645" xr:uid="{00000000-0005-0000-0000-0000ED690000}"/>
    <cellStyle name="40% - Accent3 3 3 3 3 2 2" xfId="11295" xr:uid="{00000000-0005-0000-0000-0000EE690000}"/>
    <cellStyle name="40% - Accent3 3 3 3 3 2 2 2" xfId="22596" xr:uid="{00000000-0005-0000-0000-0000EF690000}"/>
    <cellStyle name="40% - Accent3 3 3 3 3 2 2 2 2" xfId="45198" xr:uid="{00000000-0005-0000-0000-0000F0690000}"/>
    <cellStyle name="40% - Accent3 3 3 3 3 2 2 3" xfId="33897" xr:uid="{00000000-0005-0000-0000-0000F1690000}"/>
    <cellStyle name="40% - Accent3 3 3 3 3 2 3" xfId="16946" xr:uid="{00000000-0005-0000-0000-0000F2690000}"/>
    <cellStyle name="40% - Accent3 3 3 3 3 2 3 2" xfId="39548" xr:uid="{00000000-0005-0000-0000-0000F3690000}"/>
    <cellStyle name="40% - Accent3 3 3 3 3 2 4" xfId="28247" xr:uid="{00000000-0005-0000-0000-0000F4690000}"/>
    <cellStyle name="40% - Accent3 3 3 3 3 3" xfId="8462" xr:uid="{00000000-0005-0000-0000-0000F5690000}"/>
    <cellStyle name="40% - Accent3 3 3 3 3 3 2" xfId="19763" xr:uid="{00000000-0005-0000-0000-0000F6690000}"/>
    <cellStyle name="40% - Accent3 3 3 3 3 3 2 2" xfId="42365" xr:uid="{00000000-0005-0000-0000-0000F7690000}"/>
    <cellStyle name="40% - Accent3 3 3 3 3 3 3" xfId="31064" xr:uid="{00000000-0005-0000-0000-0000F8690000}"/>
    <cellStyle name="40% - Accent3 3 3 3 3 4" xfId="14113" xr:uid="{00000000-0005-0000-0000-0000F9690000}"/>
    <cellStyle name="40% - Accent3 3 3 3 3 4 2" xfId="36715" xr:uid="{00000000-0005-0000-0000-0000FA690000}"/>
    <cellStyle name="40% - Accent3 3 3 3 3 5" xfId="25414" xr:uid="{00000000-0005-0000-0000-0000FB690000}"/>
    <cellStyle name="40% - Accent3 3 3 3 4" xfId="4411" xr:uid="{00000000-0005-0000-0000-0000FC690000}"/>
    <cellStyle name="40% - Accent3 3 3 3 4 2" xfId="10061" xr:uid="{00000000-0005-0000-0000-0000FD690000}"/>
    <cellStyle name="40% - Accent3 3 3 3 4 2 2" xfId="21362" xr:uid="{00000000-0005-0000-0000-0000FE690000}"/>
    <cellStyle name="40% - Accent3 3 3 3 4 2 2 2" xfId="43964" xr:uid="{00000000-0005-0000-0000-0000FF690000}"/>
    <cellStyle name="40% - Accent3 3 3 3 4 2 3" xfId="32663" xr:uid="{00000000-0005-0000-0000-0000006A0000}"/>
    <cellStyle name="40% - Accent3 3 3 3 4 3" xfId="15712" xr:uid="{00000000-0005-0000-0000-0000016A0000}"/>
    <cellStyle name="40% - Accent3 3 3 3 4 3 2" xfId="38314" xr:uid="{00000000-0005-0000-0000-0000026A0000}"/>
    <cellStyle name="40% - Accent3 3 3 3 4 4" xfId="27013" xr:uid="{00000000-0005-0000-0000-0000036A0000}"/>
    <cellStyle name="40% - Accent3 3 3 3 5" xfId="7208" xr:uid="{00000000-0005-0000-0000-0000046A0000}"/>
    <cellStyle name="40% - Accent3 3 3 3 5 2" xfId="18509" xr:uid="{00000000-0005-0000-0000-0000056A0000}"/>
    <cellStyle name="40% - Accent3 3 3 3 5 2 2" xfId="41111" xr:uid="{00000000-0005-0000-0000-0000066A0000}"/>
    <cellStyle name="40% - Accent3 3 3 3 5 3" xfId="29810" xr:uid="{00000000-0005-0000-0000-0000076A0000}"/>
    <cellStyle name="40% - Accent3 3 3 3 6" xfId="12859" xr:uid="{00000000-0005-0000-0000-0000086A0000}"/>
    <cellStyle name="40% - Accent3 3 3 3 6 2" xfId="35461" xr:uid="{00000000-0005-0000-0000-0000096A0000}"/>
    <cellStyle name="40% - Accent3 3 3 3 7" xfId="24160" xr:uid="{00000000-0005-0000-0000-00000A6A0000}"/>
    <cellStyle name="40% - Accent3 3 3 4" xfId="920" xr:uid="{00000000-0005-0000-0000-00000B6A0000}"/>
    <cellStyle name="40% - Accent3 3 3 4 2" xfId="2990" xr:uid="{00000000-0005-0000-0000-00000C6A0000}"/>
    <cellStyle name="40% - Accent3 3 3 4 2 2" xfId="5962" xr:uid="{00000000-0005-0000-0000-00000D6A0000}"/>
    <cellStyle name="40% - Accent3 3 3 4 2 2 2" xfId="11612" xr:uid="{00000000-0005-0000-0000-00000E6A0000}"/>
    <cellStyle name="40% - Accent3 3 3 4 2 2 2 2" xfId="22913" xr:uid="{00000000-0005-0000-0000-00000F6A0000}"/>
    <cellStyle name="40% - Accent3 3 3 4 2 2 2 2 2" xfId="45515" xr:uid="{00000000-0005-0000-0000-0000106A0000}"/>
    <cellStyle name="40% - Accent3 3 3 4 2 2 2 3" xfId="34214" xr:uid="{00000000-0005-0000-0000-0000116A0000}"/>
    <cellStyle name="40% - Accent3 3 3 4 2 2 3" xfId="17263" xr:uid="{00000000-0005-0000-0000-0000126A0000}"/>
    <cellStyle name="40% - Accent3 3 3 4 2 2 3 2" xfId="39865" xr:uid="{00000000-0005-0000-0000-0000136A0000}"/>
    <cellStyle name="40% - Accent3 3 3 4 2 2 4" xfId="28564" xr:uid="{00000000-0005-0000-0000-0000146A0000}"/>
    <cellStyle name="40% - Accent3 3 3 4 2 3" xfId="8780" xr:uid="{00000000-0005-0000-0000-0000156A0000}"/>
    <cellStyle name="40% - Accent3 3 3 4 2 3 2" xfId="20081" xr:uid="{00000000-0005-0000-0000-0000166A0000}"/>
    <cellStyle name="40% - Accent3 3 3 4 2 3 2 2" xfId="42683" xr:uid="{00000000-0005-0000-0000-0000176A0000}"/>
    <cellStyle name="40% - Accent3 3 3 4 2 3 3" xfId="31382" xr:uid="{00000000-0005-0000-0000-0000186A0000}"/>
    <cellStyle name="40% - Accent3 3 3 4 2 4" xfId="14431" xr:uid="{00000000-0005-0000-0000-0000196A0000}"/>
    <cellStyle name="40% - Accent3 3 3 4 2 4 2" xfId="37033" xr:uid="{00000000-0005-0000-0000-00001A6A0000}"/>
    <cellStyle name="40% - Accent3 3 3 4 2 5" xfId="25732" xr:uid="{00000000-0005-0000-0000-00001B6A0000}"/>
    <cellStyle name="40% - Accent3 3 3 4 3" xfId="4728" xr:uid="{00000000-0005-0000-0000-00001C6A0000}"/>
    <cellStyle name="40% - Accent3 3 3 4 3 2" xfId="10378" xr:uid="{00000000-0005-0000-0000-00001D6A0000}"/>
    <cellStyle name="40% - Accent3 3 3 4 3 2 2" xfId="21679" xr:uid="{00000000-0005-0000-0000-00001E6A0000}"/>
    <cellStyle name="40% - Accent3 3 3 4 3 2 2 2" xfId="44281" xr:uid="{00000000-0005-0000-0000-00001F6A0000}"/>
    <cellStyle name="40% - Accent3 3 3 4 3 2 3" xfId="32980" xr:uid="{00000000-0005-0000-0000-0000206A0000}"/>
    <cellStyle name="40% - Accent3 3 3 4 3 3" xfId="16029" xr:uid="{00000000-0005-0000-0000-0000216A0000}"/>
    <cellStyle name="40% - Accent3 3 3 4 3 3 2" xfId="38631" xr:uid="{00000000-0005-0000-0000-0000226A0000}"/>
    <cellStyle name="40% - Accent3 3 3 4 3 4" xfId="27330" xr:uid="{00000000-0005-0000-0000-0000236A0000}"/>
    <cellStyle name="40% - Accent3 3 3 4 4" xfId="6915" xr:uid="{00000000-0005-0000-0000-0000246A0000}"/>
    <cellStyle name="40% - Accent3 3 3 4 4 2" xfId="18216" xr:uid="{00000000-0005-0000-0000-0000256A0000}"/>
    <cellStyle name="40% - Accent3 3 3 4 4 2 2" xfId="40818" xr:uid="{00000000-0005-0000-0000-0000266A0000}"/>
    <cellStyle name="40% - Accent3 3 3 4 4 3" xfId="29517" xr:uid="{00000000-0005-0000-0000-0000276A0000}"/>
    <cellStyle name="40% - Accent3 3 3 4 5" xfId="12566" xr:uid="{00000000-0005-0000-0000-0000286A0000}"/>
    <cellStyle name="40% - Accent3 3 3 4 5 2" xfId="35168" xr:uid="{00000000-0005-0000-0000-0000296A0000}"/>
    <cellStyle name="40% - Accent3 3 3 4 6" xfId="23867" xr:uid="{00000000-0005-0000-0000-00002A6A0000}"/>
    <cellStyle name="40% - Accent3 3 3 5" xfId="1910" xr:uid="{00000000-0005-0000-0000-00002B6A0000}"/>
    <cellStyle name="40% - Accent3 3 3 5 2" xfId="3756" xr:uid="{00000000-0005-0000-0000-00002C6A0000}"/>
    <cellStyle name="40% - Accent3 3 3 5 2 2" xfId="9466" xr:uid="{00000000-0005-0000-0000-00002D6A0000}"/>
    <cellStyle name="40% - Accent3 3 3 5 2 2 2" xfId="20767" xr:uid="{00000000-0005-0000-0000-00002E6A0000}"/>
    <cellStyle name="40% - Accent3 3 3 5 2 2 2 2" xfId="43369" xr:uid="{00000000-0005-0000-0000-00002F6A0000}"/>
    <cellStyle name="40% - Accent3 3 3 5 2 2 3" xfId="32068" xr:uid="{00000000-0005-0000-0000-0000306A0000}"/>
    <cellStyle name="40% - Accent3 3 3 5 2 3" xfId="15117" xr:uid="{00000000-0005-0000-0000-0000316A0000}"/>
    <cellStyle name="40% - Accent3 3 3 5 2 3 2" xfId="37719" xr:uid="{00000000-0005-0000-0000-0000326A0000}"/>
    <cellStyle name="40% - Accent3 3 3 5 2 4" xfId="26418" xr:uid="{00000000-0005-0000-0000-0000336A0000}"/>
    <cellStyle name="40% - Accent3 3 3 5 3" xfId="5338" xr:uid="{00000000-0005-0000-0000-0000346A0000}"/>
    <cellStyle name="40% - Accent3 3 3 5 3 2" xfId="10988" xr:uid="{00000000-0005-0000-0000-0000356A0000}"/>
    <cellStyle name="40% - Accent3 3 3 5 3 2 2" xfId="22289" xr:uid="{00000000-0005-0000-0000-0000366A0000}"/>
    <cellStyle name="40% - Accent3 3 3 5 3 2 2 2" xfId="44891" xr:uid="{00000000-0005-0000-0000-0000376A0000}"/>
    <cellStyle name="40% - Accent3 3 3 5 3 2 3" xfId="33590" xr:uid="{00000000-0005-0000-0000-0000386A0000}"/>
    <cellStyle name="40% - Accent3 3 3 5 3 3" xfId="16639" xr:uid="{00000000-0005-0000-0000-0000396A0000}"/>
    <cellStyle name="40% - Accent3 3 3 5 3 3 2" xfId="39241" xr:uid="{00000000-0005-0000-0000-00003A6A0000}"/>
    <cellStyle name="40% - Accent3 3 3 5 3 4" xfId="27940" xr:uid="{00000000-0005-0000-0000-00003B6A0000}"/>
    <cellStyle name="40% - Accent3 3 3 5 4" xfId="7766" xr:uid="{00000000-0005-0000-0000-00003C6A0000}"/>
    <cellStyle name="40% - Accent3 3 3 5 4 2" xfId="19067" xr:uid="{00000000-0005-0000-0000-00003D6A0000}"/>
    <cellStyle name="40% - Accent3 3 3 5 4 2 2" xfId="41669" xr:uid="{00000000-0005-0000-0000-00003E6A0000}"/>
    <cellStyle name="40% - Accent3 3 3 5 4 3" xfId="30368" xr:uid="{00000000-0005-0000-0000-00003F6A0000}"/>
    <cellStyle name="40% - Accent3 3 3 5 5" xfId="13417" xr:uid="{00000000-0005-0000-0000-0000406A0000}"/>
    <cellStyle name="40% - Accent3 3 3 5 5 2" xfId="36019" xr:uid="{00000000-0005-0000-0000-0000416A0000}"/>
    <cellStyle name="40% - Accent3 3 3 5 6" xfId="24718" xr:uid="{00000000-0005-0000-0000-0000426A0000}"/>
    <cellStyle name="40% - Accent3 3 3 6" xfId="2317" xr:uid="{00000000-0005-0000-0000-0000436A0000}"/>
    <cellStyle name="40% - Accent3 3 3 6 2" xfId="8153" xr:uid="{00000000-0005-0000-0000-0000446A0000}"/>
    <cellStyle name="40% - Accent3 3 3 6 2 2" xfId="19454" xr:uid="{00000000-0005-0000-0000-0000456A0000}"/>
    <cellStyle name="40% - Accent3 3 3 6 2 2 2" xfId="42056" xr:uid="{00000000-0005-0000-0000-0000466A0000}"/>
    <cellStyle name="40% - Accent3 3 3 6 2 3" xfId="30755" xr:uid="{00000000-0005-0000-0000-0000476A0000}"/>
    <cellStyle name="40% - Accent3 3 3 6 3" xfId="13804" xr:uid="{00000000-0005-0000-0000-0000486A0000}"/>
    <cellStyle name="40% - Accent3 3 3 6 3 2" xfId="36406" xr:uid="{00000000-0005-0000-0000-0000496A0000}"/>
    <cellStyle name="40% - Accent3 3 3 6 4" xfId="25105" xr:uid="{00000000-0005-0000-0000-00004A6A0000}"/>
    <cellStyle name="40% - Accent3 3 3 7" xfId="4104" xr:uid="{00000000-0005-0000-0000-00004B6A0000}"/>
    <cellStyle name="40% - Accent3 3 3 7 2" xfId="9754" xr:uid="{00000000-0005-0000-0000-00004C6A0000}"/>
    <cellStyle name="40% - Accent3 3 3 7 2 2" xfId="21055" xr:uid="{00000000-0005-0000-0000-00004D6A0000}"/>
    <cellStyle name="40% - Accent3 3 3 7 2 2 2" xfId="43657" xr:uid="{00000000-0005-0000-0000-00004E6A0000}"/>
    <cellStyle name="40% - Accent3 3 3 7 2 3" xfId="32356" xr:uid="{00000000-0005-0000-0000-00004F6A0000}"/>
    <cellStyle name="40% - Accent3 3 3 7 3" xfId="15405" xr:uid="{00000000-0005-0000-0000-0000506A0000}"/>
    <cellStyle name="40% - Accent3 3 3 7 3 2" xfId="38007" xr:uid="{00000000-0005-0000-0000-0000516A0000}"/>
    <cellStyle name="40% - Accent3 3 3 7 4" xfId="26706" xr:uid="{00000000-0005-0000-0000-0000526A0000}"/>
    <cellStyle name="40% - Accent3 3 3 8" xfId="6555" xr:uid="{00000000-0005-0000-0000-0000536A0000}"/>
    <cellStyle name="40% - Accent3 3 3 8 2" xfId="17856" xr:uid="{00000000-0005-0000-0000-0000546A0000}"/>
    <cellStyle name="40% - Accent3 3 3 8 2 2" xfId="40458" xr:uid="{00000000-0005-0000-0000-0000556A0000}"/>
    <cellStyle name="40% - Accent3 3 3 8 3" xfId="29157" xr:uid="{00000000-0005-0000-0000-0000566A0000}"/>
    <cellStyle name="40% - Accent3 3 3 9" xfId="12206" xr:uid="{00000000-0005-0000-0000-0000576A0000}"/>
    <cellStyle name="40% - Accent3 3 3 9 2" xfId="34808" xr:uid="{00000000-0005-0000-0000-0000586A0000}"/>
    <cellStyle name="40% - Accent3 3 4" xfId="552" xr:uid="{00000000-0005-0000-0000-0000596A0000}"/>
    <cellStyle name="40% - Accent3 3 4 2" xfId="1133" xr:uid="{00000000-0005-0000-0000-00005A6A0000}"/>
    <cellStyle name="40% - Accent3 3 4 2 2" xfId="1915" xr:uid="{00000000-0005-0000-0000-00005B6A0000}"/>
    <cellStyle name="40% - Accent3 3 4 2 2 2" xfId="3200" xr:uid="{00000000-0005-0000-0000-00005C6A0000}"/>
    <cellStyle name="40% - Accent3 3 4 2 2 2 2" xfId="6172" xr:uid="{00000000-0005-0000-0000-00005D6A0000}"/>
    <cellStyle name="40% - Accent3 3 4 2 2 2 2 2" xfId="11822" xr:uid="{00000000-0005-0000-0000-00005E6A0000}"/>
    <cellStyle name="40% - Accent3 3 4 2 2 2 2 2 2" xfId="23123" xr:uid="{00000000-0005-0000-0000-00005F6A0000}"/>
    <cellStyle name="40% - Accent3 3 4 2 2 2 2 2 2 2" xfId="45725" xr:uid="{00000000-0005-0000-0000-0000606A0000}"/>
    <cellStyle name="40% - Accent3 3 4 2 2 2 2 2 3" xfId="34424" xr:uid="{00000000-0005-0000-0000-0000616A0000}"/>
    <cellStyle name="40% - Accent3 3 4 2 2 2 2 3" xfId="17473" xr:uid="{00000000-0005-0000-0000-0000626A0000}"/>
    <cellStyle name="40% - Accent3 3 4 2 2 2 2 3 2" xfId="40075" xr:uid="{00000000-0005-0000-0000-0000636A0000}"/>
    <cellStyle name="40% - Accent3 3 4 2 2 2 2 4" xfId="28774" xr:uid="{00000000-0005-0000-0000-0000646A0000}"/>
    <cellStyle name="40% - Accent3 3 4 2 2 2 3" xfId="8990" xr:uid="{00000000-0005-0000-0000-0000656A0000}"/>
    <cellStyle name="40% - Accent3 3 4 2 2 2 3 2" xfId="20291" xr:uid="{00000000-0005-0000-0000-0000666A0000}"/>
    <cellStyle name="40% - Accent3 3 4 2 2 2 3 2 2" xfId="42893" xr:uid="{00000000-0005-0000-0000-0000676A0000}"/>
    <cellStyle name="40% - Accent3 3 4 2 2 2 3 3" xfId="31592" xr:uid="{00000000-0005-0000-0000-0000686A0000}"/>
    <cellStyle name="40% - Accent3 3 4 2 2 2 4" xfId="14641" xr:uid="{00000000-0005-0000-0000-0000696A0000}"/>
    <cellStyle name="40% - Accent3 3 4 2 2 2 4 2" xfId="37243" xr:uid="{00000000-0005-0000-0000-00006A6A0000}"/>
    <cellStyle name="40% - Accent3 3 4 2 2 2 5" xfId="25942" xr:uid="{00000000-0005-0000-0000-00006B6A0000}"/>
    <cellStyle name="40% - Accent3 3 4 2 2 3" xfId="4938" xr:uid="{00000000-0005-0000-0000-00006C6A0000}"/>
    <cellStyle name="40% - Accent3 3 4 2 2 3 2" xfId="10588" xr:uid="{00000000-0005-0000-0000-00006D6A0000}"/>
    <cellStyle name="40% - Accent3 3 4 2 2 3 2 2" xfId="21889" xr:uid="{00000000-0005-0000-0000-00006E6A0000}"/>
    <cellStyle name="40% - Accent3 3 4 2 2 3 2 2 2" xfId="44491" xr:uid="{00000000-0005-0000-0000-00006F6A0000}"/>
    <cellStyle name="40% - Accent3 3 4 2 2 3 2 3" xfId="33190" xr:uid="{00000000-0005-0000-0000-0000706A0000}"/>
    <cellStyle name="40% - Accent3 3 4 2 2 3 3" xfId="16239" xr:uid="{00000000-0005-0000-0000-0000716A0000}"/>
    <cellStyle name="40% - Accent3 3 4 2 2 3 3 2" xfId="38841" xr:uid="{00000000-0005-0000-0000-0000726A0000}"/>
    <cellStyle name="40% - Accent3 3 4 2 2 3 4" xfId="27540" xr:uid="{00000000-0005-0000-0000-0000736A0000}"/>
    <cellStyle name="40% - Accent3 3 4 2 2 4" xfId="7771" xr:uid="{00000000-0005-0000-0000-0000746A0000}"/>
    <cellStyle name="40% - Accent3 3 4 2 2 4 2" xfId="19072" xr:uid="{00000000-0005-0000-0000-0000756A0000}"/>
    <cellStyle name="40% - Accent3 3 4 2 2 4 2 2" xfId="41674" xr:uid="{00000000-0005-0000-0000-0000766A0000}"/>
    <cellStyle name="40% - Accent3 3 4 2 2 4 3" xfId="30373" xr:uid="{00000000-0005-0000-0000-0000776A0000}"/>
    <cellStyle name="40% - Accent3 3 4 2 2 5" xfId="13422" xr:uid="{00000000-0005-0000-0000-0000786A0000}"/>
    <cellStyle name="40% - Accent3 3 4 2 2 5 2" xfId="36024" xr:uid="{00000000-0005-0000-0000-0000796A0000}"/>
    <cellStyle name="40% - Accent3 3 4 2 2 6" xfId="24723" xr:uid="{00000000-0005-0000-0000-00007A6A0000}"/>
    <cellStyle name="40% - Accent3 3 4 2 3" xfId="2529" xr:uid="{00000000-0005-0000-0000-00007B6A0000}"/>
    <cellStyle name="40% - Accent3 3 4 2 3 2" xfId="5548" xr:uid="{00000000-0005-0000-0000-00007C6A0000}"/>
    <cellStyle name="40% - Accent3 3 4 2 3 2 2" xfId="11198" xr:uid="{00000000-0005-0000-0000-00007D6A0000}"/>
    <cellStyle name="40% - Accent3 3 4 2 3 2 2 2" xfId="22499" xr:uid="{00000000-0005-0000-0000-00007E6A0000}"/>
    <cellStyle name="40% - Accent3 3 4 2 3 2 2 2 2" xfId="45101" xr:uid="{00000000-0005-0000-0000-00007F6A0000}"/>
    <cellStyle name="40% - Accent3 3 4 2 3 2 2 3" xfId="33800" xr:uid="{00000000-0005-0000-0000-0000806A0000}"/>
    <cellStyle name="40% - Accent3 3 4 2 3 2 3" xfId="16849" xr:uid="{00000000-0005-0000-0000-0000816A0000}"/>
    <cellStyle name="40% - Accent3 3 4 2 3 2 3 2" xfId="39451" xr:uid="{00000000-0005-0000-0000-0000826A0000}"/>
    <cellStyle name="40% - Accent3 3 4 2 3 2 4" xfId="28150" xr:uid="{00000000-0005-0000-0000-0000836A0000}"/>
    <cellStyle name="40% - Accent3 3 4 2 3 3" xfId="8365" xr:uid="{00000000-0005-0000-0000-0000846A0000}"/>
    <cellStyle name="40% - Accent3 3 4 2 3 3 2" xfId="19666" xr:uid="{00000000-0005-0000-0000-0000856A0000}"/>
    <cellStyle name="40% - Accent3 3 4 2 3 3 2 2" xfId="42268" xr:uid="{00000000-0005-0000-0000-0000866A0000}"/>
    <cellStyle name="40% - Accent3 3 4 2 3 3 3" xfId="30967" xr:uid="{00000000-0005-0000-0000-0000876A0000}"/>
    <cellStyle name="40% - Accent3 3 4 2 3 4" xfId="14016" xr:uid="{00000000-0005-0000-0000-0000886A0000}"/>
    <cellStyle name="40% - Accent3 3 4 2 3 4 2" xfId="36618" xr:uid="{00000000-0005-0000-0000-0000896A0000}"/>
    <cellStyle name="40% - Accent3 3 4 2 3 5" xfId="25317" xr:uid="{00000000-0005-0000-0000-00008A6A0000}"/>
    <cellStyle name="40% - Accent3 3 4 2 4" xfId="4314" xr:uid="{00000000-0005-0000-0000-00008B6A0000}"/>
    <cellStyle name="40% - Accent3 3 4 2 4 2" xfId="9964" xr:uid="{00000000-0005-0000-0000-00008C6A0000}"/>
    <cellStyle name="40% - Accent3 3 4 2 4 2 2" xfId="21265" xr:uid="{00000000-0005-0000-0000-00008D6A0000}"/>
    <cellStyle name="40% - Accent3 3 4 2 4 2 2 2" xfId="43867" xr:uid="{00000000-0005-0000-0000-00008E6A0000}"/>
    <cellStyle name="40% - Accent3 3 4 2 4 2 3" xfId="32566" xr:uid="{00000000-0005-0000-0000-00008F6A0000}"/>
    <cellStyle name="40% - Accent3 3 4 2 4 3" xfId="15615" xr:uid="{00000000-0005-0000-0000-0000906A0000}"/>
    <cellStyle name="40% - Accent3 3 4 2 4 3 2" xfId="38217" xr:uid="{00000000-0005-0000-0000-0000916A0000}"/>
    <cellStyle name="40% - Accent3 3 4 2 4 4" xfId="26916" xr:uid="{00000000-0005-0000-0000-0000926A0000}"/>
    <cellStyle name="40% - Accent3 3 4 2 5" xfId="7112" xr:uid="{00000000-0005-0000-0000-0000936A0000}"/>
    <cellStyle name="40% - Accent3 3 4 2 5 2" xfId="18413" xr:uid="{00000000-0005-0000-0000-0000946A0000}"/>
    <cellStyle name="40% - Accent3 3 4 2 5 2 2" xfId="41015" xr:uid="{00000000-0005-0000-0000-0000956A0000}"/>
    <cellStyle name="40% - Accent3 3 4 2 5 3" xfId="29714" xr:uid="{00000000-0005-0000-0000-0000966A0000}"/>
    <cellStyle name="40% - Accent3 3 4 2 6" xfId="12763" xr:uid="{00000000-0005-0000-0000-0000976A0000}"/>
    <cellStyle name="40% - Accent3 3 4 2 6 2" xfId="35365" xr:uid="{00000000-0005-0000-0000-0000986A0000}"/>
    <cellStyle name="40% - Accent3 3 4 2 7" xfId="24064" xr:uid="{00000000-0005-0000-0000-0000996A0000}"/>
    <cellStyle name="40% - Accent3 3 4 3" xfId="806" xr:uid="{00000000-0005-0000-0000-00009A6A0000}"/>
    <cellStyle name="40% - Accent3 3 4 3 2" xfId="2894" xr:uid="{00000000-0005-0000-0000-00009B6A0000}"/>
    <cellStyle name="40% - Accent3 3 4 3 2 2" xfId="5866" xr:uid="{00000000-0005-0000-0000-00009C6A0000}"/>
    <cellStyle name="40% - Accent3 3 4 3 2 2 2" xfId="11516" xr:uid="{00000000-0005-0000-0000-00009D6A0000}"/>
    <cellStyle name="40% - Accent3 3 4 3 2 2 2 2" xfId="22817" xr:uid="{00000000-0005-0000-0000-00009E6A0000}"/>
    <cellStyle name="40% - Accent3 3 4 3 2 2 2 2 2" xfId="45419" xr:uid="{00000000-0005-0000-0000-00009F6A0000}"/>
    <cellStyle name="40% - Accent3 3 4 3 2 2 2 3" xfId="34118" xr:uid="{00000000-0005-0000-0000-0000A06A0000}"/>
    <cellStyle name="40% - Accent3 3 4 3 2 2 3" xfId="17167" xr:uid="{00000000-0005-0000-0000-0000A16A0000}"/>
    <cellStyle name="40% - Accent3 3 4 3 2 2 3 2" xfId="39769" xr:uid="{00000000-0005-0000-0000-0000A26A0000}"/>
    <cellStyle name="40% - Accent3 3 4 3 2 2 4" xfId="28468" xr:uid="{00000000-0005-0000-0000-0000A36A0000}"/>
    <cellStyle name="40% - Accent3 3 4 3 2 3" xfId="8684" xr:uid="{00000000-0005-0000-0000-0000A46A0000}"/>
    <cellStyle name="40% - Accent3 3 4 3 2 3 2" xfId="19985" xr:uid="{00000000-0005-0000-0000-0000A56A0000}"/>
    <cellStyle name="40% - Accent3 3 4 3 2 3 2 2" xfId="42587" xr:uid="{00000000-0005-0000-0000-0000A66A0000}"/>
    <cellStyle name="40% - Accent3 3 4 3 2 3 3" xfId="31286" xr:uid="{00000000-0005-0000-0000-0000A76A0000}"/>
    <cellStyle name="40% - Accent3 3 4 3 2 4" xfId="14335" xr:uid="{00000000-0005-0000-0000-0000A86A0000}"/>
    <cellStyle name="40% - Accent3 3 4 3 2 4 2" xfId="36937" xr:uid="{00000000-0005-0000-0000-0000A96A0000}"/>
    <cellStyle name="40% - Accent3 3 4 3 2 5" xfId="25636" xr:uid="{00000000-0005-0000-0000-0000AA6A0000}"/>
    <cellStyle name="40% - Accent3 3 4 3 3" xfId="4632" xr:uid="{00000000-0005-0000-0000-0000AB6A0000}"/>
    <cellStyle name="40% - Accent3 3 4 3 3 2" xfId="10282" xr:uid="{00000000-0005-0000-0000-0000AC6A0000}"/>
    <cellStyle name="40% - Accent3 3 4 3 3 2 2" xfId="21583" xr:uid="{00000000-0005-0000-0000-0000AD6A0000}"/>
    <cellStyle name="40% - Accent3 3 4 3 3 2 2 2" xfId="44185" xr:uid="{00000000-0005-0000-0000-0000AE6A0000}"/>
    <cellStyle name="40% - Accent3 3 4 3 3 2 3" xfId="32884" xr:uid="{00000000-0005-0000-0000-0000AF6A0000}"/>
    <cellStyle name="40% - Accent3 3 4 3 3 3" xfId="15933" xr:uid="{00000000-0005-0000-0000-0000B06A0000}"/>
    <cellStyle name="40% - Accent3 3 4 3 3 3 2" xfId="38535" xr:uid="{00000000-0005-0000-0000-0000B16A0000}"/>
    <cellStyle name="40% - Accent3 3 4 3 3 4" xfId="27234" xr:uid="{00000000-0005-0000-0000-0000B26A0000}"/>
    <cellStyle name="40% - Accent3 3 4 3 4" xfId="6815" xr:uid="{00000000-0005-0000-0000-0000B36A0000}"/>
    <cellStyle name="40% - Accent3 3 4 3 4 2" xfId="18116" xr:uid="{00000000-0005-0000-0000-0000B46A0000}"/>
    <cellStyle name="40% - Accent3 3 4 3 4 2 2" xfId="40718" xr:uid="{00000000-0005-0000-0000-0000B56A0000}"/>
    <cellStyle name="40% - Accent3 3 4 3 4 3" xfId="29417" xr:uid="{00000000-0005-0000-0000-0000B66A0000}"/>
    <cellStyle name="40% - Accent3 3 4 3 5" xfId="12466" xr:uid="{00000000-0005-0000-0000-0000B76A0000}"/>
    <cellStyle name="40% - Accent3 3 4 3 5 2" xfId="35068" xr:uid="{00000000-0005-0000-0000-0000B86A0000}"/>
    <cellStyle name="40% - Accent3 3 4 3 6" xfId="23767" xr:uid="{00000000-0005-0000-0000-0000B96A0000}"/>
    <cellStyle name="40% - Accent3 3 4 4" xfId="1914" xr:uid="{00000000-0005-0000-0000-0000BA6A0000}"/>
    <cellStyle name="40% - Accent3 3 4 4 2" xfId="3758" xr:uid="{00000000-0005-0000-0000-0000BB6A0000}"/>
    <cellStyle name="40% - Accent3 3 4 4 2 2" xfId="9468" xr:uid="{00000000-0005-0000-0000-0000BC6A0000}"/>
    <cellStyle name="40% - Accent3 3 4 4 2 2 2" xfId="20769" xr:uid="{00000000-0005-0000-0000-0000BD6A0000}"/>
    <cellStyle name="40% - Accent3 3 4 4 2 2 2 2" xfId="43371" xr:uid="{00000000-0005-0000-0000-0000BE6A0000}"/>
    <cellStyle name="40% - Accent3 3 4 4 2 2 3" xfId="32070" xr:uid="{00000000-0005-0000-0000-0000BF6A0000}"/>
    <cellStyle name="40% - Accent3 3 4 4 2 3" xfId="15119" xr:uid="{00000000-0005-0000-0000-0000C06A0000}"/>
    <cellStyle name="40% - Accent3 3 4 4 2 3 2" xfId="37721" xr:uid="{00000000-0005-0000-0000-0000C16A0000}"/>
    <cellStyle name="40% - Accent3 3 4 4 2 4" xfId="26420" xr:uid="{00000000-0005-0000-0000-0000C26A0000}"/>
    <cellStyle name="40% - Accent3 3 4 4 3" xfId="5242" xr:uid="{00000000-0005-0000-0000-0000C36A0000}"/>
    <cellStyle name="40% - Accent3 3 4 4 3 2" xfId="10892" xr:uid="{00000000-0005-0000-0000-0000C46A0000}"/>
    <cellStyle name="40% - Accent3 3 4 4 3 2 2" xfId="22193" xr:uid="{00000000-0005-0000-0000-0000C56A0000}"/>
    <cellStyle name="40% - Accent3 3 4 4 3 2 2 2" xfId="44795" xr:uid="{00000000-0005-0000-0000-0000C66A0000}"/>
    <cellStyle name="40% - Accent3 3 4 4 3 2 3" xfId="33494" xr:uid="{00000000-0005-0000-0000-0000C76A0000}"/>
    <cellStyle name="40% - Accent3 3 4 4 3 3" xfId="16543" xr:uid="{00000000-0005-0000-0000-0000C86A0000}"/>
    <cellStyle name="40% - Accent3 3 4 4 3 3 2" xfId="39145" xr:uid="{00000000-0005-0000-0000-0000C96A0000}"/>
    <cellStyle name="40% - Accent3 3 4 4 3 4" xfId="27844" xr:uid="{00000000-0005-0000-0000-0000CA6A0000}"/>
    <cellStyle name="40% - Accent3 3 4 4 4" xfId="7770" xr:uid="{00000000-0005-0000-0000-0000CB6A0000}"/>
    <cellStyle name="40% - Accent3 3 4 4 4 2" xfId="19071" xr:uid="{00000000-0005-0000-0000-0000CC6A0000}"/>
    <cellStyle name="40% - Accent3 3 4 4 4 2 2" xfId="41673" xr:uid="{00000000-0005-0000-0000-0000CD6A0000}"/>
    <cellStyle name="40% - Accent3 3 4 4 4 3" xfId="30372" xr:uid="{00000000-0005-0000-0000-0000CE6A0000}"/>
    <cellStyle name="40% - Accent3 3 4 4 5" xfId="13421" xr:uid="{00000000-0005-0000-0000-0000CF6A0000}"/>
    <cellStyle name="40% - Accent3 3 4 4 5 2" xfId="36023" xr:uid="{00000000-0005-0000-0000-0000D06A0000}"/>
    <cellStyle name="40% - Accent3 3 4 4 6" xfId="24722" xr:uid="{00000000-0005-0000-0000-0000D16A0000}"/>
    <cellStyle name="40% - Accent3 3 4 5" xfId="2214" xr:uid="{00000000-0005-0000-0000-0000D26A0000}"/>
    <cellStyle name="40% - Accent3 3 4 5 2" xfId="8056" xr:uid="{00000000-0005-0000-0000-0000D36A0000}"/>
    <cellStyle name="40% - Accent3 3 4 5 2 2" xfId="19357" xr:uid="{00000000-0005-0000-0000-0000D46A0000}"/>
    <cellStyle name="40% - Accent3 3 4 5 2 2 2" xfId="41959" xr:uid="{00000000-0005-0000-0000-0000D56A0000}"/>
    <cellStyle name="40% - Accent3 3 4 5 2 3" xfId="30658" xr:uid="{00000000-0005-0000-0000-0000D66A0000}"/>
    <cellStyle name="40% - Accent3 3 4 5 3" xfId="13707" xr:uid="{00000000-0005-0000-0000-0000D76A0000}"/>
    <cellStyle name="40% - Accent3 3 4 5 3 2" xfId="36309" xr:uid="{00000000-0005-0000-0000-0000D86A0000}"/>
    <cellStyle name="40% - Accent3 3 4 5 4" xfId="25008" xr:uid="{00000000-0005-0000-0000-0000D96A0000}"/>
    <cellStyle name="40% - Accent3 3 4 6" xfId="4008" xr:uid="{00000000-0005-0000-0000-0000DA6A0000}"/>
    <cellStyle name="40% - Accent3 3 4 6 2" xfId="9658" xr:uid="{00000000-0005-0000-0000-0000DB6A0000}"/>
    <cellStyle name="40% - Accent3 3 4 6 2 2" xfId="20959" xr:uid="{00000000-0005-0000-0000-0000DC6A0000}"/>
    <cellStyle name="40% - Accent3 3 4 6 2 2 2" xfId="43561" xr:uid="{00000000-0005-0000-0000-0000DD6A0000}"/>
    <cellStyle name="40% - Accent3 3 4 6 2 3" xfId="32260" xr:uid="{00000000-0005-0000-0000-0000DE6A0000}"/>
    <cellStyle name="40% - Accent3 3 4 6 3" xfId="15309" xr:uid="{00000000-0005-0000-0000-0000DF6A0000}"/>
    <cellStyle name="40% - Accent3 3 4 6 3 2" xfId="37911" xr:uid="{00000000-0005-0000-0000-0000E06A0000}"/>
    <cellStyle name="40% - Accent3 3 4 6 4" xfId="26610" xr:uid="{00000000-0005-0000-0000-0000E16A0000}"/>
    <cellStyle name="40% - Accent3 3 4 7" xfId="6626" xr:uid="{00000000-0005-0000-0000-0000E26A0000}"/>
    <cellStyle name="40% - Accent3 3 4 7 2" xfId="17927" xr:uid="{00000000-0005-0000-0000-0000E36A0000}"/>
    <cellStyle name="40% - Accent3 3 4 7 2 2" xfId="40529" xr:uid="{00000000-0005-0000-0000-0000E46A0000}"/>
    <cellStyle name="40% - Accent3 3 4 7 3" xfId="29228" xr:uid="{00000000-0005-0000-0000-0000E56A0000}"/>
    <cellStyle name="40% - Accent3 3 4 8" xfId="12277" xr:uid="{00000000-0005-0000-0000-0000E66A0000}"/>
    <cellStyle name="40% - Accent3 3 4 8 2" xfId="34879" xr:uid="{00000000-0005-0000-0000-0000E76A0000}"/>
    <cellStyle name="40% - Accent3 3 4 9" xfId="23578" xr:uid="{00000000-0005-0000-0000-0000E86A0000}"/>
    <cellStyle name="40% - Accent3 3 5" xfId="457" xr:uid="{00000000-0005-0000-0000-0000E96A0000}"/>
    <cellStyle name="40% - Accent3 3 6" xfId="1441" xr:uid="{00000000-0005-0000-0000-0000EA6A0000}"/>
    <cellStyle name="40% - Accent3 3 7" xfId="6459" xr:uid="{00000000-0005-0000-0000-0000EB6A0000}"/>
    <cellStyle name="40% - Accent3 3 7 2" xfId="17760" xr:uid="{00000000-0005-0000-0000-0000EC6A0000}"/>
    <cellStyle name="40% - Accent3 3 7 2 2" xfId="40362" xr:uid="{00000000-0005-0000-0000-0000ED6A0000}"/>
    <cellStyle name="40% - Accent3 3 7 3" xfId="29061" xr:uid="{00000000-0005-0000-0000-0000EE6A0000}"/>
    <cellStyle name="40% - Accent3 3 8" xfId="12110" xr:uid="{00000000-0005-0000-0000-0000EF6A0000}"/>
    <cellStyle name="40% - Accent3 3 8 2" xfId="34712" xr:uid="{00000000-0005-0000-0000-0000F06A0000}"/>
    <cellStyle name="40% - Accent3 3 9" xfId="23411" xr:uid="{00000000-0005-0000-0000-0000F16A0000}"/>
    <cellStyle name="40% - Accent3 4" xfId="241" xr:uid="{00000000-0005-0000-0000-0000F26A0000}"/>
    <cellStyle name="40% - Accent3 4 10" xfId="3994" xr:uid="{00000000-0005-0000-0000-0000F36A0000}"/>
    <cellStyle name="40% - Accent3 4 10 2" xfId="9644" xr:uid="{00000000-0005-0000-0000-0000F46A0000}"/>
    <cellStyle name="40% - Accent3 4 10 2 2" xfId="20945" xr:uid="{00000000-0005-0000-0000-0000F56A0000}"/>
    <cellStyle name="40% - Accent3 4 10 2 2 2" xfId="43547" xr:uid="{00000000-0005-0000-0000-0000F66A0000}"/>
    <cellStyle name="40% - Accent3 4 10 2 3" xfId="32246" xr:uid="{00000000-0005-0000-0000-0000F76A0000}"/>
    <cellStyle name="40% - Accent3 4 10 3" xfId="15295" xr:uid="{00000000-0005-0000-0000-0000F86A0000}"/>
    <cellStyle name="40% - Accent3 4 10 3 2" xfId="37897" xr:uid="{00000000-0005-0000-0000-0000F96A0000}"/>
    <cellStyle name="40% - Accent3 4 10 4" xfId="26596" xr:uid="{00000000-0005-0000-0000-0000FA6A0000}"/>
    <cellStyle name="40% - Accent3 4 11" xfId="6473" xr:uid="{00000000-0005-0000-0000-0000FB6A0000}"/>
    <cellStyle name="40% - Accent3 4 11 2" xfId="17774" xr:uid="{00000000-0005-0000-0000-0000FC6A0000}"/>
    <cellStyle name="40% - Accent3 4 11 2 2" xfId="40376" xr:uid="{00000000-0005-0000-0000-0000FD6A0000}"/>
    <cellStyle name="40% - Accent3 4 11 3" xfId="29075" xr:uid="{00000000-0005-0000-0000-0000FE6A0000}"/>
    <cellStyle name="40% - Accent3 4 12" xfId="12124" xr:uid="{00000000-0005-0000-0000-0000FF6A0000}"/>
    <cellStyle name="40% - Accent3 4 12 2" xfId="34726" xr:uid="{00000000-0005-0000-0000-0000006B0000}"/>
    <cellStyle name="40% - Accent3 4 13" xfId="23425" xr:uid="{00000000-0005-0000-0000-0000016B0000}"/>
    <cellStyle name="40% - Accent3 4 2" xfId="364" xr:uid="{00000000-0005-0000-0000-0000026B0000}"/>
    <cellStyle name="40% - Accent3 4 2 10" xfId="23472" xr:uid="{00000000-0005-0000-0000-0000036B0000}"/>
    <cellStyle name="40% - Accent3 4 2 2" xfId="622" xr:uid="{00000000-0005-0000-0000-0000046B0000}"/>
    <cellStyle name="40% - Accent3 4 2 2 2" xfId="1332" xr:uid="{00000000-0005-0000-0000-0000056B0000}"/>
    <cellStyle name="40% - Accent3 4 2 2 2 2" xfId="1919" xr:uid="{00000000-0005-0000-0000-0000066B0000}"/>
    <cellStyle name="40% - Accent3 4 2 2 2 2 2" xfId="3401" xr:uid="{00000000-0005-0000-0000-0000076B0000}"/>
    <cellStyle name="40% - Accent3 4 2 2 2 2 2 2" xfId="6373" xr:uid="{00000000-0005-0000-0000-0000086B0000}"/>
    <cellStyle name="40% - Accent3 4 2 2 2 2 2 2 2" xfId="12023" xr:uid="{00000000-0005-0000-0000-0000096B0000}"/>
    <cellStyle name="40% - Accent3 4 2 2 2 2 2 2 2 2" xfId="23324" xr:uid="{00000000-0005-0000-0000-00000A6B0000}"/>
    <cellStyle name="40% - Accent3 4 2 2 2 2 2 2 2 2 2" xfId="45926" xr:uid="{00000000-0005-0000-0000-00000B6B0000}"/>
    <cellStyle name="40% - Accent3 4 2 2 2 2 2 2 2 3" xfId="34625" xr:uid="{00000000-0005-0000-0000-00000C6B0000}"/>
    <cellStyle name="40% - Accent3 4 2 2 2 2 2 2 3" xfId="17674" xr:uid="{00000000-0005-0000-0000-00000D6B0000}"/>
    <cellStyle name="40% - Accent3 4 2 2 2 2 2 2 3 2" xfId="40276" xr:uid="{00000000-0005-0000-0000-00000E6B0000}"/>
    <cellStyle name="40% - Accent3 4 2 2 2 2 2 2 4" xfId="28975" xr:uid="{00000000-0005-0000-0000-00000F6B0000}"/>
    <cellStyle name="40% - Accent3 4 2 2 2 2 2 3" xfId="9191" xr:uid="{00000000-0005-0000-0000-0000106B0000}"/>
    <cellStyle name="40% - Accent3 4 2 2 2 2 2 3 2" xfId="20492" xr:uid="{00000000-0005-0000-0000-0000116B0000}"/>
    <cellStyle name="40% - Accent3 4 2 2 2 2 2 3 2 2" xfId="43094" xr:uid="{00000000-0005-0000-0000-0000126B0000}"/>
    <cellStyle name="40% - Accent3 4 2 2 2 2 2 3 3" xfId="31793" xr:uid="{00000000-0005-0000-0000-0000136B0000}"/>
    <cellStyle name="40% - Accent3 4 2 2 2 2 2 4" xfId="14842" xr:uid="{00000000-0005-0000-0000-0000146B0000}"/>
    <cellStyle name="40% - Accent3 4 2 2 2 2 2 4 2" xfId="37444" xr:uid="{00000000-0005-0000-0000-0000156B0000}"/>
    <cellStyle name="40% - Accent3 4 2 2 2 2 2 5" xfId="26143" xr:uid="{00000000-0005-0000-0000-0000166B0000}"/>
    <cellStyle name="40% - Accent3 4 2 2 2 2 3" xfId="5139" xr:uid="{00000000-0005-0000-0000-0000176B0000}"/>
    <cellStyle name="40% - Accent3 4 2 2 2 2 3 2" xfId="10789" xr:uid="{00000000-0005-0000-0000-0000186B0000}"/>
    <cellStyle name="40% - Accent3 4 2 2 2 2 3 2 2" xfId="22090" xr:uid="{00000000-0005-0000-0000-0000196B0000}"/>
    <cellStyle name="40% - Accent3 4 2 2 2 2 3 2 2 2" xfId="44692" xr:uid="{00000000-0005-0000-0000-00001A6B0000}"/>
    <cellStyle name="40% - Accent3 4 2 2 2 2 3 2 3" xfId="33391" xr:uid="{00000000-0005-0000-0000-00001B6B0000}"/>
    <cellStyle name="40% - Accent3 4 2 2 2 2 3 3" xfId="16440" xr:uid="{00000000-0005-0000-0000-00001C6B0000}"/>
    <cellStyle name="40% - Accent3 4 2 2 2 2 3 3 2" xfId="39042" xr:uid="{00000000-0005-0000-0000-00001D6B0000}"/>
    <cellStyle name="40% - Accent3 4 2 2 2 2 3 4" xfId="27741" xr:uid="{00000000-0005-0000-0000-00001E6B0000}"/>
    <cellStyle name="40% - Accent3 4 2 2 2 2 4" xfId="7775" xr:uid="{00000000-0005-0000-0000-00001F6B0000}"/>
    <cellStyle name="40% - Accent3 4 2 2 2 2 4 2" xfId="19076" xr:uid="{00000000-0005-0000-0000-0000206B0000}"/>
    <cellStyle name="40% - Accent3 4 2 2 2 2 4 2 2" xfId="41678" xr:uid="{00000000-0005-0000-0000-0000216B0000}"/>
    <cellStyle name="40% - Accent3 4 2 2 2 2 4 3" xfId="30377" xr:uid="{00000000-0005-0000-0000-0000226B0000}"/>
    <cellStyle name="40% - Accent3 4 2 2 2 2 5" xfId="13426" xr:uid="{00000000-0005-0000-0000-0000236B0000}"/>
    <cellStyle name="40% - Accent3 4 2 2 2 2 5 2" xfId="36028" xr:uid="{00000000-0005-0000-0000-0000246B0000}"/>
    <cellStyle name="40% - Accent3 4 2 2 2 2 6" xfId="24727" xr:uid="{00000000-0005-0000-0000-0000256B0000}"/>
    <cellStyle name="40% - Accent3 4 2 2 2 3" xfId="2730" xr:uid="{00000000-0005-0000-0000-0000266B0000}"/>
    <cellStyle name="40% - Accent3 4 2 2 2 3 2" xfId="5749" xr:uid="{00000000-0005-0000-0000-0000276B0000}"/>
    <cellStyle name="40% - Accent3 4 2 2 2 3 2 2" xfId="11399" xr:uid="{00000000-0005-0000-0000-0000286B0000}"/>
    <cellStyle name="40% - Accent3 4 2 2 2 3 2 2 2" xfId="22700" xr:uid="{00000000-0005-0000-0000-0000296B0000}"/>
    <cellStyle name="40% - Accent3 4 2 2 2 3 2 2 2 2" xfId="45302" xr:uid="{00000000-0005-0000-0000-00002A6B0000}"/>
    <cellStyle name="40% - Accent3 4 2 2 2 3 2 2 3" xfId="34001" xr:uid="{00000000-0005-0000-0000-00002B6B0000}"/>
    <cellStyle name="40% - Accent3 4 2 2 2 3 2 3" xfId="17050" xr:uid="{00000000-0005-0000-0000-00002C6B0000}"/>
    <cellStyle name="40% - Accent3 4 2 2 2 3 2 3 2" xfId="39652" xr:uid="{00000000-0005-0000-0000-00002D6B0000}"/>
    <cellStyle name="40% - Accent3 4 2 2 2 3 2 4" xfId="28351" xr:uid="{00000000-0005-0000-0000-00002E6B0000}"/>
    <cellStyle name="40% - Accent3 4 2 2 2 3 3" xfId="8566" xr:uid="{00000000-0005-0000-0000-00002F6B0000}"/>
    <cellStyle name="40% - Accent3 4 2 2 2 3 3 2" xfId="19867" xr:uid="{00000000-0005-0000-0000-0000306B0000}"/>
    <cellStyle name="40% - Accent3 4 2 2 2 3 3 2 2" xfId="42469" xr:uid="{00000000-0005-0000-0000-0000316B0000}"/>
    <cellStyle name="40% - Accent3 4 2 2 2 3 3 3" xfId="31168" xr:uid="{00000000-0005-0000-0000-0000326B0000}"/>
    <cellStyle name="40% - Accent3 4 2 2 2 3 4" xfId="14217" xr:uid="{00000000-0005-0000-0000-0000336B0000}"/>
    <cellStyle name="40% - Accent3 4 2 2 2 3 4 2" xfId="36819" xr:uid="{00000000-0005-0000-0000-0000346B0000}"/>
    <cellStyle name="40% - Accent3 4 2 2 2 3 5" xfId="25518" xr:uid="{00000000-0005-0000-0000-0000356B0000}"/>
    <cellStyle name="40% - Accent3 4 2 2 2 4" xfId="4515" xr:uid="{00000000-0005-0000-0000-0000366B0000}"/>
    <cellStyle name="40% - Accent3 4 2 2 2 4 2" xfId="10165" xr:uid="{00000000-0005-0000-0000-0000376B0000}"/>
    <cellStyle name="40% - Accent3 4 2 2 2 4 2 2" xfId="21466" xr:uid="{00000000-0005-0000-0000-0000386B0000}"/>
    <cellStyle name="40% - Accent3 4 2 2 2 4 2 2 2" xfId="44068" xr:uid="{00000000-0005-0000-0000-0000396B0000}"/>
    <cellStyle name="40% - Accent3 4 2 2 2 4 2 3" xfId="32767" xr:uid="{00000000-0005-0000-0000-00003A6B0000}"/>
    <cellStyle name="40% - Accent3 4 2 2 2 4 3" xfId="15816" xr:uid="{00000000-0005-0000-0000-00003B6B0000}"/>
    <cellStyle name="40% - Accent3 4 2 2 2 4 3 2" xfId="38418" xr:uid="{00000000-0005-0000-0000-00003C6B0000}"/>
    <cellStyle name="40% - Accent3 4 2 2 2 4 4" xfId="27117" xr:uid="{00000000-0005-0000-0000-00003D6B0000}"/>
    <cellStyle name="40% - Accent3 4 2 2 2 5" xfId="7311" xr:uid="{00000000-0005-0000-0000-00003E6B0000}"/>
    <cellStyle name="40% - Accent3 4 2 2 2 5 2" xfId="18612" xr:uid="{00000000-0005-0000-0000-00003F6B0000}"/>
    <cellStyle name="40% - Accent3 4 2 2 2 5 2 2" xfId="41214" xr:uid="{00000000-0005-0000-0000-0000406B0000}"/>
    <cellStyle name="40% - Accent3 4 2 2 2 5 3" xfId="29913" xr:uid="{00000000-0005-0000-0000-0000416B0000}"/>
    <cellStyle name="40% - Accent3 4 2 2 2 6" xfId="12962" xr:uid="{00000000-0005-0000-0000-0000426B0000}"/>
    <cellStyle name="40% - Accent3 4 2 2 2 6 2" xfId="35564" xr:uid="{00000000-0005-0000-0000-0000436B0000}"/>
    <cellStyle name="40% - Accent3 4 2 2 2 7" xfId="24263" xr:uid="{00000000-0005-0000-0000-0000446B0000}"/>
    <cellStyle name="40% - Accent3 4 2 2 3" xfId="1030" xr:uid="{00000000-0005-0000-0000-0000456B0000}"/>
    <cellStyle name="40% - Accent3 4 2 2 3 2" xfId="3093" xr:uid="{00000000-0005-0000-0000-0000466B0000}"/>
    <cellStyle name="40% - Accent3 4 2 2 3 2 2" xfId="6065" xr:uid="{00000000-0005-0000-0000-0000476B0000}"/>
    <cellStyle name="40% - Accent3 4 2 2 3 2 2 2" xfId="11715" xr:uid="{00000000-0005-0000-0000-0000486B0000}"/>
    <cellStyle name="40% - Accent3 4 2 2 3 2 2 2 2" xfId="23016" xr:uid="{00000000-0005-0000-0000-0000496B0000}"/>
    <cellStyle name="40% - Accent3 4 2 2 3 2 2 2 2 2" xfId="45618" xr:uid="{00000000-0005-0000-0000-00004A6B0000}"/>
    <cellStyle name="40% - Accent3 4 2 2 3 2 2 2 3" xfId="34317" xr:uid="{00000000-0005-0000-0000-00004B6B0000}"/>
    <cellStyle name="40% - Accent3 4 2 2 3 2 2 3" xfId="17366" xr:uid="{00000000-0005-0000-0000-00004C6B0000}"/>
    <cellStyle name="40% - Accent3 4 2 2 3 2 2 3 2" xfId="39968" xr:uid="{00000000-0005-0000-0000-00004D6B0000}"/>
    <cellStyle name="40% - Accent3 4 2 2 3 2 2 4" xfId="28667" xr:uid="{00000000-0005-0000-0000-00004E6B0000}"/>
    <cellStyle name="40% - Accent3 4 2 2 3 2 3" xfId="8883" xr:uid="{00000000-0005-0000-0000-00004F6B0000}"/>
    <cellStyle name="40% - Accent3 4 2 2 3 2 3 2" xfId="20184" xr:uid="{00000000-0005-0000-0000-0000506B0000}"/>
    <cellStyle name="40% - Accent3 4 2 2 3 2 3 2 2" xfId="42786" xr:uid="{00000000-0005-0000-0000-0000516B0000}"/>
    <cellStyle name="40% - Accent3 4 2 2 3 2 3 3" xfId="31485" xr:uid="{00000000-0005-0000-0000-0000526B0000}"/>
    <cellStyle name="40% - Accent3 4 2 2 3 2 4" xfId="14534" xr:uid="{00000000-0005-0000-0000-0000536B0000}"/>
    <cellStyle name="40% - Accent3 4 2 2 3 2 4 2" xfId="37136" xr:uid="{00000000-0005-0000-0000-0000546B0000}"/>
    <cellStyle name="40% - Accent3 4 2 2 3 2 5" xfId="25835" xr:uid="{00000000-0005-0000-0000-0000556B0000}"/>
    <cellStyle name="40% - Accent3 4 2 2 3 3" xfId="4831" xr:uid="{00000000-0005-0000-0000-0000566B0000}"/>
    <cellStyle name="40% - Accent3 4 2 2 3 3 2" xfId="10481" xr:uid="{00000000-0005-0000-0000-0000576B0000}"/>
    <cellStyle name="40% - Accent3 4 2 2 3 3 2 2" xfId="21782" xr:uid="{00000000-0005-0000-0000-0000586B0000}"/>
    <cellStyle name="40% - Accent3 4 2 2 3 3 2 2 2" xfId="44384" xr:uid="{00000000-0005-0000-0000-0000596B0000}"/>
    <cellStyle name="40% - Accent3 4 2 2 3 3 2 3" xfId="33083" xr:uid="{00000000-0005-0000-0000-00005A6B0000}"/>
    <cellStyle name="40% - Accent3 4 2 2 3 3 3" xfId="16132" xr:uid="{00000000-0005-0000-0000-00005B6B0000}"/>
    <cellStyle name="40% - Accent3 4 2 2 3 3 3 2" xfId="38734" xr:uid="{00000000-0005-0000-0000-00005C6B0000}"/>
    <cellStyle name="40% - Accent3 4 2 2 3 3 4" xfId="27433" xr:uid="{00000000-0005-0000-0000-00005D6B0000}"/>
    <cellStyle name="40% - Accent3 4 2 2 3 4" xfId="7018" xr:uid="{00000000-0005-0000-0000-00005E6B0000}"/>
    <cellStyle name="40% - Accent3 4 2 2 3 4 2" xfId="18319" xr:uid="{00000000-0005-0000-0000-00005F6B0000}"/>
    <cellStyle name="40% - Accent3 4 2 2 3 4 2 2" xfId="40921" xr:uid="{00000000-0005-0000-0000-0000606B0000}"/>
    <cellStyle name="40% - Accent3 4 2 2 3 4 3" xfId="29620" xr:uid="{00000000-0005-0000-0000-0000616B0000}"/>
    <cellStyle name="40% - Accent3 4 2 2 3 5" xfId="12669" xr:uid="{00000000-0005-0000-0000-0000626B0000}"/>
    <cellStyle name="40% - Accent3 4 2 2 3 5 2" xfId="35271" xr:uid="{00000000-0005-0000-0000-0000636B0000}"/>
    <cellStyle name="40% - Accent3 4 2 2 3 6" xfId="23970" xr:uid="{00000000-0005-0000-0000-0000646B0000}"/>
    <cellStyle name="40% - Accent3 4 2 2 4" xfId="1918" xr:uid="{00000000-0005-0000-0000-0000656B0000}"/>
    <cellStyle name="40% - Accent3 4 2 2 4 2" xfId="3761" xr:uid="{00000000-0005-0000-0000-0000666B0000}"/>
    <cellStyle name="40% - Accent3 4 2 2 4 2 2" xfId="9471" xr:uid="{00000000-0005-0000-0000-0000676B0000}"/>
    <cellStyle name="40% - Accent3 4 2 2 4 2 2 2" xfId="20772" xr:uid="{00000000-0005-0000-0000-0000686B0000}"/>
    <cellStyle name="40% - Accent3 4 2 2 4 2 2 2 2" xfId="43374" xr:uid="{00000000-0005-0000-0000-0000696B0000}"/>
    <cellStyle name="40% - Accent3 4 2 2 4 2 2 3" xfId="32073" xr:uid="{00000000-0005-0000-0000-00006A6B0000}"/>
    <cellStyle name="40% - Accent3 4 2 2 4 2 3" xfId="15122" xr:uid="{00000000-0005-0000-0000-00006B6B0000}"/>
    <cellStyle name="40% - Accent3 4 2 2 4 2 3 2" xfId="37724" xr:uid="{00000000-0005-0000-0000-00006C6B0000}"/>
    <cellStyle name="40% - Accent3 4 2 2 4 2 4" xfId="26423" xr:uid="{00000000-0005-0000-0000-00006D6B0000}"/>
    <cellStyle name="40% - Accent3 4 2 2 4 3" xfId="5441" xr:uid="{00000000-0005-0000-0000-00006E6B0000}"/>
    <cellStyle name="40% - Accent3 4 2 2 4 3 2" xfId="11091" xr:uid="{00000000-0005-0000-0000-00006F6B0000}"/>
    <cellStyle name="40% - Accent3 4 2 2 4 3 2 2" xfId="22392" xr:uid="{00000000-0005-0000-0000-0000706B0000}"/>
    <cellStyle name="40% - Accent3 4 2 2 4 3 2 2 2" xfId="44994" xr:uid="{00000000-0005-0000-0000-0000716B0000}"/>
    <cellStyle name="40% - Accent3 4 2 2 4 3 2 3" xfId="33693" xr:uid="{00000000-0005-0000-0000-0000726B0000}"/>
    <cellStyle name="40% - Accent3 4 2 2 4 3 3" xfId="16742" xr:uid="{00000000-0005-0000-0000-0000736B0000}"/>
    <cellStyle name="40% - Accent3 4 2 2 4 3 3 2" xfId="39344" xr:uid="{00000000-0005-0000-0000-0000746B0000}"/>
    <cellStyle name="40% - Accent3 4 2 2 4 3 4" xfId="28043" xr:uid="{00000000-0005-0000-0000-0000756B0000}"/>
    <cellStyle name="40% - Accent3 4 2 2 4 4" xfId="7774" xr:uid="{00000000-0005-0000-0000-0000766B0000}"/>
    <cellStyle name="40% - Accent3 4 2 2 4 4 2" xfId="19075" xr:uid="{00000000-0005-0000-0000-0000776B0000}"/>
    <cellStyle name="40% - Accent3 4 2 2 4 4 2 2" xfId="41677" xr:uid="{00000000-0005-0000-0000-0000786B0000}"/>
    <cellStyle name="40% - Accent3 4 2 2 4 4 3" xfId="30376" xr:uid="{00000000-0005-0000-0000-0000796B0000}"/>
    <cellStyle name="40% - Accent3 4 2 2 4 5" xfId="13425" xr:uid="{00000000-0005-0000-0000-00007A6B0000}"/>
    <cellStyle name="40% - Accent3 4 2 2 4 5 2" xfId="36027" xr:uid="{00000000-0005-0000-0000-00007B6B0000}"/>
    <cellStyle name="40% - Accent3 4 2 2 4 6" xfId="24726" xr:uid="{00000000-0005-0000-0000-00007C6B0000}"/>
    <cellStyle name="40% - Accent3 4 2 2 5" xfId="2422" xr:uid="{00000000-0005-0000-0000-00007D6B0000}"/>
    <cellStyle name="40% - Accent3 4 2 2 5 2" xfId="8258" xr:uid="{00000000-0005-0000-0000-00007E6B0000}"/>
    <cellStyle name="40% - Accent3 4 2 2 5 2 2" xfId="19559" xr:uid="{00000000-0005-0000-0000-00007F6B0000}"/>
    <cellStyle name="40% - Accent3 4 2 2 5 2 2 2" xfId="42161" xr:uid="{00000000-0005-0000-0000-0000806B0000}"/>
    <cellStyle name="40% - Accent3 4 2 2 5 2 3" xfId="30860" xr:uid="{00000000-0005-0000-0000-0000816B0000}"/>
    <cellStyle name="40% - Accent3 4 2 2 5 3" xfId="13909" xr:uid="{00000000-0005-0000-0000-0000826B0000}"/>
    <cellStyle name="40% - Accent3 4 2 2 5 3 2" xfId="36511" xr:uid="{00000000-0005-0000-0000-0000836B0000}"/>
    <cellStyle name="40% - Accent3 4 2 2 5 4" xfId="25210" xr:uid="{00000000-0005-0000-0000-0000846B0000}"/>
    <cellStyle name="40% - Accent3 4 2 2 6" xfId="4207" xr:uid="{00000000-0005-0000-0000-0000856B0000}"/>
    <cellStyle name="40% - Accent3 4 2 2 6 2" xfId="9857" xr:uid="{00000000-0005-0000-0000-0000866B0000}"/>
    <cellStyle name="40% - Accent3 4 2 2 6 2 2" xfId="21158" xr:uid="{00000000-0005-0000-0000-0000876B0000}"/>
    <cellStyle name="40% - Accent3 4 2 2 6 2 2 2" xfId="43760" xr:uid="{00000000-0005-0000-0000-0000886B0000}"/>
    <cellStyle name="40% - Accent3 4 2 2 6 2 3" xfId="32459" xr:uid="{00000000-0005-0000-0000-0000896B0000}"/>
    <cellStyle name="40% - Accent3 4 2 2 6 3" xfId="15508" xr:uid="{00000000-0005-0000-0000-00008A6B0000}"/>
    <cellStyle name="40% - Accent3 4 2 2 6 3 2" xfId="38110" xr:uid="{00000000-0005-0000-0000-00008B6B0000}"/>
    <cellStyle name="40% - Accent3 4 2 2 6 4" xfId="26809" xr:uid="{00000000-0005-0000-0000-00008C6B0000}"/>
    <cellStyle name="40% - Accent3 4 2 2 7" xfId="6687" xr:uid="{00000000-0005-0000-0000-00008D6B0000}"/>
    <cellStyle name="40% - Accent3 4 2 2 7 2" xfId="17988" xr:uid="{00000000-0005-0000-0000-00008E6B0000}"/>
    <cellStyle name="40% - Accent3 4 2 2 7 2 2" xfId="40590" xr:uid="{00000000-0005-0000-0000-00008F6B0000}"/>
    <cellStyle name="40% - Accent3 4 2 2 7 3" xfId="29289" xr:uid="{00000000-0005-0000-0000-0000906B0000}"/>
    <cellStyle name="40% - Accent3 4 2 2 8" xfId="12338" xr:uid="{00000000-0005-0000-0000-0000916B0000}"/>
    <cellStyle name="40% - Accent3 4 2 2 8 2" xfId="34940" xr:uid="{00000000-0005-0000-0000-0000926B0000}"/>
    <cellStyle name="40% - Accent3 4 2 2 9" xfId="23639" xr:uid="{00000000-0005-0000-0000-0000936B0000}"/>
    <cellStyle name="40% - Accent3 4 2 3" xfId="1194" xr:uid="{00000000-0005-0000-0000-0000946B0000}"/>
    <cellStyle name="40% - Accent3 4 2 3 2" xfId="1920" xr:uid="{00000000-0005-0000-0000-0000956B0000}"/>
    <cellStyle name="40% - Accent3 4 2 3 2 2" xfId="3262" xr:uid="{00000000-0005-0000-0000-0000966B0000}"/>
    <cellStyle name="40% - Accent3 4 2 3 2 2 2" xfId="6234" xr:uid="{00000000-0005-0000-0000-0000976B0000}"/>
    <cellStyle name="40% - Accent3 4 2 3 2 2 2 2" xfId="11884" xr:uid="{00000000-0005-0000-0000-0000986B0000}"/>
    <cellStyle name="40% - Accent3 4 2 3 2 2 2 2 2" xfId="23185" xr:uid="{00000000-0005-0000-0000-0000996B0000}"/>
    <cellStyle name="40% - Accent3 4 2 3 2 2 2 2 2 2" xfId="45787" xr:uid="{00000000-0005-0000-0000-00009A6B0000}"/>
    <cellStyle name="40% - Accent3 4 2 3 2 2 2 2 3" xfId="34486" xr:uid="{00000000-0005-0000-0000-00009B6B0000}"/>
    <cellStyle name="40% - Accent3 4 2 3 2 2 2 3" xfId="17535" xr:uid="{00000000-0005-0000-0000-00009C6B0000}"/>
    <cellStyle name="40% - Accent3 4 2 3 2 2 2 3 2" xfId="40137" xr:uid="{00000000-0005-0000-0000-00009D6B0000}"/>
    <cellStyle name="40% - Accent3 4 2 3 2 2 2 4" xfId="28836" xr:uid="{00000000-0005-0000-0000-00009E6B0000}"/>
    <cellStyle name="40% - Accent3 4 2 3 2 2 3" xfId="9052" xr:uid="{00000000-0005-0000-0000-00009F6B0000}"/>
    <cellStyle name="40% - Accent3 4 2 3 2 2 3 2" xfId="20353" xr:uid="{00000000-0005-0000-0000-0000A06B0000}"/>
    <cellStyle name="40% - Accent3 4 2 3 2 2 3 2 2" xfId="42955" xr:uid="{00000000-0005-0000-0000-0000A16B0000}"/>
    <cellStyle name="40% - Accent3 4 2 3 2 2 3 3" xfId="31654" xr:uid="{00000000-0005-0000-0000-0000A26B0000}"/>
    <cellStyle name="40% - Accent3 4 2 3 2 2 4" xfId="14703" xr:uid="{00000000-0005-0000-0000-0000A36B0000}"/>
    <cellStyle name="40% - Accent3 4 2 3 2 2 4 2" xfId="37305" xr:uid="{00000000-0005-0000-0000-0000A46B0000}"/>
    <cellStyle name="40% - Accent3 4 2 3 2 2 5" xfId="26004" xr:uid="{00000000-0005-0000-0000-0000A56B0000}"/>
    <cellStyle name="40% - Accent3 4 2 3 2 3" xfId="5000" xr:uid="{00000000-0005-0000-0000-0000A66B0000}"/>
    <cellStyle name="40% - Accent3 4 2 3 2 3 2" xfId="10650" xr:uid="{00000000-0005-0000-0000-0000A76B0000}"/>
    <cellStyle name="40% - Accent3 4 2 3 2 3 2 2" xfId="21951" xr:uid="{00000000-0005-0000-0000-0000A86B0000}"/>
    <cellStyle name="40% - Accent3 4 2 3 2 3 2 2 2" xfId="44553" xr:uid="{00000000-0005-0000-0000-0000A96B0000}"/>
    <cellStyle name="40% - Accent3 4 2 3 2 3 2 3" xfId="33252" xr:uid="{00000000-0005-0000-0000-0000AA6B0000}"/>
    <cellStyle name="40% - Accent3 4 2 3 2 3 3" xfId="16301" xr:uid="{00000000-0005-0000-0000-0000AB6B0000}"/>
    <cellStyle name="40% - Accent3 4 2 3 2 3 3 2" xfId="38903" xr:uid="{00000000-0005-0000-0000-0000AC6B0000}"/>
    <cellStyle name="40% - Accent3 4 2 3 2 3 4" xfId="27602" xr:uid="{00000000-0005-0000-0000-0000AD6B0000}"/>
    <cellStyle name="40% - Accent3 4 2 3 2 4" xfId="7776" xr:uid="{00000000-0005-0000-0000-0000AE6B0000}"/>
    <cellStyle name="40% - Accent3 4 2 3 2 4 2" xfId="19077" xr:uid="{00000000-0005-0000-0000-0000AF6B0000}"/>
    <cellStyle name="40% - Accent3 4 2 3 2 4 2 2" xfId="41679" xr:uid="{00000000-0005-0000-0000-0000B06B0000}"/>
    <cellStyle name="40% - Accent3 4 2 3 2 4 3" xfId="30378" xr:uid="{00000000-0005-0000-0000-0000B16B0000}"/>
    <cellStyle name="40% - Accent3 4 2 3 2 5" xfId="13427" xr:uid="{00000000-0005-0000-0000-0000B26B0000}"/>
    <cellStyle name="40% - Accent3 4 2 3 2 5 2" xfId="36029" xr:uid="{00000000-0005-0000-0000-0000B36B0000}"/>
    <cellStyle name="40% - Accent3 4 2 3 2 6" xfId="24728" xr:uid="{00000000-0005-0000-0000-0000B46B0000}"/>
    <cellStyle name="40% - Accent3 4 2 3 3" xfId="2591" xr:uid="{00000000-0005-0000-0000-0000B56B0000}"/>
    <cellStyle name="40% - Accent3 4 2 3 3 2" xfId="5610" xr:uid="{00000000-0005-0000-0000-0000B66B0000}"/>
    <cellStyle name="40% - Accent3 4 2 3 3 2 2" xfId="11260" xr:uid="{00000000-0005-0000-0000-0000B76B0000}"/>
    <cellStyle name="40% - Accent3 4 2 3 3 2 2 2" xfId="22561" xr:uid="{00000000-0005-0000-0000-0000B86B0000}"/>
    <cellStyle name="40% - Accent3 4 2 3 3 2 2 2 2" xfId="45163" xr:uid="{00000000-0005-0000-0000-0000B96B0000}"/>
    <cellStyle name="40% - Accent3 4 2 3 3 2 2 3" xfId="33862" xr:uid="{00000000-0005-0000-0000-0000BA6B0000}"/>
    <cellStyle name="40% - Accent3 4 2 3 3 2 3" xfId="16911" xr:uid="{00000000-0005-0000-0000-0000BB6B0000}"/>
    <cellStyle name="40% - Accent3 4 2 3 3 2 3 2" xfId="39513" xr:uid="{00000000-0005-0000-0000-0000BC6B0000}"/>
    <cellStyle name="40% - Accent3 4 2 3 3 2 4" xfId="28212" xr:uid="{00000000-0005-0000-0000-0000BD6B0000}"/>
    <cellStyle name="40% - Accent3 4 2 3 3 3" xfId="8427" xr:uid="{00000000-0005-0000-0000-0000BE6B0000}"/>
    <cellStyle name="40% - Accent3 4 2 3 3 3 2" xfId="19728" xr:uid="{00000000-0005-0000-0000-0000BF6B0000}"/>
    <cellStyle name="40% - Accent3 4 2 3 3 3 2 2" xfId="42330" xr:uid="{00000000-0005-0000-0000-0000C06B0000}"/>
    <cellStyle name="40% - Accent3 4 2 3 3 3 3" xfId="31029" xr:uid="{00000000-0005-0000-0000-0000C16B0000}"/>
    <cellStyle name="40% - Accent3 4 2 3 3 4" xfId="14078" xr:uid="{00000000-0005-0000-0000-0000C26B0000}"/>
    <cellStyle name="40% - Accent3 4 2 3 3 4 2" xfId="36680" xr:uid="{00000000-0005-0000-0000-0000C36B0000}"/>
    <cellStyle name="40% - Accent3 4 2 3 3 5" xfId="25379" xr:uid="{00000000-0005-0000-0000-0000C46B0000}"/>
    <cellStyle name="40% - Accent3 4 2 3 4" xfId="4376" xr:uid="{00000000-0005-0000-0000-0000C56B0000}"/>
    <cellStyle name="40% - Accent3 4 2 3 4 2" xfId="10026" xr:uid="{00000000-0005-0000-0000-0000C66B0000}"/>
    <cellStyle name="40% - Accent3 4 2 3 4 2 2" xfId="21327" xr:uid="{00000000-0005-0000-0000-0000C76B0000}"/>
    <cellStyle name="40% - Accent3 4 2 3 4 2 2 2" xfId="43929" xr:uid="{00000000-0005-0000-0000-0000C86B0000}"/>
    <cellStyle name="40% - Accent3 4 2 3 4 2 3" xfId="32628" xr:uid="{00000000-0005-0000-0000-0000C96B0000}"/>
    <cellStyle name="40% - Accent3 4 2 3 4 3" xfId="15677" xr:uid="{00000000-0005-0000-0000-0000CA6B0000}"/>
    <cellStyle name="40% - Accent3 4 2 3 4 3 2" xfId="38279" xr:uid="{00000000-0005-0000-0000-0000CB6B0000}"/>
    <cellStyle name="40% - Accent3 4 2 3 4 4" xfId="26978" xr:uid="{00000000-0005-0000-0000-0000CC6B0000}"/>
    <cellStyle name="40% - Accent3 4 2 3 5" xfId="7173" xr:uid="{00000000-0005-0000-0000-0000CD6B0000}"/>
    <cellStyle name="40% - Accent3 4 2 3 5 2" xfId="18474" xr:uid="{00000000-0005-0000-0000-0000CE6B0000}"/>
    <cellStyle name="40% - Accent3 4 2 3 5 2 2" xfId="41076" xr:uid="{00000000-0005-0000-0000-0000CF6B0000}"/>
    <cellStyle name="40% - Accent3 4 2 3 5 3" xfId="29775" xr:uid="{00000000-0005-0000-0000-0000D06B0000}"/>
    <cellStyle name="40% - Accent3 4 2 3 6" xfId="12824" xr:uid="{00000000-0005-0000-0000-0000D16B0000}"/>
    <cellStyle name="40% - Accent3 4 2 3 6 2" xfId="35426" xr:uid="{00000000-0005-0000-0000-0000D26B0000}"/>
    <cellStyle name="40% - Accent3 4 2 3 7" xfId="24125" xr:uid="{00000000-0005-0000-0000-0000D36B0000}"/>
    <cellStyle name="40% - Accent3 4 2 4" xfId="884" xr:uid="{00000000-0005-0000-0000-0000D46B0000}"/>
    <cellStyle name="40% - Accent3 4 2 4 2" xfId="2955" xr:uid="{00000000-0005-0000-0000-0000D56B0000}"/>
    <cellStyle name="40% - Accent3 4 2 4 2 2" xfId="5927" xr:uid="{00000000-0005-0000-0000-0000D66B0000}"/>
    <cellStyle name="40% - Accent3 4 2 4 2 2 2" xfId="11577" xr:uid="{00000000-0005-0000-0000-0000D76B0000}"/>
    <cellStyle name="40% - Accent3 4 2 4 2 2 2 2" xfId="22878" xr:uid="{00000000-0005-0000-0000-0000D86B0000}"/>
    <cellStyle name="40% - Accent3 4 2 4 2 2 2 2 2" xfId="45480" xr:uid="{00000000-0005-0000-0000-0000D96B0000}"/>
    <cellStyle name="40% - Accent3 4 2 4 2 2 2 3" xfId="34179" xr:uid="{00000000-0005-0000-0000-0000DA6B0000}"/>
    <cellStyle name="40% - Accent3 4 2 4 2 2 3" xfId="17228" xr:uid="{00000000-0005-0000-0000-0000DB6B0000}"/>
    <cellStyle name="40% - Accent3 4 2 4 2 2 3 2" xfId="39830" xr:uid="{00000000-0005-0000-0000-0000DC6B0000}"/>
    <cellStyle name="40% - Accent3 4 2 4 2 2 4" xfId="28529" xr:uid="{00000000-0005-0000-0000-0000DD6B0000}"/>
    <cellStyle name="40% - Accent3 4 2 4 2 3" xfId="8745" xr:uid="{00000000-0005-0000-0000-0000DE6B0000}"/>
    <cellStyle name="40% - Accent3 4 2 4 2 3 2" xfId="20046" xr:uid="{00000000-0005-0000-0000-0000DF6B0000}"/>
    <cellStyle name="40% - Accent3 4 2 4 2 3 2 2" xfId="42648" xr:uid="{00000000-0005-0000-0000-0000E06B0000}"/>
    <cellStyle name="40% - Accent3 4 2 4 2 3 3" xfId="31347" xr:uid="{00000000-0005-0000-0000-0000E16B0000}"/>
    <cellStyle name="40% - Accent3 4 2 4 2 4" xfId="14396" xr:uid="{00000000-0005-0000-0000-0000E26B0000}"/>
    <cellStyle name="40% - Accent3 4 2 4 2 4 2" xfId="36998" xr:uid="{00000000-0005-0000-0000-0000E36B0000}"/>
    <cellStyle name="40% - Accent3 4 2 4 2 5" xfId="25697" xr:uid="{00000000-0005-0000-0000-0000E46B0000}"/>
    <cellStyle name="40% - Accent3 4 2 4 3" xfId="4693" xr:uid="{00000000-0005-0000-0000-0000E56B0000}"/>
    <cellStyle name="40% - Accent3 4 2 4 3 2" xfId="10343" xr:uid="{00000000-0005-0000-0000-0000E66B0000}"/>
    <cellStyle name="40% - Accent3 4 2 4 3 2 2" xfId="21644" xr:uid="{00000000-0005-0000-0000-0000E76B0000}"/>
    <cellStyle name="40% - Accent3 4 2 4 3 2 2 2" xfId="44246" xr:uid="{00000000-0005-0000-0000-0000E86B0000}"/>
    <cellStyle name="40% - Accent3 4 2 4 3 2 3" xfId="32945" xr:uid="{00000000-0005-0000-0000-0000E96B0000}"/>
    <cellStyle name="40% - Accent3 4 2 4 3 3" xfId="15994" xr:uid="{00000000-0005-0000-0000-0000EA6B0000}"/>
    <cellStyle name="40% - Accent3 4 2 4 3 3 2" xfId="38596" xr:uid="{00000000-0005-0000-0000-0000EB6B0000}"/>
    <cellStyle name="40% - Accent3 4 2 4 3 4" xfId="27295" xr:uid="{00000000-0005-0000-0000-0000EC6B0000}"/>
    <cellStyle name="40% - Accent3 4 2 4 4" xfId="6880" xr:uid="{00000000-0005-0000-0000-0000ED6B0000}"/>
    <cellStyle name="40% - Accent3 4 2 4 4 2" xfId="18181" xr:uid="{00000000-0005-0000-0000-0000EE6B0000}"/>
    <cellStyle name="40% - Accent3 4 2 4 4 2 2" xfId="40783" xr:uid="{00000000-0005-0000-0000-0000EF6B0000}"/>
    <cellStyle name="40% - Accent3 4 2 4 4 3" xfId="29482" xr:uid="{00000000-0005-0000-0000-0000F06B0000}"/>
    <cellStyle name="40% - Accent3 4 2 4 5" xfId="12531" xr:uid="{00000000-0005-0000-0000-0000F16B0000}"/>
    <cellStyle name="40% - Accent3 4 2 4 5 2" xfId="35133" xr:uid="{00000000-0005-0000-0000-0000F26B0000}"/>
    <cellStyle name="40% - Accent3 4 2 4 6" xfId="23832" xr:uid="{00000000-0005-0000-0000-0000F36B0000}"/>
    <cellStyle name="40% - Accent3 4 2 5" xfId="1917" xr:uid="{00000000-0005-0000-0000-0000F46B0000}"/>
    <cellStyle name="40% - Accent3 4 2 5 2" xfId="3760" xr:uid="{00000000-0005-0000-0000-0000F56B0000}"/>
    <cellStyle name="40% - Accent3 4 2 5 2 2" xfId="9470" xr:uid="{00000000-0005-0000-0000-0000F66B0000}"/>
    <cellStyle name="40% - Accent3 4 2 5 2 2 2" xfId="20771" xr:uid="{00000000-0005-0000-0000-0000F76B0000}"/>
    <cellStyle name="40% - Accent3 4 2 5 2 2 2 2" xfId="43373" xr:uid="{00000000-0005-0000-0000-0000F86B0000}"/>
    <cellStyle name="40% - Accent3 4 2 5 2 2 3" xfId="32072" xr:uid="{00000000-0005-0000-0000-0000F96B0000}"/>
    <cellStyle name="40% - Accent3 4 2 5 2 3" xfId="15121" xr:uid="{00000000-0005-0000-0000-0000FA6B0000}"/>
    <cellStyle name="40% - Accent3 4 2 5 2 3 2" xfId="37723" xr:uid="{00000000-0005-0000-0000-0000FB6B0000}"/>
    <cellStyle name="40% - Accent3 4 2 5 2 4" xfId="26422" xr:uid="{00000000-0005-0000-0000-0000FC6B0000}"/>
    <cellStyle name="40% - Accent3 4 2 5 3" xfId="5303" xr:uid="{00000000-0005-0000-0000-0000FD6B0000}"/>
    <cellStyle name="40% - Accent3 4 2 5 3 2" xfId="10953" xr:uid="{00000000-0005-0000-0000-0000FE6B0000}"/>
    <cellStyle name="40% - Accent3 4 2 5 3 2 2" xfId="22254" xr:uid="{00000000-0005-0000-0000-0000FF6B0000}"/>
    <cellStyle name="40% - Accent3 4 2 5 3 2 2 2" xfId="44856" xr:uid="{00000000-0005-0000-0000-0000006C0000}"/>
    <cellStyle name="40% - Accent3 4 2 5 3 2 3" xfId="33555" xr:uid="{00000000-0005-0000-0000-0000016C0000}"/>
    <cellStyle name="40% - Accent3 4 2 5 3 3" xfId="16604" xr:uid="{00000000-0005-0000-0000-0000026C0000}"/>
    <cellStyle name="40% - Accent3 4 2 5 3 3 2" xfId="39206" xr:uid="{00000000-0005-0000-0000-0000036C0000}"/>
    <cellStyle name="40% - Accent3 4 2 5 3 4" xfId="27905" xr:uid="{00000000-0005-0000-0000-0000046C0000}"/>
    <cellStyle name="40% - Accent3 4 2 5 4" xfId="7773" xr:uid="{00000000-0005-0000-0000-0000056C0000}"/>
    <cellStyle name="40% - Accent3 4 2 5 4 2" xfId="19074" xr:uid="{00000000-0005-0000-0000-0000066C0000}"/>
    <cellStyle name="40% - Accent3 4 2 5 4 2 2" xfId="41676" xr:uid="{00000000-0005-0000-0000-0000076C0000}"/>
    <cellStyle name="40% - Accent3 4 2 5 4 3" xfId="30375" xr:uid="{00000000-0005-0000-0000-0000086C0000}"/>
    <cellStyle name="40% - Accent3 4 2 5 5" xfId="13424" xr:uid="{00000000-0005-0000-0000-0000096C0000}"/>
    <cellStyle name="40% - Accent3 4 2 5 5 2" xfId="36026" xr:uid="{00000000-0005-0000-0000-00000A6C0000}"/>
    <cellStyle name="40% - Accent3 4 2 5 6" xfId="24725" xr:uid="{00000000-0005-0000-0000-00000B6C0000}"/>
    <cellStyle name="40% - Accent3 4 2 6" xfId="2282" xr:uid="{00000000-0005-0000-0000-00000C6C0000}"/>
    <cellStyle name="40% - Accent3 4 2 6 2" xfId="8118" xr:uid="{00000000-0005-0000-0000-00000D6C0000}"/>
    <cellStyle name="40% - Accent3 4 2 6 2 2" xfId="19419" xr:uid="{00000000-0005-0000-0000-00000E6C0000}"/>
    <cellStyle name="40% - Accent3 4 2 6 2 2 2" xfId="42021" xr:uid="{00000000-0005-0000-0000-00000F6C0000}"/>
    <cellStyle name="40% - Accent3 4 2 6 2 3" xfId="30720" xr:uid="{00000000-0005-0000-0000-0000106C0000}"/>
    <cellStyle name="40% - Accent3 4 2 6 3" xfId="13769" xr:uid="{00000000-0005-0000-0000-0000116C0000}"/>
    <cellStyle name="40% - Accent3 4 2 6 3 2" xfId="36371" xr:uid="{00000000-0005-0000-0000-0000126C0000}"/>
    <cellStyle name="40% - Accent3 4 2 6 4" xfId="25070" xr:uid="{00000000-0005-0000-0000-0000136C0000}"/>
    <cellStyle name="40% - Accent3 4 2 7" xfId="4069" xr:uid="{00000000-0005-0000-0000-0000146C0000}"/>
    <cellStyle name="40% - Accent3 4 2 7 2" xfId="9719" xr:uid="{00000000-0005-0000-0000-0000156C0000}"/>
    <cellStyle name="40% - Accent3 4 2 7 2 2" xfId="21020" xr:uid="{00000000-0005-0000-0000-0000166C0000}"/>
    <cellStyle name="40% - Accent3 4 2 7 2 2 2" xfId="43622" xr:uid="{00000000-0005-0000-0000-0000176C0000}"/>
    <cellStyle name="40% - Accent3 4 2 7 2 3" xfId="32321" xr:uid="{00000000-0005-0000-0000-0000186C0000}"/>
    <cellStyle name="40% - Accent3 4 2 7 3" xfId="15370" xr:uid="{00000000-0005-0000-0000-0000196C0000}"/>
    <cellStyle name="40% - Accent3 4 2 7 3 2" xfId="37972" xr:uid="{00000000-0005-0000-0000-00001A6C0000}"/>
    <cellStyle name="40% - Accent3 4 2 7 4" xfId="26671" xr:uid="{00000000-0005-0000-0000-00001B6C0000}"/>
    <cellStyle name="40% - Accent3 4 2 8" xfId="6520" xr:uid="{00000000-0005-0000-0000-00001C6C0000}"/>
    <cellStyle name="40% - Accent3 4 2 8 2" xfId="17821" xr:uid="{00000000-0005-0000-0000-00001D6C0000}"/>
    <cellStyle name="40% - Accent3 4 2 8 2 2" xfId="40423" xr:uid="{00000000-0005-0000-0000-00001E6C0000}"/>
    <cellStyle name="40% - Accent3 4 2 8 3" xfId="29122" xr:uid="{00000000-0005-0000-0000-00001F6C0000}"/>
    <cellStyle name="40% - Accent3 4 2 9" xfId="12171" xr:uid="{00000000-0005-0000-0000-0000206C0000}"/>
    <cellStyle name="40% - Accent3 4 2 9 2" xfId="34773" xr:uid="{00000000-0005-0000-0000-0000216C0000}"/>
    <cellStyle name="40% - Accent3 4 3" xfId="426" xr:uid="{00000000-0005-0000-0000-0000226C0000}"/>
    <cellStyle name="40% - Accent3 4 3 10" xfId="23521" xr:uid="{00000000-0005-0000-0000-0000236C0000}"/>
    <cellStyle name="40% - Accent3 4 3 2" xfId="671" xr:uid="{00000000-0005-0000-0000-0000246C0000}"/>
    <cellStyle name="40% - Accent3 4 3 2 2" xfId="1381" xr:uid="{00000000-0005-0000-0000-0000256C0000}"/>
    <cellStyle name="40% - Accent3 4 3 2 2 2" xfId="1923" xr:uid="{00000000-0005-0000-0000-0000266C0000}"/>
    <cellStyle name="40% - Accent3 4 3 2 2 2 2" xfId="3450" xr:uid="{00000000-0005-0000-0000-0000276C0000}"/>
    <cellStyle name="40% - Accent3 4 3 2 2 2 2 2" xfId="6422" xr:uid="{00000000-0005-0000-0000-0000286C0000}"/>
    <cellStyle name="40% - Accent3 4 3 2 2 2 2 2 2" xfId="12072" xr:uid="{00000000-0005-0000-0000-0000296C0000}"/>
    <cellStyle name="40% - Accent3 4 3 2 2 2 2 2 2 2" xfId="23373" xr:uid="{00000000-0005-0000-0000-00002A6C0000}"/>
    <cellStyle name="40% - Accent3 4 3 2 2 2 2 2 2 2 2" xfId="45975" xr:uid="{00000000-0005-0000-0000-00002B6C0000}"/>
    <cellStyle name="40% - Accent3 4 3 2 2 2 2 2 2 3" xfId="34674" xr:uid="{00000000-0005-0000-0000-00002C6C0000}"/>
    <cellStyle name="40% - Accent3 4 3 2 2 2 2 2 3" xfId="17723" xr:uid="{00000000-0005-0000-0000-00002D6C0000}"/>
    <cellStyle name="40% - Accent3 4 3 2 2 2 2 2 3 2" xfId="40325" xr:uid="{00000000-0005-0000-0000-00002E6C0000}"/>
    <cellStyle name="40% - Accent3 4 3 2 2 2 2 2 4" xfId="29024" xr:uid="{00000000-0005-0000-0000-00002F6C0000}"/>
    <cellStyle name="40% - Accent3 4 3 2 2 2 2 3" xfId="9240" xr:uid="{00000000-0005-0000-0000-0000306C0000}"/>
    <cellStyle name="40% - Accent3 4 3 2 2 2 2 3 2" xfId="20541" xr:uid="{00000000-0005-0000-0000-0000316C0000}"/>
    <cellStyle name="40% - Accent3 4 3 2 2 2 2 3 2 2" xfId="43143" xr:uid="{00000000-0005-0000-0000-0000326C0000}"/>
    <cellStyle name="40% - Accent3 4 3 2 2 2 2 3 3" xfId="31842" xr:uid="{00000000-0005-0000-0000-0000336C0000}"/>
    <cellStyle name="40% - Accent3 4 3 2 2 2 2 4" xfId="14891" xr:uid="{00000000-0005-0000-0000-0000346C0000}"/>
    <cellStyle name="40% - Accent3 4 3 2 2 2 2 4 2" xfId="37493" xr:uid="{00000000-0005-0000-0000-0000356C0000}"/>
    <cellStyle name="40% - Accent3 4 3 2 2 2 2 5" xfId="26192" xr:uid="{00000000-0005-0000-0000-0000366C0000}"/>
    <cellStyle name="40% - Accent3 4 3 2 2 2 3" xfId="5188" xr:uid="{00000000-0005-0000-0000-0000376C0000}"/>
    <cellStyle name="40% - Accent3 4 3 2 2 2 3 2" xfId="10838" xr:uid="{00000000-0005-0000-0000-0000386C0000}"/>
    <cellStyle name="40% - Accent3 4 3 2 2 2 3 2 2" xfId="22139" xr:uid="{00000000-0005-0000-0000-0000396C0000}"/>
    <cellStyle name="40% - Accent3 4 3 2 2 2 3 2 2 2" xfId="44741" xr:uid="{00000000-0005-0000-0000-00003A6C0000}"/>
    <cellStyle name="40% - Accent3 4 3 2 2 2 3 2 3" xfId="33440" xr:uid="{00000000-0005-0000-0000-00003B6C0000}"/>
    <cellStyle name="40% - Accent3 4 3 2 2 2 3 3" xfId="16489" xr:uid="{00000000-0005-0000-0000-00003C6C0000}"/>
    <cellStyle name="40% - Accent3 4 3 2 2 2 3 3 2" xfId="39091" xr:uid="{00000000-0005-0000-0000-00003D6C0000}"/>
    <cellStyle name="40% - Accent3 4 3 2 2 2 3 4" xfId="27790" xr:uid="{00000000-0005-0000-0000-00003E6C0000}"/>
    <cellStyle name="40% - Accent3 4 3 2 2 2 4" xfId="7779" xr:uid="{00000000-0005-0000-0000-00003F6C0000}"/>
    <cellStyle name="40% - Accent3 4 3 2 2 2 4 2" xfId="19080" xr:uid="{00000000-0005-0000-0000-0000406C0000}"/>
    <cellStyle name="40% - Accent3 4 3 2 2 2 4 2 2" xfId="41682" xr:uid="{00000000-0005-0000-0000-0000416C0000}"/>
    <cellStyle name="40% - Accent3 4 3 2 2 2 4 3" xfId="30381" xr:uid="{00000000-0005-0000-0000-0000426C0000}"/>
    <cellStyle name="40% - Accent3 4 3 2 2 2 5" xfId="13430" xr:uid="{00000000-0005-0000-0000-0000436C0000}"/>
    <cellStyle name="40% - Accent3 4 3 2 2 2 5 2" xfId="36032" xr:uid="{00000000-0005-0000-0000-0000446C0000}"/>
    <cellStyle name="40% - Accent3 4 3 2 2 2 6" xfId="24731" xr:uid="{00000000-0005-0000-0000-0000456C0000}"/>
    <cellStyle name="40% - Accent3 4 3 2 2 3" xfId="2779" xr:uid="{00000000-0005-0000-0000-0000466C0000}"/>
    <cellStyle name="40% - Accent3 4 3 2 2 3 2" xfId="5798" xr:uid="{00000000-0005-0000-0000-0000476C0000}"/>
    <cellStyle name="40% - Accent3 4 3 2 2 3 2 2" xfId="11448" xr:uid="{00000000-0005-0000-0000-0000486C0000}"/>
    <cellStyle name="40% - Accent3 4 3 2 2 3 2 2 2" xfId="22749" xr:uid="{00000000-0005-0000-0000-0000496C0000}"/>
    <cellStyle name="40% - Accent3 4 3 2 2 3 2 2 2 2" xfId="45351" xr:uid="{00000000-0005-0000-0000-00004A6C0000}"/>
    <cellStyle name="40% - Accent3 4 3 2 2 3 2 2 3" xfId="34050" xr:uid="{00000000-0005-0000-0000-00004B6C0000}"/>
    <cellStyle name="40% - Accent3 4 3 2 2 3 2 3" xfId="17099" xr:uid="{00000000-0005-0000-0000-00004C6C0000}"/>
    <cellStyle name="40% - Accent3 4 3 2 2 3 2 3 2" xfId="39701" xr:uid="{00000000-0005-0000-0000-00004D6C0000}"/>
    <cellStyle name="40% - Accent3 4 3 2 2 3 2 4" xfId="28400" xr:uid="{00000000-0005-0000-0000-00004E6C0000}"/>
    <cellStyle name="40% - Accent3 4 3 2 2 3 3" xfId="8615" xr:uid="{00000000-0005-0000-0000-00004F6C0000}"/>
    <cellStyle name="40% - Accent3 4 3 2 2 3 3 2" xfId="19916" xr:uid="{00000000-0005-0000-0000-0000506C0000}"/>
    <cellStyle name="40% - Accent3 4 3 2 2 3 3 2 2" xfId="42518" xr:uid="{00000000-0005-0000-0000-0000516C0000}"/>
    <cellStyle name="40% - Accent3 4 3 2 2 3 3 3" xfId="31217" xr:uid="{00000000-0005-0000-0000-0000526C0000}"/>
    <cellStyle name="40% - Accent3 4 3 2 2 3 4" xfId="14266" xr:uid="{00000000-0005-0000-0000-0000536C0000}"/>
    <cellStyle name="40% - Accent3 4 3 2 2 3 4 2" xfId="36868" xr:uid="{00000000-0005-0000-0000-0000546C0000}"/>
    <cellStyle name="40% - Accent3 4 3 2 2 3 5" xfId="25567" xr:uid="{00000000-0005-0000-0000-0000556C0000}"/>
    <cellStyle name="40% - Accent3 4 3 2 2 4" xfId="4564" xr:uid="{00000000-0005-0000-0000-0000566C0000}"/>
    <cellStyle name="40% - Accent3 4 3 2 2 4 2" xfId="10214" xr:uid="{00000000-0005-0000-0000-0000576C0000}"/>
    <cellStyle name="40% - Accent3 4 3 2 2 4 2 2" xfId="21515" xr:uid="{00000000-0005-0000-0000-0000586C0000}"/>
    <cellStyle name="40% - Accent3 4 3 2 2 4 2 2 2" xfId="44117" xr:uid="{00000000-0005-0000-0000-0000596C0000}"/>
    <cellStyle name="40% - Accent3 4 3 2 2 4 2 3" xfId="32816" xr:uid="{00000000-0005-0000-0000-00005A6C0000}"/>
    <cellStyle name="40% - Accent3 4 3 2 2 4 3" xfId="15865" xr:uid="{00000000-0005-0000-0000-00005B6C0000}"/>
    <cellStyle name="40% - Accent3 4 3 2 2 4 3 2" xfId="38467" xr:uid="{00000000-0005-0000-0000-00005C6C0000}"/>
    <cellStyle name="40% - Accent3 4 3 2 2 4 4" xfId="27166" xr:uid="{00000000-0005-0000-0000-00005D6C0000}"/>
    <cellStyle name="40% - Accent3 4 3 2 2 5" xfId="7360" xr:uid="{00000000-0005-0000-0000-00005E6C0000}"/>
    <cellStyle name="40% - Accent3 4 3 2 2 5 2" xfId="18661" xr:uid="{00000000-0005-0000-0000-00005F6C0000}"/>
    <cellStyle name="40% - Accent3 4 3 2 2 5 2 2" xfId="41263" xr:uid="{00000000-0005-0000-0000-0000606C0000}"/>
    <cellStyle name="40% - Accent3 4 3 2 2 5 3" xfId="29962" xr:uid="{00000000-0005-0000-0000-0000616C0000}"/>
    <cellStyle name="40% - Accent3 4 3 2 2 6" xfId="13011" xr:uid="{00000000-0005-0000-0000-0000626C0000}"/>
    <cellStyle name="40% - Accent3 4 3 2 2 6 2" xfId="35613" xr:uid="{00000000-0005-0000-0000-0000636C0000}"/>
    <cellStyle name="40% - Accent3 4 3 2 2 7" xfId="24312" xr:uid="{00000000-0005-0000-0000-0000646C0000}"/>
    <cellStyle name="40% - Accent3 4 3 2 3" xfId="1079" xr:uid="{00000000-0005-0000-0000-0000656C0000}"/>
    <cellStyle name="40% - Accent3 4 3 2 3 2" xfId="3142" xr:uid="{00000000-0005-0000-0000-0000666C0000}"/>
    <cellStyle name="40% - Accent3 4 3 2 3 2 2" xfId="6114" xr:uid="{00000000-0005-0000-0000-0000676C0000}"/>
    <cellStyle name="40% - Accent3 4 3 2 3 2 2 2" xfId="11764" xr:uid="{00000000-0005-0000-0000-0000686C0000}"/>
    <cellStyle name="40% - Accent3 4 3 2 3 2 2 2 2" xfId="23065" xr:uid="{00000000-0005-0000-0000-0000696C0000}"/>
    <cellStyle name="40% - Accent3 4 3 2 3 2 2 2 2 2" xfId="45667" xr:uid="{00000000-0005-0000-0000-00006A6C0000}"/>
    <cellStyle name="40% - Accent3 4 3 2 3 2 2 2 3" xfId="34366" xr:uid="{00000000-0005-0000-0000-00006B6C0000}"/>
    <cellStyle name="40% - Accent3 4 3 2 3 2 2 3" xfId="17415" xr:uid="{00000000-0005-0000-0000-00006C6C0000}"/>
    <cellStyle name="40% - Accent3 4 3 2 3 2 2 3 2" xfId="40017" xr:uid="{00000000-0005-0000-0000-00006D6C0000}"/>
    <cellStyle name="40% - Accent3 4 3 2 3 2 2 4" xfId="28716" xr:uid="{00000000-0005-0000-0000-00006E6C0000}"/>
    <cellStyle name="40% - Accent3 4 3 2 3 2 3" xfId="8932" xr:uid="{00000000-0005-0000-0000-00006F6C0000}"/>
    <cellStyle name="40% - Accent3 4 3 2 3 2 3 2" xfId="20233" xr:uid="{00000000-0005-0000-0000-0000706C0000}"/>
    <cellStyle name="40% - Accent3 4 3 2 3 2 3 2 2" xfId="42835" xr:uid="{00000000-0005-0000-0000-0000716C0000}"/>
    <cellStyle name="40% - Accent3 4 3 2 3 2 3 3" xfId="31534" xr:uid="{00000000-0005-0000-0000-0000726C0000}"/>
    <cellStyle name="40% - Accent3 4 3 2 3 2 4" xfId="14583" xr:uid="{00000000-0005-0000-0000-0000736C0000}"/>
    <cellStyle name="40% - Accent3 4 3 2 3 2 4 2" xfId="37185" xr:uid="{00000000-0005-0000-0000-0000746C0000}"/>
    <cellStyle name="40% - Accent3 4 3 2 3 2 5" xfId="25884" xr:uid="{00000000-0005-0000-0000-0000756C0000}"/>
    <cellStyle name="40% - Accent3 4 3 2 3 3" xfId="4880" xr:uid="{00000000-0005-0000-0000-0000766C0000}"/>
    <cellStyle name="40% - Accent3 4 3 2 3 3 2" xfId="10530" xr:uid="{00000000-0005-0000-0000-0000776C0000}"/>
    <cellStyle name="40% - Accent3 4 3 2 3 3 2 2" xfId="21831" xr:uid="{00000000-0005-0000-0000-0000786C0000}"/>
    <cellStyle name="40% - Accent3 4 3 2 3 3 2 2 2" xfId="44433" xr:uid="{00000000-0005-0000-0000-0000796C0000}"/>
    <cellStyle name="40% - Accent3 4 3 2 3 3 2 3" xfId="33132" xr:uid="{00000000-0005-0000-0000-00007A6C0000}"/>
    <cellStyle name="40% - Accent3 4 3 2 3 3 3" xfId="16181" xr:uid="{00000000-0005-0000-0000-00007B6C0000}"/>
    <cellStyle name="40% - Accent3 4 3 2 3 3 3 2" xfId="38783" xr:uid="{00000000-0005-0000-0000-00007C6C0000}"/>
    <cellStyle name="40% - Accent3 4 3 2 3 3 4" xfId="27482" xr:uid="{00000000-0005-0000-0000-00007D6C0000}"/>
    <cellStyle name="40% - Accent3 4 3 2 3 4" xfId="7067" xr:uid="{00000000-0005-0000-0000-00007E6C0000}"/>
    <cellStyle name="40% - Accent3 4 3 2 3 4 2" xfId="18368" xr:uid="{00000000-0005-0000-0000-00007F6C0000}"/>
    <cellStyle name="40% - Accent3 4 3 2 3 4 2 2" xfId="40970" xr:uid="{00000000-0005-0000-0000-0000806C0000}"/>
    <cellStyle name="40% - Accent3 4 3 2 3 4 3" xfId="29669" xr:uid="{00000000-0005-0000-0000-0000816C0000}"/>
    <cellStyle name="40% - Accent3 4 3 2 3 5" xfId="12718" xr:uid="{00000000-0005-0000-0000-0000826C0000}"/>
    <cellStyle name="40% - Accent3 4 3 2 3 5 2" xfId="35320" xr:uid="{00000000-0005-0000-0000-0000836C0000}"/>
    <cellStyle name="40% - Accent3 4 3 2 3 6" xfId="24019" xr:uid="{00000000-0005-0000-0000-0000846C0000}"/>
    <cellStyle name="40% - Accent3 4 3 2 4" xfId="1922" xr:uid="{00000000-0005-0000-0000-0000856C0000}"/>
    <cellStyle name="40% - Accent3 4 3 2 4 2" xfId="3763" xr:uid="{00000000-0005-0000-0000-0000866C0000}"/>
    <cellStyle name="40% - Accent3 4 3 2 4 2 2" xfId="9473" xr:uid="{00000000-0005-0000-0000-0000876C0000}"/>
    <cellStyle name="40% - Accent3 4 3 2 4 2 2 2" xfId="20774" xr:uid="{00000000-0005-0000-0000-0000886C0000}"/>
    <cellStyle name="40% - Accent3 4 3 2 4 2 2 2 2" xfId="43376" xr:uid="{00000000-0005-0000-0000-0000896C0000}"/>
    <cellStyle name="40% - Accent3 4 3 2 4 2 2 3" xfId="32075" xr:uid="{00000000-0005-0000-0000-00008A6C0000}"/>
    <cellStyle name="40% - Accent3 4 3 2 4 2 3" xfId="15124" xr:uid="{00000000-0005-0000-0000-00008B6C0000}"/>
    <cellStyle name="40% - Accent3 4 3 2 4 2 3 2" xfId="37726" xr:uid="{00000000-0005-0000-0000-00008C6C0000}"/>
    <cellStyle name="40% - Accent3 4 3 2 4 2 4" xfId="26425" xr:uid="{00000000-0005-0000-0000-00008D6C0000}"/>
    <cellStyle name="40% - Accent3 4 3 2 4 3" xfId="5490" xr:uid="{00000000-0005-0000-0000-00008E6C0000}"/>
    <cellStyle name="40% - Accent3 4 3 2 4 3 2" xfId="11140" xr:uid="{00000000-0005-0000-0000-00008F6C0000}"/>
    <cellStyle name="40% - Accent3 4 3 2 4 3 2 2" xfId="22441" xr:uid="{00000000-0005-0000-0000-0000906C0000}"/>
    <cellStyle name="40% - Accent3 4 3 2 4 3 2 2 2" xfId="45043" xr:uid="{00000000-0005-0000-0000-0000916C0000}"/>
    <cellStyle name="40% - Accent3 4 3 2 4 3 2 3" xfId="33742" xr:uid="{00000000-0005-0000-0000-0000926C0000}"/>
    <cellStyle name="40% - Accent3 4 3 2 4 3 3" xfId="16791" xr:uid="{00000000-0005-0000-0000-0000936C0000}"/>
    <cellStyle name="40% - Accent3 4 3 2 4 3 3 2" xfId="39393" xr:uid="{00000000-0005-0000-0000-0000946C0000}"/>
    <cellStyle name="40% - Accent3 4 3 2 4 3 4" xfId="28092" xr:uid="{00000000-0005-0000-0000-0000956C0000}"/>
    <cellStyle name="40% - Accent3 4 3 2 4 4" xfId="7778" xr:uid="{00000000-0005-0000-0000-0000966C0000}"/>
    <cellStyle name="40% - Accent3 4 3 2 4 4 2" xfId="19079" xr:uid="{00000000-0005-0000-0000-0000976C0000}"/>
    <cellStyle name="40% - Accent3 4 3 2 4 4 2 2" xfId="41681" xr:uid="{00000000-0005-0000-0000-0000986C0000}"/>
    <cellStyle name="40% - Accent3 4 3 2 4 4 3" xfId="30380" xr:uid="{00000000-0005-0000-0000-0000996C0000}"/>
    <cellStyle name="40% - Accent3 4 3 2 4 5" xfId="13429" xr:uid="{00000000-0005-0000-0000-00009A6C0000}"/>
    <cellStyle name="40% - Accent3 4 3 2 4 5 2" xfId="36031" xr:uid="{00000000-0005-0000-0000-00009B6C0000}"/>
    <cellStyle name="40% - Accent3 4 3 2 4 6" xfId="24730" xr:uid="{00000000-0005-0000-0000-00009C6C0000}"/>
    <cellStyle name="40% - Accent3 4 3 2 5" xfId="2471" xr:uid="{00000000-0005-0000-0000-00009D6C0000}"/>
    <cellStyle name="40% - Accent3 4 3 2 5 2" xfId="8307" xr:uid="{00000000-0005-0000-0000-00009E6C0000}"/>
    <cellStyle name="40% - Accent3 4 3 2 5 2 2" xfId="19608" xr:uid="{00000000-0005-0000-0000-00009F6C0000}"/>
    <cellStyle name="40% - Accent3 4 3 2 5 2 2 2" xfId="42210" xr:uid="{00000000-0005-0000-0000-0000A06C0000}"/>
    <cellStyle name="40% - Accent3 4 3 2 5 2 3" xfId="30909" xr:uid="{00000000-0005-0000-0000-0000A16C0000}"/>
    <cellStyle name="40% - Accent3 4 3 2 5 3" xfId="13958" xr:uid="{00000000-0005-0000-0000-0000A26C0000}"/>
    <cellStyle name="40% - Accent3 4 3 2 5 3 2" xfId="36560" xr:uid="{00000000-0005-0000-0000-0000A36C0000}"/>
    <cellStyle name="40% - Accent3 4 3 2 5 4" xfId="25259" xr:uid="{00000000-0005-0000-0000-0000A46C0000}"/>
    <cellStyle name="40% - Accent3 4 3 2 6" xfId="4256" xr:uid="{00000000-0005-0000-0000-0000A56C0000}"/>
    <cellStyle name="40% - Accent3 4 3 2 6 2" xfId="9906" xr:uid="{00000000-0005-0000-0000-0000A66C0000}"/>
    <cellStyle name="40% - Accent3 4 3 2 6 2 2" xfId="21207" xr:uid="{00000000-0005-0000-0000-0000A76C0000}"/>
    <cellStyle name="40% - Accent3 4 3 2 6 2 2 2" xfId="43809" xr:uid="{00000000-0005-0000-0000-0000A86C0000}"/>
    <cellStyle name="40% - Accent3 4 3 2 6 2 3" xfId="32508" xr:uid="{00000000-0005-0000-0000-0000A96C0000}"/>
    <cellStyle name="40% - Accent3 4 3 2 6 3" xfId="15557" xr:uid="{00000000-0005-0000-0000-0000AA6C0000}"/>
    <cellStyle name="40% - Accent3 4 3 2 6 3 2" xfId="38159" xr:uid="{00000000-0005-0000-0000-0000AB6C0000}"/>
    <cellStyle name="40% - Accent3 4 3 2 6 4" xfId="26858" xr:uid="{00000000-0005-0000-0000-0000AC6C0000}"/>
    <cellStyle name="40% - Accent3 4 3 2 7" xfId="6736" xr:uid="{00000000-0005-0000-0000-0000AD6C0000}"/>
    <cellStyle name="40% - Accent3 4 3 2 7 2" xfId="18037" xr:uid="{00000000-0005-0000-0000-0000AE6C0000}"/>
    <cellStyle name="40% - Accent3 4 3 2 7 2 2" xfId="40639" xr:uid="{00000000-0005-0000-0000-0000AF6C0000}"/>
    <cellStyle name="40% - Accent3 4 3 2 7 3" xfId="29338" xr:uid="{00000000-0005-0000-0000-0000B06C0000}"/>
    <cellStyle name="40% - Accent3 4 3 2 8" xfId="12387" xr:uid="{00000000-0005-0000-0000-0000B16C0000}"/>
    <cellStyle name="40% - Accent3 4 3 2 8 2" xfId="34989" xr:uid="{00000000-0005-0000-0000-0000B26C0000}"/>
    <cellStyle name="40% - Accent3 4 3 2 9" xfId="23688" xr:uid="{00000000-0005-0000-0000-0000B36C0000}"/>
    <cellStyle name="40% - Accent3 4 3 3" xfId="1243" xr:uid="{00000000-0005-0000-0000-0000B46C0000}"/>
    <cellStyle name="40% - Accent3 4 3 3 2" xfId="1924" xr:uid="{00000000-0005-0000-0000-0000B56C0000}"/>
    <cellStyle name="40% - Accent3 4 3 3 2 2" xfId="3311" xr:uid="{00000000-0005-0000-0000-0000B66C0000}"/>
    <cellStyle name="40% - Accent3 4 3 3 2 2 2" xfId="6283" xr:uid="{00000000-0005-0000-0000-0000B76C0000}"/>
    <cellStyle name="40% - Accent3 4 3 3 2 2 2 2" xfId="11933" xr:uid="{00000000-0005-0000-0000-0000B86C0000}"/>
    <cellStyle name="40% - Accent3 4 3 3 2 2 2 2 2" xfId="23234" xr:uid="{00000000-0005-0000-0000-0000B96C0000}"/>
    <cellStyle name="40% - Accent3 4 3 3 2 2 2 2 2 2" xfId="45836" xr:uid="{00000000-0005-0000-0000-0000BA6C0000}"/>
    <cellStyle name="40% - Accent3 4 3 3 2 2 2 2 3" xfId="34535" xr:uid="{00000000-0005-0000-0000-0000BB6C0000}"/>
    <cellStyle name="40% - Accent3 4 3 3 2 2 2 3" xfId="17584" xr:uid="{00000000-0005-0000-0000-0000BC6C0000}"/>
    <cellStyle name="40% - Accent3 4 3 3 2 2 2 3 2" xfId="40186" xr:uid="{00000000-0005-0000-0000-0000BD6C0000}"/>
    <cellStyle name="40% - Accent3 4 3 3 2 2 2 4" xfId="28885" xr:uid="{00000000-0005-0000-0000-0000BE6C0000}"/>
    <cellStyle name="40% - Accent3 4 3 3 2 2 3" xfId="9101" xr:uid="{00000000-0005-0000-0000-0000BF6C0000}"/>
    <cellStyle name="40% - Accent3 4 3 3 2 2 3 2" xfId="20402" xr:uid="{00000000-0005-0000-0000-0000C06C0000}"/>
    <cellStyle name="40% - Accent3 4 3 3 2 2 3 2 2" xfId="43004" xr:uid="{00000000-0005-0000-0000-0000C16C0000}"/>
    <cellStyle name="40% - Accent3 4 3 3 2 2 3 3" xfId="31703" xr:uid="{00000000-0005-0000-0000-0000C26C0000}"/>
    <cellStyle name="40% - Accent3 4 3 3 2 2 4" xfId="14752" xr:uid="{00000000-0005-0000-0000-0000C36C0000}"/>
    <cellStyle name="40% - Accent3 4 3 3 2 2 4 2" xfId="37354" xr:uid="{00000000-0005-0000-0000-0000C46C0000}"/>
    <cellStyle name="40% - Accent3 4 3 3 2 2 5" xfId="26053" xr:uid="{00000000-0005-0000-0000-0000C56C0000}"/>
    <cellStyle name="40% - Accent3 4 3 3 2 3" xfId="5049" xr:uid="{00000000-0005-0000-0000-0000C66C0000}"/>
    <cellStyle name="40% - Accent3 4 3 3 2 3 2" xfId="10699" xr:uid="{00000000-0005-0000-0000-0000C76C0000}"/>
    <cellStyle name="40% - Accent3 4 3 3 2 3 2 2" xfId="22000" xr:uid="{00000000-0005-0000-0000-0000C86C0000}"/>
    <cellStyle name="40% - Accent3 4 3 3 2 3 2 2 2" xfId="44602" xr:uid="{00000000-0005-0000-0000-0000C96C0000}"/>
    <cellStyle name="40% - Accent3 4 3 3 2 3 2 3" xfId="33301" xr:uid="{00000000-0005-0000-0000-0000CA6C0000}"/>
    <cellStyle name="40% - Accent3 4 3 3 2 3 3" xfId="16350" xr:uid="{00000000-0005-0000-0000-0000CB6C0000}"/>
    <cellStyle name="40% - Accent3 4 3 3 2 3 3 2" xfId="38952" xr:uid="{00000000-0005-0000-0000-0000CC6C0000}"/>
    <cellStyle name="40% - Accent3 4 3 3 2 3 4" xfId="27651" xr:uid="{00000000-0005-0000-0000-0000CD6C0000}"/>
    <cellStyle name="40% - Accent3 4 3 3 2 4" xfId="7780" xr:uid="{00000000-0005-0000-0000-0000CE6C0000}"/>
    <cellStyle name="40% - Accent3 4 3 3 2 4 2" xfId="19081" xr:uid="{00000000-0005-0000-0000-0000CF6C0000}"/>
    <cellStyle name="40% - Accent3 4 3 3 2 4 2 2" xfId="41683" xr:uid="{00000000-0005-0000-0000-0000D06C0000}"/>
    <cellStyle name="40% - Accent3 4 3 3 2 4 3" xfId="30382" xr:uid="{00000000-0005-0000-0000-0000D16C0000}"/>
    <cellStyle name="40% - Accent3 4 3 3 2 5" xfId="13431" xr:uid="{00000000-0005-0000-0000-0000D26C0000}"/>
    <cellStyle name="40% - Accent3 4 3 3 2 5 2" xfId="36033" xr:uid="{00000000-0005-0000-0000-0000D36C0000}"/>
    <cellStyle name="40% - Accent3 4 3 3 2 6" xfId="24732" xr:uid="{00000000-0005-0000-0000-0000D46C0000}"/>
    <cellStyle name="40% - Accent3 4 3 3 3" xfId="2640" xr:uid="{00000000-0005-0000-0000-0000D56C0000}"/>
    <cellStyle name="40% - Accent3 4 3 3 3 2" xfId="5659" xr:uid="{00000000-0005-0000-0000-0000D66C0000}"/>
    <cellStyle name="40% - Accent3 4 3 3 3 2 2" xfId="11309" xr:uid="{00000000-0005-0000-0000-0000D76C0000}"/>
    <cellStyle name="40% - Accent3 4 3 3 3 2 2 2" xfId="22610" xr:uid="{00000000-0005-0000-0000-0000D86C0000}"/>
    <cellStyle name="40% - Accent3 4 3 3 3 2 2 2 2" xfId="45212" xr:uid="{00000000-0005-0000-0000-0000D96C0000}"/>
    <cellStyle name="40% - Accent3 4 3 3 3 2 2 3" xfId="33911" xr:uid="{00000000-0005-0000-0000-0000DA6C0000}"/>
    <cellStyle name="40% - Accent3 4 3 3 3 2 3" xfId="16960" xr:uid="{00000000-0005-0000-0000-0000DB6C0000}"/>
    <cellStyle name="40% - Accent3 4 3 3 3 2 3 2" xfId="39562" xr:uid="{00000000-0005-0000-0000-0000DC6C0000}"/>
    <cellStyle name="40% - Accent3 4 3 3 3 2 4" xfId="28261" xr:uid="{00000000-0005-0000-0000-0000DD6C0000}"/>
    <cellStyle name="40% - Accent3 4 3 3 3 3" xfId="8476" xr:uid="{00000000-0005-0000-0000-0000DE6C0000}"/>
    <cellStyle name="40% - Accent3 4 3 3 3 3 2" xfId="19777" xr:uid="{00000000-0005-0000-0000-0000DF6C0000}"/>
    <cellStyle name="40% - Accent3 4 3 3 3 3 2 2" xfId="42379" xr:uid="{00000000-0005-0000-0000-0000E06C0000}"/>
    <cellStyle name="40% - Accent3 4 3 3 3 3 3" xfId="31078" xr:uid="{00000000-0005-0000-0000-0000E16C0000}"/>
    <cellStyle name="40% - Accent3 4 3 3 3 4" xfId="14127" xr:uid="{00000000-0005-0000-0000-0000E26C0000}"/>
    <cellStyle name="40% - Accent3 4 3 3 3 4 2" xfId="36729" xr:uid="{00000000-0005-0000-0000-0000E36C0000}"/>
    <cellStyle name="40% - Accent3 4 3 3 3 5" xfId="25428" xr:uid="{00000000-0005-0000-0000-0000E46C0000}"/>
    <cellStyle name="40% - Accent3 4 3 3 4" xfId="4425" xr:uid="{00000000-0005-0000-0000-0000E56C0000}"/>
    <cellStyle name="40% - Accent3 4 3 3 4 2" xfId="10075" xr:uid="{00000000-0005-0000-0000-0000E66C0000}"/>
    <cellStyle name="40% - Accent3 4 3 3 4 2 2" xfId="21376" xr:uid="{00000000-0005-0000-0000-0000E76C0000}"/>
    <cellStyle name="40% - Accent3 4 3 3 4 2 2 2" xfId="43978" xr:uid="{00000000-0005-0000-0000-0000E86C0000}"/>
    <cellStyle name="40% - Accent3 4 3 3 4 2 3" xfId="32677" xr:uid="{00000000-0005-0000-0000-0000E96C0000}"/>
    <cellStyle name="40% - Accent3 4 3 3 4 3" xfId="15726" xr:uid="{00000000-0005-0000-0000-0000EA6C0000}"/>
    <cellStyle name="40% - Accent3 4 3 3 4 3 2" xfId="38328" xr:uid="{00000000-0005-0000-0000-0000EB6C0000}"/>
    <cellStyle name="40% - Accent3 4 3 3 4 4" xfId="27027" xr:uid="{00000000-0005-0000-0000-0000EC6C0000}"/>
    <cellStyle name="40% - Accent3 4 3 3 5" xfId="7222" xr:uid="{00000000-0005-0000-0000-0000ED6C0000}"/>
    <cellStyle name="40% - Accent3 4 3 3 5 2" xfId="18523" xr:uid="{00000000-0005-0000-0000-0000EE6C0000}"/>
    <cellStyle name="40% - Accent3 4 3 3 5 2 2" xfId="41125" xr:uid="{00000000-0005-0000-0000-0000EF6C0000}"/>
    <cellStyle name="40% - Accent3 4 3 3 5 3" xfId="29824" xr:uid="{00000000-0005-0000-0000-0000F06C0000}"/>
    <cellStyle name="40% - Accent3 4 3 3 6" xfId="12873" xr:uid="{00000000-0005-0000-0000-0000F16C0000}"/>
    <cellStyle name="40% - Accent3 4 3 3 6 2" xfId="35475" xr:uid="{00000000-0005-0000-0000-0000F26C0000}"/>
    <cellStyle name="40% - Accent3 4 3 3 7" xfId="24174" xr:uid="{00000000-0005-0000-0000-0000F36C0000}"/>
    <cellStyle name="40% - Accent3 4 3 4" xfId="934" xr:uid="{00000000-0005-0000-0000-0000F46C0000}"/>
    <cellStyle name="40% - Accent3 4 3 4 2" xfId="3004" xr:uid="{00000000-0005-0000-0000-0000F56C0000}"/>
    <cellStyle name="40% - Accent3 4 3 4 2 2" xfId="5976" xr:uid="{00000000-0005-0000-0000-0000F66C0000}"/>
    <cellStyle name="40% - Accent3 4 3 4 2 2 2" xfId="11626" xr:uid="{00000000-0005-0000-0000-0000F76C0000}"/>
    <cellStyle name="40% - Accent3 4 3 4 2 2 2 2" xfId="22927" xr:uid="{00000000-0005-0000-0000-0000F86C0000}"/>
    <cellStyle name="40% - Accent3 4 3 4 2 2 2 2 2" xfId="45529" xr:uid="{00000000-0005-0000-0000-0000F96C0000}"/>
    <cellStyle name="40% - Accent3 4 3 4 2 2 2 3" xfId="34228" xr:uid="{00000000-0005-0000-0000-0000FA6C0000}"/>
    <cellStyle name="40% - Accent3 4 3 4 2 2 3" xfId="17277" xr:uid="{00000000-0005-0000-0000-0000FB6C0000}"/>
    <cellStyle name="40% - Accent3 4 3 4 2 2 3 2" xfId="39879" xr:uid="{00000000-0005-0000-0000-0000FC6C0000}"/>
    <cellStyle name="40% - Accent3 4 3 4 2 2 4" xfId="28578" xr:uid="{00000000-0005-0000-0000-0000FD6C0000}"/>
    <cellStyle name="40% - Accent3 4 3 4 2 3" xfId="8794" xr:uid="{00000000-0005-0000-0000-0000FE6C0000}"/>
    <cellStyle name="40% - Accent3 4 3 4 2 3 2" xfId="20095" xr:uid="{00000000-0005-0000-0000-0000FF6C0000}"/>
    <cellStyle name="40% - Accent3 4 3 4 2 3 2 2" xfId="42697" xr:uid="{00000000-0005-0000-0000-0000006D0000}"/>
    <cellStyle name="40% - Accent3 4 3 4 2 3 3" xfId="31396" xr:uid="{00000000-0005-0000-0000-0000016D0000}"/>
    <cellStyle name="40% - Accent3 4 3 4 2 4" xfId="14445" xr:uid="{00000000-0005-0000-0000-0000026D0000}"/>
    <cellStyle name="40% - Accent3 4 3 4 2 4 2" xfId="37047" xr:uid="{00000000-0005-0000-0000-0000036D0000}"/>
    <cellStyle name="40% - Accent3 4 3 4 2 5" xfId="25746" xr:uid="{00000000-0005-0000-0000-0000046D0000}"/>
    <cellStyle name="40% - Accent3 4 3 4 3" xfId="4742" xr:uid="{00000000-0005-0000-0000-0000056D0000}"/>
    <cellStyle name="40% - Accent3 4 3 4 3 2" xfId="10392" xr:uid="{00000000-0005-0000-0000-0000066D0000}"/>
    <cellStyle name="40% - Accent3 4 3 4 3 2 2" xfId="21693" xr:uid="{00000000-0005-0000-0000-0000076D0000}"/>
    <cellStyle name="40% - Accent3 4 3 4 3 2 2 2" xfId="44295" xr:uid="{00000000-0005-0000-0000-0000086D0000}"/>
    <cellStyle name="40% - Accent3 4 3 4 3 2 3" xfId="32994" xr:uid="{00000000-0005-0000-0000-0000096D0000}"/>
    <cellStyle name="40% - Accent3 4 3 4 3 3" xfId="16043" xr:uid="{00000000-0005-0000-0000-00000A6D0000}"/>
    <cellStyle name="40% - Accent3 4 3 4 3 3 2" xfId="38645" xr:uid="{00000000-0005-0000-0000-00000B6D0000}"/>
    <cellStyle name="40% - Accent3 4 3 4 3 4" xfId="27344" xr:uid="{00000000-0005-0000-0000-00000C6D0000}"/>
    <cellStyle name="40% - Accent3 4 3 4 4" xfId="6929" xr:uid="{00000000-0005-0000-0000-00000D6D0000}"/>
    <cellStyle name="40% - Accent3 4 3 4 4 2" xfId="18230" xr:uid="{00000000-0005-0000-0000-00000E6D0000}"/>
    <cellStyle name="40% - Accent3 4 3 4 4 2 2" xfId="40832" xr:uid="{00000000-0005-0000-0000-00000F6D0000}"/>
    <cellStyle name="40% - Accent3 4 3 4 4 3" xfId="29531" xr:uid="{00000000-0005-0000-0000-0000106D0000}"/>
    <cellStyle name="40% - Accent3 4 3 4 5" xfId="12580" xr:uid="{00000000-0005-0000-0000-0000116D0000}"/>
    <cellStyle name="40% - Accent3 4 3 4 5 2" xfId="35182" xr:uid="{00000000-0005-0000-0000-0000126D0000}"/>
    <cellStyle name="40% - Accent3 4 3 4 6" xfId="23881" xr:uid="{00000000-0005-0000-0000-0000136D0000}"/>
    <cellStyle name="40% - Accent3 4 3 5" xfId="1921" xr:uid="{00000000-0005-0000-0000-0000146D0000}"/>
    <cellStyle name="40% - Accent3 4 3 5 2" xfId="3762" xr:uid="{00000000-0005-0000-0000-0000156D0000}"/>
    <cellStyle name="40% - Accent3 4 3 5 2 2" xfId="9472" xr:uid="{00000000-0005-0000-0000-0000166D0000}"/>
    <cellStyle name="40% - Accent3 4 3 5 2 2 2" xfId="20773" xr:uid="{00000000-0005-0000-0000-0000176D0000}"/>
    <cellStyle name="40% - Accent3 4 3 5 2 2 2 2" xfId="43375" xr:uid="{00000000-0005-0000-0000-0000186D0000}"/>
    <cellStyle name="40% - Accent3 4 3 5 2 2 3" xfId="32074" xr:uid="{00000000-0005-0000-0000-0000196D0000}"/>
    <cellStyle name="40% - Accent3 4 3 5 2 3" xfId="15123" xr:uid="{00000000-0005-0000-0000-00001A6D0000}"/>
    <cellStyle name="40% - Accent3 4 3 5 2 3 2" xfId="37725" xr:uid="{00000000-0005-0000-0000-00001B6D0000}"/>
    <cellStyle name="40% - Accent3 4 3 5 2 4" xfId="26424" xr:uid="{00000000-0005-0000-0000-00001C6D0000}"/>
    <cellStyle name="40% - Accent3 4 3 5 3" xfId="5352" xr:uid="{00000000-0005-0000-0000-00001D6D0000}"/>
    <cellStyle name="40% - Accent3 4 3 5 3 2" xfId="11002" xr:uid="{00000000-0005-0000-0000-00001E6D0000}"/>
    <cellStyle name="40% - Accent3 4 3 5 3 2 2" xfId="22303" xr:uid="{00000000-0005-0000-0000-00001F6D0000}"/>
    <cellStyle name="40% - Accent3 4 3 5 3 2 2 2" xfId="44905" xr:uid="{00000000-0005-0000-0000-0000206D0000}"/>
    <cellStyle name="40% - Accent3 4 3 5 3 2 3" xfId="33604" xr:uid="{00000000-0005-0000-0000-0000216D0000}"/>
    <cellStyle name="40% - Accent3 4 3 5 3 3" xfId="16653" xr:uid="{00000000-0005-0000-0000-0000226D0000}"/>
    <cellStyle name="40% - Accent3 4 3 5 3 3 2" xfId="39255" xr:uid="{00000000-0005-0000-0000-0000236D0000}"/>
    <cellStyle name="40% - Accent3 4 3 5 3 4" xfId="27954" xr:uid="{00000000-0005-0000-0000-0000246D0000}"/>
    <cellStyle name="40% - Accent3 4 3 5 4" xfId="7777" xr:uid="{00000000-0005-0000-0000-0000256D0000}"/>
    <cellStyle name="40% - Accent3 4 3 5 4 2" xfId="19078" xr:uid="{00000000-0005-0000-0000-0000266D0000}"/>
    <cellStyle name="40% - Accent3 4 3 5 4 2 2" xfId="41680" xr:uid="{00000000-0005-0000-0000-0000276D0000}"/>
    <cellStyle name="40% - Accent3 4 3 5 4 3" xfId="30379" xr:uid="{00000000-0005-0000-0000-0000286D0000}"/>
    <cellStyle name="40% - Accent3 4 3 5 5" xfId="13428" xr:uid="{00000000-0005-0000-0000-0000296D0000}"/>
    <cellStyle name="40% - Accent3 4 3 5 5 2" xfId="36030" xr:uid="{00000000-0005-0000-0000-00002A6D0000}"/>
    <cellStyle name="40% - Accent3 4 3 5 6" xfId="24729" xr:uid="{00000000-0005-0000-0000-00002B6D0000}"/>
    <cellStyle name="40% - Accent3 4 3 6" xfId="2331" xr:uid="{00000000-0005-0000-0000-00002C6D0000}"/>
    <cellStyle name="40% - Accent3 4 3 6 2" xfId="8167" xr:uid="{00000000-0005-0000-0000-00002D6D0000}"/>
    <cellStyle name="40% - Accent3 4 3 6 2 2" xfId="19468" xr:uid="{00000000-0005-0000-0000-00002E6D0000}"/>
    <cellStyle name="40% - Accent3 4 3 6 2 2 2" xfId="42070" xr:uid="{00000000-0005-0000-0000-00002F6D0000}"/>
    <cellStyle name="40% - Accent3 4 3 6 2 3" xfId="30769" xr:uid="{00000000-0005-0000-0000-0000306D0000}"/>
    <cellStyle name="40% - Accent3 4 3 6 3" xfId="13818" xr:uid="{00000000-0005-0000-0000-0000316D0000}"/>
    <cellStyle name="40% - Accent3 4 3 6 3 2" xfId="36420" xr:uid="{00000000-0005-0000-0000-0000326D0000}"/>
    <cellStyle name="40% - Accent3 4 3 6 4" xfId="25119" xr:uid="{00000000-0005-0000-0000-0000336D0000}"/>
    <cellStyle name="40% - Accent3 4 3 7" xfId="4118" xr:uid="{00000000-0005-0000-0000-0000346D0000}"/>
    <cellStyle name="40% - Accent3 4 3 7 2" xfId="9768" xr:uid="{00000000-0005-0000-0000-0000356D0000}"/>
    <cellStyle name="40% - Accent3 4 3 7 2 2" xfId="21069" xr:uid="{00000000-0005-0000-0000-0000366D0000}"/>
    <cellStyle name="40% - Accent3 4 3 7 2 2 2" xfId="43671" xr:uid="{00000000-0005-0000-0000-0000376D0000}"/>
    <cellStyle name="40% - Accent3 4 3 7 2 3" xfId="32370" xr:uid="{00000000-0005-0000-0000-0000386D0000}"/>
    <cellStyle name="40% - Accent3 4 3 7 3" xfId="15419" xr:uid="{00000000-0005-0000-0000-0000396D0000}"/>
    <cellStyle name="40% - Accent3 4 3 7 3 2" xfId="38021" xr:uid="{00000000-0005-0000-0000-00003A6D0000}"/>
    <cellStyle name="40% - Accent3 4 3 7 4" xfId="26720" xr:uid="{00000000-0005-0000-0000-00003B6D0000}"/>
    <cellStyle name="40% - Accent3 4 3 8" xfId="6569" xr:uid="{00000000-0005-0000-0000-00003C6D0000}"/>
    <cellStyle name="40% - Accent3 4 3 8 2" xfId="17870" xr:uid="{00000000-0005-0000-0000-00003D6D0000}"/>
    <cellStyle name="40% - Accent3 4 3 8 2 2" xfId="40472" xr:uid="{00000000-0005-0000-0000-00003E6D0000}"/>
    <cellStyle name="40% - Accent3 4 3 8 3" xfId="29171" xr:uid="{00000000-0005-0000-0000-00003F6D0000}"/>
    <cellStyle name="40% - Accent3 4 3 9" xfId="12220" xr:uid="{00000000-0005-0000-0000-0000406D0000}"/>
    <cellStyle name="40% - Accent3 4 3 9 2" xfId="34822" xr:uid="{00000000-0005-0000-0000-0000416D0000}"/>
    <cellStyle name="40% - Accent3 4 4" xfId="573" xr:uid="{00000000-0005-0000-0000-0000426D0000}"/>
    <cellStyle name="40% - Accent3 4 4 2" xfId="1147" xr:uid="{00000000-0005-0000-0000-0000436D0000}"/>
    <cellStyle name="40% - Accent3 4 4 2 2" xfId="1926" xr:uid="{00000000-0005-0000-0000-0000446D0000}"/>
    <cellStyle name="40% - Accent3 4 4 2 2 2" xfId="3215" xr:uid="{00000000-0005-0000-0000-0000456D0000}"/>
    <cellStyle name="40% - Accent3 4 4 2 2 2 2" xfId="6187" xr:uid="{00000000-0005-0000-0000-0000466D0000}"/>
    <cellStyle name="40% - Accent3 4 4 2 2 2 2 2" xfId="11837" xr:uid="{00000000-0005-0000-0000-0000476D0000}"/>
    <cellStyle name="40% - Accent3 4 4 2 2 2 2 2 2" xfId="23138" xr:uid="{00000000-0005-0000-0000-0000486D0000}"/>
    <cellStyle name="40% - Accent3 4 4 2 2 2 2 2 2 2" xfId="45740" xr:uid="{00000000-0005-0000-0000-0000496D0000}"/>
    <cellStyle name="40% - Accent3 4 4 2 2 2 2 2 3" xfId="34439" xr:uid="{00000000-0005-0000-0000-00004A6D0000}"/>
    <cellStyle name="40% - Accent3 4 4 2 2 2 2 3" xfId="17488" xr:uid="{00000000-0005-0000-0000-00004B6D0000}"/>
    <cellStyle name="40% - Accent3 4 4 2 2 2 2 3 2" xfId="40090" xr:uid="{00000000-0005-0000-0000-00004C6D0000}"/>
    <cellStyle name="40% - Accent3 4 4 2 2 2 2 4" xfId="28789" xr:uid="{00000000-0005-0000-0000-00004D6D0000}"/>
    <cellStyle name="40% - Accent3 4 4 2 2 2 3" xfId="9005" xr:uid="{00000000-0005-0000-0000-00004E6D0000}"/>
    <cellStyle name="40% - Accent3 4 4 2 2 2 3 2" xfId="20306" xr:uid="{00000000-0005-0000-0000-00004F6D0000}"/>
    <cellStyle name="40% - Accent3 4 4 2 2 2 3 2 2" xfId="42908" xr:uid="{00000000-0005-0000-0000-0000506D0000}"/>
    <cellStyle name="40% - Accent3 4 4 2 2 2 3 3" xfId="31607" xr:uid="{00000000-0005-0000-0000-0000516D0000}"/>
    <cellStyle name="40% - Accent3 4 4 2 2 2 4" xfId="14656" xr:uid="{00000000-0005-0000-0000-0000526D0000}"/>
    <cellStyle name="40% - Accent3 4 4 2 2 2 4 2" xfId="37258" xr:uid="{00000000-0005-0000-0000-0000536D0000}"/>
    <cellStyle name="40% - Accent3 4 4 2 2 2 5" xfId="25957" xr:uid="{00000000-0005-0000-0000-0000546D0000}"/>
    <cellStyle name="40% - Accent3 4 4 2 2 3" xfId="4953" xr:uid="{00000000-0005-0000-0000-0000556D0000}"/>
    <cellStyle name="40% - Accent3 4 4 2 2 3 2" xfId="10603" xr:uid="{00000000-0005-0000-0000-0000566D0000}"/>
    <cellStyle name="40% - Accent3 4 4 2 2 3 2 2" xfId="21904" xr:uid="{00000000-0005-0000-0000-0000576D0000}"/>
    <cellStyle name="40% - Accent3 4 4 2 2 3 2 2 2" xfId="44506" xr:uid="{00000000-0005-0000-0000-0000586D0000}"/>
    <cellStyle name="40% - Accent3 4 4 2 2 3 2 3" xfId="33205" xr:uid="{00000000-0005-0000-0000-0000596D0000}"/>
    <cellStyle name="40% - Accent3 4 4 2 2 3 3" xfId="16254" xr:uid="{00000000-0005-0000-0000-00005A6D0000}"/>
    <cellStyle name="40% - Accent3 4 4 2 2 3 3 2" xfId="38856" xr:uid="{00000000-0005-0000-0000-00005B6D0000}"/>
    <cellStyle name="40% - Accent3 4 4 2 2 3 4" xfId="27555" xr:uid="{00000000-0005-0000-0000-00005C6D0000}"/>
    <cellStyle name="40% - Accent3 4 4 2 2 4" xfId="7782" xr:uid="{00000000-0005-0000-0000-00005D6D0000}"/>
    <cellStyle name="40% - Accent3 4 4 2 2 4 2" xfId="19083" xr:uid="{00000000-0005-0000-0000-00005E6D0000}"/>
    <cellStyle name="40% - Accent3 4 4 2 2 4 2 2" xfId="41685" xr:uid="{00000000-0005-0000-0000-00005F6D0000}"/>
    <cellStyle name="40% - Accent3 4 4 2 2 4 3" xfId="30384" xr:uid="{00000000-0005-0000-0000-0000606D0000}"/>
    <cellStyle name="40% - Accent3 4 4 2 2 5" xfId="13433" xr:uid="{00000000-0005-0000-0000-0000616D0000}"/>
    <cellStyle name="40% - Accent3 4 4 2 2 5 2" xfId="36035" xr:uid="{00000000-0005-0000-0000-0000626D0000}"/>
    <cellStyle name="40% - Accent3 4 4 2 2 6" xfId="24734" xr:uid="{00000000-0005-0000-0000-0000636D0000}"/>
    <cellStyle name="40% - Accent3 4 4 2 3" xfId="2544" xr:uid="{00000000-0005-0000-0000-0000646D0000}"/>
    <cellStyle name="40% - Accent3 4 4 2 3 2" xfId="5563" xr:uid="{00000000-0005-0000-0000-0000656D0000}"/>
    <cellStyle name="40% - Accent3 4 4 2 3 2 2" xfId="11213" xr:uid="{00000000-0005-0000-0000-0000666D0000}"/>
    <cellStyle name="40% - Accent3 4 4 2 3 2 2 2" xfId="22514" xr:uid="{00000000-0005-0000-0000-0000676D0000}"/>
    <cellStyle name="40% - Accent3 4 4 2 3 2 2 2 2" xfId="45116" xr:uid="{00000000-0005-0000-0000-0000686D0000}"/>
    <cellStyle name="40% - Accent3 4 4 2 3 2 2 3" xfId="33815" xr:uid="{00000000-0005-0000-0000-0000696D0000}"/>
    <cellStyle name="40% - Accent3 4 4 2 3 2 3" xfId="16864" xr:uid="{00000000-0005-0000-0000-00006A6D0000}"/>
    <cellStyle name="40% - Accent3 4 4 2 3 2 3 2" xfId="39466" xr:uid="{00000000-0005-0000-0000-00006B6D0000}"/>
    <cellStyle name="40% - Accent3 4 4 2 3 2 4" xfId="28165" xr:uid="{00000000-0005-0000-0000-00006C6D0000}"/>
    <cellStyle name="40% - Accent3 4 4 2 3 3" xfId="8380" xr:uid="{00000000-0005-0000-0000-00006D6D0000}"/>
    <cellStyle name="40% - Accent3 4 4 2 3 3 2" xfId="19681" xr:uid="{00000000-0005-0000-0000-00006E6D0000}"/>
    <cellStyle name="40% - Accent3 4 4 2 3 3 2 2" xfId="42283" xr:uid="{00000000-0005-0000-0000-00006F6D0000}"/>
    <cellStyle name="40% - Accent3 4 4 2 3 3 3" xfId="30982" xr:uid="{00000000-0005-0000-0000-0000706D0000}"/>
    <cellStyle name="40% - Accent3 4 4 2 3 4" xfId="14031" xr:uid="{00000000-0005-0000-0000-0000716D0000}"/>
    <cellStyle name="40% - Accent3 4 4 2 3 4 2" xfId="36633" xr:uid="{00000000-0005-0000-0000-0000726D0000}"/>
    <cellStyle name="40% - Accent3 4 4 2 3 5" xfId="25332" xr:uid="{00000000-0005-0000-0000-0000736D0000}"/>
    <cellStyle name="40% - Accent3 4 4 2 4" xfId="4329" xr:uid="{00000000-0005-0000-0000-0000746D0000}"/>
    <cellStyle name="40% - Accent3 4 4 2 4 2" xfId="9979" xr:uid="{00000000-0005-0000-0000-0000756D0000}"/>
    <cellStyle name="40% - Accent3 4 4 2 4 2 2" xfId="21280" xr:uid="{00000000-0005-0000-0000-0000766D0000}"/>
    <cellStyle name="40% - Accent3 4 4 2 4 2 2 2" xfId="43882" xr:uid="{00000000-0005-0000-0000-0000776D0000}"/>
    <cellStyle name="40% - Accent3 4 4 2 4 2 3" xfId="32581" xr:uid="{00000000-0005-0000-0000-0000786D0000}"/>
    <cellStyle name="40% - Accent3 4 4 2 4 3" xfId="15630" xr:uid="{00000000-0005-0000-0000-0000796D0000}"/>
    <cellStyle name="40% - Accent3 4 4 2 4 3 2" xfId="38232" xr:uid="{00000000-0005-0000-0000-00007A6D0000}"/>
    <cellStyle name="40% - Accent3 4 4 2 4 4" xfId="26931" xr:uid="{00000000-0005-0000-0000-00007B6D0000}"/>
    <cellStyle name="40% - Accent3 4 4 2 5" xfId="7126" xr:uid="{00000000-0005-0000-0000-00007C6D0000}"/>
    <cellStyle name="40% - Accent3 4 4 2 5 2" xfId="18427" xr:uid="{00000000-0005-0000-0000-00007D6D0000}"/>
    <cellStyle name="40% - Accent3 4 4 2 5 2 2" xfId="41029" xr:uid="{00000000-0005-0000-0000-00007E6D0000}"/>
    <cellStyle name="40% - Accent3 4 4 2 5 3" xfId="29728" xr:uid="{00000000-0005-0000-0000-00007F6D0000}"/>
    <cellStyle name="40% - Accent3 4 4 2 6" xfId="12777" xr:uid="{00000000-0005-0000-0000-0000806D0000}"/>
    <cellStyle name="40% - Accent3 4 4 2 6 2" xfId="35379" xr:uid="{00000000-0005-0000-0000-0000816D0000}"/>
    <cellStyle name="40% - Accent3 4 4 2 7" xfId="24078" xr:uid="{00000000-0005-0000-0000-0000826D0000}"/>
    <cellStyle name="40% - Accent3 4 4 3" xfId="821" xr:uid="{00000000-0005-0000-0000-0000836D0000}"/>
    <cellStyle name="40% - Accent3 4 4 3 2" xfId="2908" xr:uid="{00000000-0005-0000-0000-0000846D0000}"/>
    <cellStyle name="40% - Accent3 4 4 3 2 2" xfId="5880" xr:uid="{00000000-0005-0000-0000-0000856D0000}"/>
    <cellStyle name="40% - Accent3 4 4 3 2 2 2" xfId="11530" xr:uid="{00000000-0005-0000-0000-0000866D0000}"/>
    <cellStyle name="40% - Accent3 4 4 3 2 2 2 2" xfId="22831" xr:uid="{00000000-0005-0000-0000-0000876D0000}"/>
    <cellStyle name="40% - Accent3 4 4 3 2 2 2 2 2" xfId="45433" xr:uid="{00000000-0005-0000-0000-0000886D0000}"/>
    <cellStyle name="40% - Accent3 4 4 3 2 2 2 3" xfId="34132" xr:uid="{00000000-0005-0000-0000-0000896D0000}"/>
    <cellStyle name="40% - Accent3 4 4 3 2 2 3" xfId="17181" xr:uid="{00000000-0005-0000-0000-00008A6D0000}"/>
    <cellStyle name="40% - Accent3 4 4 3 2 2 3 2" xfId="39783" xr:uid="{00000000-0005-0000-0000-00008B6D0000}"/>
    <cellStyle name="40% - Accent3 4 4 3 2 2 4" xfId="28482" xr:uid="{00000000-0005-0000-0000-00008C6D0000}"/>
    <cellStyle name="40% - Accent3 4 4 3 2 3" xfId="8698" xr:uid="{00000000-0005-0000-0000-00008D6D0000}"/>
    <cellStyle name="40% - Accent3 4 4 3 2 3 2" xfId="19999" xr:uid="{00000000-0005-0000-0000-00008E6D0000}"/>
    <cellStyle name="40% - Accent3 4 4 3 2 3 2 2" xfId="42601" xr:uid="{00000000-0005-0000-0000-00008F6D0000}"/>
    <cellStyle name="40% - Accent3 4 4 3 2 3 3" xfId="31300" xr:uid="{00000000-0005-0000-0000-0000906D0000}"/>
    <cellStyle name="40% - Accent3 4 4 3 2 4" xfId="14349" xr:uid="{00000000-0005-0000-0000-0000916D0000}"/>
    <cellStyle name="40% - Accent3 4 4 3 2 4 2" xfId="36951" xr:uid="{00000000-0005-0000-0000-0000926D0000}"/>
    <cellStyle name="40% - Accent3 4 4 3 2 5" xfId="25650" xr:uid="{00000000-0005-0000-0000-0000936D0000}"/>
    <cellStyle name="40% - Accent3 4 4 3 3" xfId="4646" xr:uid="{00000000-0005-0000-0000-0000946D0000}"/>
    <cellStyle name="40% - Accent3 4 4 3 3 2" xfId="10296" xr:uid="{00000000-0005-0000-0000-0000956D0000}"/>
    <cellStyle name="40% - Accent3 4 4 3 3 2 2" xfId="21597" xr:uid="{00000000-0005-0000-0000-0000966D0000}"/>
    <cellStyle name="40% - Accent3 4 4 3 3 2 2 2" xfId="44199" xr:uid="{00000000-0005-0000-0000-0000976D0000}"/>
    <cellStyle name="40% - Accent3 4 4 3 3 2 3" xfId="32898" xr:uid="{00000000-0005-0000-0000-0000986D0000}"/>
    <cellStyle name="40% - Accent3 4 4 3 3 3" xfId="15947" xr:uid="{00000000-0005-0000-0000-0000996D0000}"/>
    <cellStyle name="40% - Accent3 4 4 3 3 3 2" xfId="38549" xr:uid="{00000000-0005-0000-0000-00009A6D0000}"/>
    <cellStyle name="40% - Accent3 4 4 3 3 4" xfId="27248" xr:uid="{00000000-0005-0000-0000-00009B6D0000}"/>
    <cellStyle name="40% - Accent3 4 4 3 4" xfId="6829" xr:uid="{00000000-0005-0000-0000-00009C6D0000}"/>
    <cellStyle name="40% - Accent3 4 4 3 4 2" xfId="18130" xr:uid="{00000000-0005-0000-0000-00009D6D0000}"/>
    <cellStyle name="40% - Accent3 4 4 3 4 2 2" xfId="40732" xr:uid="{00000000-0005-0000-0000-00009E6D0000}"/>
    <cellStyle name="40% - Accent3 4 4 3 4 3" xfId="29431" xr:uid="{00000000-0005-0000-0000-00009F6D0000}"/>
    <cellStyle name="40% - Accent3 4 4 3 5" xfId="12480" xr:uid="{00000000-0005-0000-0000-0000A06D0000}"/>
    <cellStyle name="40% - Accent3 4 4 3 5 2" xfId="35082" xr:uid="{00000000-0005-0000-0000-0000A16D0000}"/>
    <cellStyle name="40% - Accent3 4 4 3 6" xfId="23781" xr:uid="{00000000-0005-0000-0000-0000A26D0000}"/>
    <cellStyle name="40% - Accent3 4 4 4" xfId="1925" xr:uid="{00000000-0005-0000-0000-0000A36D0000}"/>
    <cellStyle name="40% - Accent3 4 4 4 2" xfId="3764" xr:uid="{00000000-0005-0000-0000-0000A46D0000}"/>
    <cellStyle name="40% - Accent3 4 4 4 2 2" xfId="9474" xr:uid="{00000000-0005-0000-0000-0000A56D0000}"/>
    <cellStyle name="40% - Accent3 4 4 4 2 2 2" xfId="20775" xr:uid="{00000000-0005-0000-0000-0000A66D0000}"/>
    <cellStyle name="40% - Accent3 4 4 4 2 2 2 2" xfId="43377" xr:uid="{00000000-0005-0000-0000-0000A76D0000}"/>
    <cellStyle name="40% - Accent3 4 4 4 2 2 3" xfId="32076" xr:uid="{00000000-0005-0000-0000-0000A86D0000}"/>
    <cellStyle name="40% - Accent3 4 4 4 2 3" xfId="15125" xr:uid="{00000000-0005-0000-0000-0000A96D0000}"/>
    <cellStyle name="40% - Accent3 4 4 4 2 3 2" xfId="37727" xr:uid="{00000000-0005-0000-0000-0000AA6D0000}"/>
    <cellStyle name="40% - Accent3 4 4 4 2 4" xfId="26426" xr:uid="{00000000-0005-0000-0000-0000AB6D0000}"/>
    <cellStyle name="40% - Accent3 4 4 4 3" xfId="5256" xr:uid="{00000000-0005-0000-0000-0000AC6D0000}"/>
    <cellStyle name="40% - Accent3 4 4 4 3 2" xfId="10906" xr:uid="{00000000-0005-0000-0000-0000AD6D0000}"/>
    <cellStyle name="40% - Accent3 4 4 4 3 2 2" xfId="22207" xr:uid="{00000000-0005-0000-0000-0000AE6D0000}"/>
    <cellStyle name="40% - Accent3 4 4 4 3 2 2 2" xfId="44809" xr:uid="{00000000-0005-0000-0000-0000AF6D0000}"/>
    <cellStyle name="40% - Accent3 4 4 4 3 2 3" xfId="33508" xr:uid="{00000000-0005-0000-0000-0000B06D0000}"/>
    <cellStyle name="40% - Accent3 4 4 4 3 3" xfId="16557" xr:uid="{00000000-0005-0000-0000-0000B16D0000}"/>
    <cellStyle name="40% - Accent3 4 4 4 3 3 2" xfId="39159" xr:uid="{00000000-0005-0000-0000-0000B26D0000}"/>
    <cellStyle name="40% - Accent3 4 4 4 3 4" xfId="27858" xr:uid="{00000000-0005-0000-0000-0000B36D0000}"/>
    <cellStyle name="40% - Accent3 4 4 4 4" xfId="7781" xr:uid="{00000000-0005-0000-0000-0000B46D0000}"/>
    <cellStyle name="40% - Accent3 4 4 4 4 2" xfId="19082" xr:uid="{00000000-0005-0000-0000-0000B56D0000}"/>
    <cellStyle name="40% - Accent3 4 4 4 4 2 2" xfId="41684" xr:uid="{00000000-0005-0000-0000-0000B66D0000}"/>
    <cellStyle name="40% - Accent3 4 4 4 4 3" xfId="30383" xr:uid="{00000000-0005-0000-0000-0000B76D0000}"/>
    <cellStyle name="40% - Accent3 4 4 4 5" xfId="13432" xr:uid="{00000000-0005-0000-0000-0000B86D0000}"/>
    <cellStyle name="40% - Accent3 4 4 4 5 2" xfId="36034" xr:uid="{00000000-0005-0000-0000-0000B96D0000}"/>
    <cellStyle name="40% - Accent3 4 4 4 6" xfId="24733" xr:uid="{00000000-0005-0000-0000-0000BA6D0000}"/>
    <cellStyle name="40% - Accent3 4 4 5" xfId="2228" xr:uid="{00000000-0005-0000-0000-0000BB6D0000}"/>
    <cellStyle name="40% - Accent3 4 4 5 2" xfId="8070" xr:uid="{00000000-0005-0000-0000-0000BC6D0000}"/>
    <cellStyle name="40% - Accent3 4 4 5 2 2" xfId="19371" xr:uid="{00000000-0005-0000-0000-0000BD6D0000}"/>
    <cellStyle name="40% - Accent3 4 4 5 2 2 2" xfId="41973" xr:uid="{00000000-0005-0000-0000-0000BE6D0000}"/>
    <cellStyle name="40% - Accent3 4 4 5 2 3" xfId="30672" xr:uid="{00000000-0005-0000-0000-0000BF6D0000}"/>
    <cellStyle name="40% - Accent3 4 4 5 3" xfId="13721" xr:uid="{00000000-0005-0000-0000-0000C06D0000}"/>
    <cellStyle name="40% - Accent3 4 4 5 3 2" xfId="36323" xr:uid="{00000000-0005-0000-0000-0000C16D0000}"/>
    <cellStyle name="40% - Accent3 4 4 5 4" xfId="25022" xr:uid="{00000000-0005-0000-0000-0000C26D0000}"/>
    <cellStyle name="40% - Accent3 4 4 6" xfId="4022" xr:uid="{00000000-0005-0000-0000-0000C36D0000}"/>
    <cellStyle name="40% - Accent3 4 4 6 2" xfId="9672" xr:uid="{00000000-0005-0000-0000-0000C46D0000}"/>
    <cellStyle name="40% - Accent3 4 4 6 2 2" xfId="20973" xr:uid="{00000000-0005-0000-0000-0000C56D0000}"/>
    <cellStyle name="40% - Accent3 4 4 6 2 2 2" xfId="43575" xr:uid="{00000000-0005-0000-0000-0000C66D0000}"/>
    <cellStyle name="40% - Accent3 4 4 6 2 3" xfId="32274" xr:uid="{00000000-0005-0000-0000-0000C76D0000}"/>
    <cellStyle name="40% - Accent3 4 4 6 3" xfId="15323" xr:uid="{00000000-0005-0000-0000-0000C86D0000}"/>
    <cellStyle name="40% - Accent3 4 4 6 3 2" xfId="37925" xr:uid="{00000000-0005-0000-0000-0000C96D0000}"/>
    <cellStyle name="40% - Accent3 4 4 6 4" xfId="26624" xr:uid="{00000000-0005-0000-0000-0000CA6D0000}"/>
    <cellStyle name="40% - Accent3 4 4 7" xfId="6640" xr:uid="{00000000-0005-0000-0000-0000CB6D0000}"/>
    <cellStyle name="40% - Accent3 4 4 7 2" xfId="17941" xr:uid="{00000000-0005-0000-0000-0000CC6D0000}"/>
    <cellStyle name="40% - Accent3 4 4 7 2 2" xfId="40543" xr:uid="{00000000-0005-0000-0000-0000CD6D0000}"/>
    <cellStyle name="40% - Accent3 4 4 7 3" xfId="29242" xr:uid="{00000000-0005-0000-0000-0000CE6D0000}"/>
    <cellStyle name="40% - Accent3 4 4 8" xfId="12291" xr:uid="{00000000-0005-0000-0000-0000CF6D0000}"/>
    <cellStyle name="40% - Accent3 4 4 8 2" xfId="34893" xr:uid="{00000000-0005-0000-0000-0000D06D0000}"/>
    <cellStyle name="40% - Accent3 4 4 9" xfId="23592" xr:uid="{00000000-0005-0000-0000-0000D16D0000}"/>
    <cellStyle name="40% - Accent3 4 5" xfId="517" xr:uid="{00000000-0005-0000-0000-0000D26D0000}"/>
    <cellStyle name="40% - Accent3 4 5 2" xfId="1286" xr:uid="{00000000-0005-0000-0000-0000D36D0000}"/>
    <cellStyle name="40% - Accent3 4 5 2 2" xfId="1928" xr:uid="{00000000-0005-0000-0000-0000D46D0000}"/>
    <cellStyle name="40% - Accent3 4 5 2 2 2" xfId="3355" xr:uid="{00000000-0005-0000-0000-0000D56D0000}"/>
    <cellStyle name="40% - Accent3 4 5 2 2 2 2" xfId="6327" xr:uid="{00000000-0005-0000-0000-0000D66D0000}"/>
    <cellStyle name="40% - Accent3 4 5 2 2 2 2 2" xfId="11977" xr:uid="{00000000-0005-0000-0000-0000D76D0000}"/>
    <cellStyle name="40% - Accent3 4 5 2 2 2 2 2 2" xfId="23278" xr:uid="{00000000-0005-0000-0000-0000D86D0000}"/>
    <cellStyle name="40% - Accent3 4 5 2 2 2 2 2 2 2" xfId="45880" xr:uid="{00000000-0005-0000-0000-0000D96D0000}"/>
    <cellStyle name="40% - Accent3 4 5 2 2 2 2 2 3" xfId="34579" xr:uid="{00000000-0005-0000-0000-0000DA6D0000}"/>
    <cellStyle name="40% - Accent3 4 5 2 2 2 2 3" xfId="17628" xr:uid="{00000000-0005-0000-0000-0000DB6D0000}"/>
    <cellStyle name="40% - Accent3 4 5 2 2 2 2 3 2" xfId="40230" xr:uid="{00000000-0005-0000-0000-0000DC6D0000}"/>
    <cellStyle name="40% - Accent3 4 5 2 2 2 2 4" xfId="28929" xr:uid="{00000000-0005-0000-0000-0000DD6D0000}"/>
    <cellStyle name="40% - Accent3 4 5 2 2 2 3" xfId="9145" xr:uid="{00000000-0005-0000-0000-0000DE6D0000}"/>
    <cellStyle name="40% - Accent3 4 5 2 2 2 3 2" xfId="20446" xr:uid="{00000000-0005-0000-0000-0000DF6D0000}"/>
    <cellStyle name="40% - Accent3 4 5 2 2 2 3 2 2" xfId="43048" xr:uid="{00000000-0005-0000-0000-0000E06D0000}"/>
    <cellStyle name="40% - Accent3 4 5 2 2 2 3 3" xfId="31747" xr:uid="{00000000-0005-0000-0000-0000E16D0000}"/>
    <cellStyle name="40% - Accent3 4 5 2 2 2 4" xfId="14796" xr:uid="{00000000-0005-0000-0000-0000E26D0000}"/>
    <cellStyle name="40% - Accent3 4 5 2 2 2 4 2" xfId="37398" xr:uid="{00000000-0005-0000-0000-0000E36D0000}"/>
    <cellStyle name="40% - Accent3 4 5 2 2 2 5" xfId="26097" xr:uid="{00000000-0005-0000-0000-0000E46D0000}"/>
    <cellStyle name="40% - Accent3 4 5 2 2 3" xfId="5093" xr:uid="{00000000-0005-0000-0000-0000E56D0000}"/>
    <cellStyle name="40% - Accent3 4 5 2 2 3 2" xfId="10743" xr:uid="{00000000-0005-0000-0000-0000E66D0000}"/>
    <cellStyle name="40% - Accent3 4 5 2 2 3 2 2" xfId="22044" xr:uid="{00000000-0005-0000-0000-0000E76D0000}"/>
    <cellStyle name="40% - Accent3 4 5 2 2 3 2 2 2" xfId="44646" xr:uid="{00000000-0005-0000-0000-0000E86D0000}"/>
    <cellStyle name="40% - Accent3 4 5 2 2 3 2 3" xfId="33345" xr:uid="{00000000-0005-0000-0000-0000E96D0000}"/>
    <cellStyle name="40% - Accent3 4 5 2 2 3 3" xfId="16394" xr:uid="{00000000-0005-0000-0000-0000EA6D0000}"/>
    <cellStyle name="40% - Accent3 4 5 2 2 3 3 2" xfId="38996" xr:uid="{00000000-0005-0000-0000-0000EB6D0000}"/>
    <cellStyle name="40% - Accent3 4 5 2 2 3 4" xfId="27695" xr:uid="{00000000-0005-0000-0000-0000EC6D0000}"/>
    <cellStyle name="40% - Accent3 4 5 2 2 4" xfId="7784" xr:uid="{00000000-0005-0000-0000-0000ED6D0000}"/>
    <cellStyle name="40% - Accent3 4 5 2 2 4 2" xfId="19085" xr:uid="{00000000-0005-0000-0000-0000EE6D0000}"/>
    <cellStyle name="40% - Accent3 4 5 2 2 4 2 2" xfId="41687" xr:uid="{00000000-0005-0000-0000-0000EF6D0000}"/>
    <cellStyle name="40% - Accent3 4 5 2 2 4 3" xfId="30386" xr:uid="{00000000-0005-0000-0000-0000F06D0000}"/>
    <cellStyle name="40% - Accent3 4 5 2 2 5" xfId="13435" xr:uid="{00000000-0005-0000-0000-0000F16D0000}"/>
    <cellStyle name="40% - Accent3 4 5 2 2 5 2" xfId="36037" xr:uid="{00000000-0005-0000-0000-0000F26D0000}"/>
    <cellStyle name="40% - Accent3 4 5 2 2 6" xfId="24736" xr:uid="{00000000-0005-0000-0000-0000F36D0000}"/>
    <cellStyle name="40% - Accent3 4 5 2 3" xfId="2684" xr:uid="{00000000-0005-0000-0000-0000F46D0000}"/>
    <cellStyle name="40% - Accent3 4 5 2 3 2" xfId="5703" xr:uid="{00000000-0005-0000-0000-0000F56D0000}"/>
    <cellStyle name="40% - Accent3 4 5 2 3 2 2" xfId="11353" xr:uid="{00000000-0005-0000-0000-0000F66D0000}"/>
    <cellStyle name="40% - Accent3 4 5 2 3 2 2 2" xfId="22654" xr:uid="{00000000-0005-0000-0000-0000F76D0000}"/>
    <cellStyle name="40% - Accent3 4 5 2 3 2 2 2 2" xfId="45256" xr:uid="{00000000-0005-0000-0000-0000F86D0000}"/>
    <cellStyle name="40% - Accent3 4 5 2 3 2 2 3" xfId="33955" xr:uid="{00000000-0005-0000-0000-0000F96D0000}"/>
    <cellStyle name="40% - Accent3 4 5 2 3 2 3" xfId="17004" xr:uid="{00000000-0005-0000-0000-0000FA6D0000}"/>
    <cellStyle name="40% - Accent3 4 5 2 3 2 3 2" xfId="39606" xr:uid="{00000000-0005-0000-0000-0000FB6D0000}"/>
    <cellStyle name="40% - Accent3 4 5 2 3 2 4" xfId="28305" xr:uid="{00000000-0005-0000-0000-0000FC6D0000}"/>
    <cellStyle name="40% - Accent3 4 5 2 3 3" xfId="8520" xr:uid="{00000000-0005-0000-0000-0000FD6D0000}"/>
    <cellStyle name="40% - Accent3 4 5 2 3 3 2" xfId="19821" xr:uid="{00000000-0005-0000-0000-0000FE6D0000}"/>
    <cellStyle name="40% - Accent3 4 5 2 3 3 2 2" xfId="42423" xr:uid="{00000000-0005-0000-0000-0000FF6D0000}"/>
    <cellStyle name="40% - Accent3 4 5 2 3 3 3" xfId="31122" xr:uid="{00000000-0005-0000-0000-0000006E0000}"/>
    <cellStyle name="40% - Accent3 4 5 2 3 4" xfId="14171" xr:uid="{00000000-0005-0000-0000-0000016E0000}"/>
    <cellStyle name="40% - Accent3 4 5 2 3 4 2" xfId="36773" xr:uid="{00000000-0005-0000-0000-0000026E0000}"/>
    <cellStyle name="40% - Accent3 4 5 2 3 5" xfId="25472" xr:uid="{00000000-0005-0000-0000-0000036E0000}"/>
    <cellStyle name="40% - Accent3 4 5 2 4" xfId="4469" xr:uid="{00000000-0005-0000-0000-0000046E0000}"/>
    <cellStyle name="40% - Accent3 4 5 2 4 2" xfId="10119" xr:uid="{00000000-0005-0000-0000-0000056E0000}"/>
    <cellStyle name="40% - Accent3 4 5 2 4 2 2" xfId="21420" xr:uid="{00000000-0005-0000-0000-0000066E0000}"/>
    <cellStyle name="40% - Accent3 4 5 2 4 2 2 2" xfId="44022" xr:uid="{00000000-0005-0000-0000-0000076E0000}"/>
    <cellStyle name="40% - Accent3 4 5 2 4 2 3" xfId="32721" xr:uid="{00000000-0005-0000-0000-0000086E0000}"/>
    <cellStyle name="40% - Accent3 4 5 2 4 3" xfId="15770" xr:uid="{00000000-0005-0000-0000-0000096E0000}"/>
    <cellStyle name="40% - Accent3 4 5 2 4 3 2" xfId="38372" xr:uid="{00000000-0005-0000-0000-00000A6E0000}"/>
    <cellStyle name="40% - Accent3 4 5 2 4 4" xfId="27071" xr:uid="{00000000-0005-0000-0000-00000B6E0000}"/>
    <cellStyle name="40% - Accent3 4 5 2 5" xfId="7265" xr:uid="{00000000-0005-0000-0000-00000C6E0000}"/>
    <cellStyle name="40% - Accent3 4 5 2 5 2" xfId="18566" xr:uid="{00000000-0005-0000-0000-00000D6E0000}"/>
    <cellStyle name="40% - Accent3 4 5 2 5 2 2" xfId="41168" xr:uid="{00000000-0005-0000-0000-00000E6E0000}"/>
    <cellStyle name="40% - Accent3 4 5 2 5 3" xfId="29867" xr:uid="{00000000-0005-0000-0000-00000F6E0000}"/>
    <cellStyle name="40% - Accent3 4 5 2 6" xfId="12916" xr:uid="{00000000-0005-0000-0000-0000106E0000}"/>
    <cellStyle name="40% - Accent3 4 5 2 6 2" xfId="35518" xr:uid="{00000000-0005-0000-0000-0000116E0000}"/>
    <cellStyle name="40% - Accent3 4 5 2 7" xfId="24217" xr:uid="{00000000-0005-0000-0000-0000126E0000}"/>
    <cellStyle name="40% - Accent3 4 5 3" xfId="984" xr:uid="{00000000-0005-0000-0000-0000136E0000}"/>
    <cellStyle name="40% - Accent3 4 5 3 2" xfId="3047" xr:uid="{00000000-0005-0000-0000-0000146E0000}"/>
    <cellStyle name="40% - Accent3 4 5 3 2 2" xfId="6019" xr:uid="{00000000-0005-0000-0000-0000156E0000}"/>
    <cellStyle name="40% - Accent3 4 5 3 2 2 2" xfId="11669" xr:uid="{00000000-0005-0000-0000-0000166E0000}"/>
    <cellStyle name="40% - Accent3 4 5 3 2 2 2 2" xfId="22970" xr:uid="{00000000-0005-0000-0000-0000176E0000}"/>
    <cellStyle name="40% - Accent3 4 5 3 2 2 2 2 2" xfId="45572" xr:uid="{00000000-0005-0000-0000-0000186E0000}"/>
    <cellStyle name="40% - Accent3 4 5 3 2 2 2 3" xfId="34271" xr:uid="{00000000-0005-0000-0000-0000196E0000}"/>
    <cellStyle name="40% - Accent3 4 5 3 2 2 3" xfId="17320" xr:uid="{00000000-0005-0000-0000-00001A6E0000}"/>
    <cellStyle name="40% - Accent3 4 5 3 2 2 3 2" xfId="39922" xr:uid="{00000000-0005-0000-0000-00001B6E0000}"/>
    <cellStyle name="40% - Accent3 4 5 3 2 2 4" xfId="28621" xr:uid="{00000000-0005-0000-0000-00001C6E0000}"/>
    <cellStyle name="40% - Accent3 4 5 3 2 3" xfId="8837" xr:uid="{00000000-0005-0000-0000-00001D6E0000}"/>
    <cellStyle name="40% - Accent3 4 5 3 2 3 2" xfId="20138" xr:uid="{00000000-0005-0000-0000-00001E6E0000}"/>
    <cellStyle name="40% - Accent3 4 5 3 2 3 2 2" xfId="42740" xr:uid="{00000000-0005-0000-0000-00001F6E0000}"/>
    <cellStyle name="40% - Accent3 4 5 3 2 3 3" xfId="31439" xr:uid="{00000000-0005-0000-0000-0000206E0000}"/>
    <cellStyle name="40% - Accent3 4 5 3 2 4" xfId="14488" xr:uid="{00000000-0005-0000-0000-0000216E0000}"/>
    <cellStyle name="40% - Accent3 4 5 3 2 4 2" xfId="37090" xr:uid="{00000000-0005-0000-0000-0000226E0000}"/>
    <cellStyle name="40% - Accent3 4 5 3 2 5" xfId="25789" xr:uid="{00000000-0005-0000-0000-0000236E0000}"/>
    <cellStyle name="40% - Accent3 4 5 3 3" xfId="4785" xr:uid="{00000000-0005-0000-0000-0000246E0000}"/>
    <cellStyle name="40% - Accent3 4 5 3 3 2" xfId="10435" xr:uid="{00000000-0005-0000-0000-0000256E0000}"/>
    <cellStyle name="40% - Accent3 4 5 3 3 2 2" xfId="21736" xr:uid="{00000000-0005-0000-0000-0000266E0000}"/>
    <cellStyle name="40% - Accent3 4 5 3 3 2 2 2" xfId="44338" xr:uid="{00000000-0005-0000-0000-0000276E0000}"/>
    <cellStyle name="40% - Accent3 4 5 3 3 2 3" xfId="33037" xr:uid="{00000000-0005-0000-0000-0000286E0000}"/>
    <cellStyle name="40% - Accent3 4 5 3 3 3" xfId="16086" xr:uid="{00000000-0005-0000-0000-0000296E0000}"/>
    <cellStyle name="40% - Accent3 4 5 3 3 3 2" xfId="38688" xr:uid="{00000000-0005-0000-0000-00002A6E0000}"/>
    <cellStyle name="40% - Accent3 4 5 3 3 4" xfId="27387" xr:uid="{00000000-0005-0000-0000-00002B6E0000}"/>
    <cellStyle name="40% - Accent3 4 5 3 4" xfId="6972" xr:uid="{00000000-0005-0000-0000-00002C6E0000}"/>
    <cellStyle name="40% - Accent3 4 5 3 4 2" xfId="18273" xr:uid="{00000000-0005-0000-0000-00002D6E0000}"/>
    <cellStyle name="40% - Accent3 4 5 3 4 2 2" xfId="40875" xr:uid="{00000000-0005-0000-0000-00002E6E0000}"/>
    <cellStyle name="40% - Accent3 4 5 3 4 3" xfId="29574" xr:uid="{00000000-0005-0000-0000-00002F6E0000}"/>
    <cellStyle name="40% - Accent3 4 5 3 5" xfId="12623" xr:uid="{00000000-0005-0000-0000-0000306E0000}"/>
    <cellStyle name="40% - Accent3 4 5 3 5 2" xfId="35225" xr:uid="{00000000-0005-0000-0000-0000316E0000}"/>
    <cellStyle name="40% - Accent3 4 5 3 6" xfId="23924" xr:uid="{00000000-0005-0000-0000-0000326E0000}"/>
    <cellStyle name="40% - Accent3 4 5 4" xfId="1927" xr:uid="{00000000-0005-0000-0000-0000336E0000}"/>
    <cellStyle name="40% - Accent3 4 5 4 2" xfId="3765" xr:uid="{00000000-0005-0000-0000-0000346E0000}"/>
    <cellStyle name="40% - Accent3 4 5 4 2 2" xfId="9475" xr:uid="{00000000-0005-0000-0000-0000356E0000}"/>
    <cellStyle name="40% - Accent3 4 5 4 2 2 2" xfId="20776" xr:uid="{00000000-0005-0000-0000-0000366E0000}"/>
    <cellStyle name="40% - Accent3 4 5 4 2 2 2 2" xfId="43378" xr:uid="{00000000-0005-0000-0000-0000376E0000}"/>
    <cellStyle name="40% - Accent3 4 5 4 2 2 3" xfId="32077" xr:uid="{00000000-0005-0000-0000-0000386E0000}"/>
    <cellStyle name="40% - Accent3 4 5 4 2 3" xfId="15126" xr:uid="{00000000-0005-0000-0000-0000396E0000}"/>
    <cellStyle name="40% - Accent3 4 5 4 2 3 2" xfId="37728" xr:uid="{00000000-0005-0000-0000-00003A6E0000}"/>
    <cellStyle name="40% - Accent3 4 5 4 2 4" xfId="26427" xr:uid="{00000000-0005-0000-0000-00003B6E0000}"/>
    <cellStyle name="40% - Accent3 4 5 4 3" xfId="5395" xr:uid="{00000000-0005-0000-0000-00003C6E0000}"/>
    <cellStyle name="40% - Accent3 4 5 4 3 2" xfId="11045" xr:uid="{00000000-0005-0000-0000-00003D6E0000}"/>
    <cellStyle name="40% - Accent3 4 5 4 3 2 2" xfId="22346" xr:uid="{00000000-0005-0000-0000-00003E6E0000}"/>
    <cellStyle name="40% - Accent3 4 5 4 3 2 2 2" xfId="44948" xr:uid="{00000000-0005-0000-0000-00003F6E0000}"/>
    <cellStyle name="40% - Accent3 4 5 4 3 2 3" xfId="33647" xr:uid="{00000000-0005-0000-0000-0000406E0000}"/>
    <cellStyle name="40% - Accent3 4 5 4 3 3" xfId="16696" xr:uid="{00000000-0005-0000-0000-0000416E0000}"/>
    <cellStyle name="40% - Accent3 4 5 4 3 3 2" xfId="39298" xr:uid="{00000000-0005-0000-0000-0000426E0000}"/>
    <cellStyle name="40% - Accent3 4 5 4 3 4" xfId="27997" xr:uid="{00000000-0005-0000-0000-0000436E0000}"/>
    <cellStyle name="40% - Accent3 4 5 4 4" xfId="7783" xr:uid="{00000000-0005-0000-0000-0000446E0000}"/>
    <cellStyle name="40% - Accent3 4 5 4 4 2" xfId="19084" xr:uid="{00000000-0005-0000-0000-0000456E0000}"/>
    <cellStyle name="40% - Accent3 4 5 4 4 2 2" xfId="41686" xr:uid="{00000000-0005-0000-0000-0000466E0000}"/>
    <cellStyle name="40% - Accent3 4 5 4 4 3" xfId="30385" xr:uid="{00000000-0005-0000-0000-0000476E0000}"/>
    <cellStyle name="40% - Accent3 4 5 4 5" xfId="13434" xr:uid="{00000000-0005-0000-0000-0000486E0000}"/>
    <cellStyle name="40% - Accent3 4 5 4 5 2" xfId="36036" xr:uid="{00000000-0005-0000-0000-0000496E0000}"/>
    <cellStyle name="40% - Accent3 4 5 4 6" xfId="24735" xr:uid="{00000000-0005-0000-0000-00004A6E0000}"/>
    <cellStyle name="40% - Accent3 4 5 5" xfId="2376" xr:uid="{00000000-0005-0000-0000-00004B6E0000}"/>
    <cellStyle name="40% - Accent3 4 5 5 2" xfId="8212" xr:uid="{00000000-0005-0000-0000-00004C6E0000}"/>
    <cellStyle name="40% - Accent3 4 5 5 2 2" xfId="19513" xr:uid="{00000000-0005-0000-0000-00004D6E0000}"/>
    <cellStyle name="40% - Accent3 4 5 5 2 2 2" xfId="42115" xr:uid="{00000000-0005-0000-0000-00004E6E0000}"/>
    <cellStyle name="40% - Accent3 4 5 5 2 3" xfId="30814" xr:uid="{00000000-0005-0000-0000-00004F6E0000}"/>
    <cellStyle name="40% - Accent3 4 5 5 3" xfId="13863" xr:uid="{00000000-0005-0000-0000-0000506E0000}"/>
    <cellStyle name="40% - Accent3 4 5 5 3 2" xfId="36465" xr:uid="{00000000-0005-0000-0000-0000516E0000}"/>
    <cellStyle name="40% - Accent3 4 5 5 4" xfId="25164" xr:uid="{00000000-0005-0000-0000-0000526E0000}"/>
    <cellStyle name="40% - Accent3 4 5 6" xfId="4161" xr:uid="{00000000-0005-0000-0000-0000536E0000}"/>
    <cellStyle name="40% - Accent3 4 5 6 2" xfId="9811" xr:uid="{00000000-0005-0000-0000-0000546E0000}"/>
    <cellStyle name="40% - Accent3 4 5 6 2 2" xfId="21112" xr:uid="{00000000-0005-0000-0000-0000556E0000}"/>
    <cellStyle name="40% - Accent3 4 5 6 2 2 2" xfId="43714" xr:uid="{00000000-0005-0000-0000-0000566E0000}"/>
    <cellStyle name="40% - Accent3 4 5 6 2 3" xfId="32413" xr:uid="{00000000-0005-0000-0000-0000576E0000}"/>
    <cellStyle name="40% - Accent3 4 5 6 3" xfId="15462" xr:uid="{00000000-0005-0000-0000-0000586E0000}"/>
    <cellStyle name="40% - Accent3 4 5 6 3 2" xfId="38064" xr:uid="{00000000-0005-0000-0000-0000596E0000}"/>
    <cellStyle name="40% - Accent3 4 5 6 4" xfId="26763" xr:uid="{00000000-0005-0000-0000-00005A6E0000}"/>
    <cellStyle name="40% - Accent3 4 5 7" xfId="6612" xr:uid="{00000000-0005-0000-0000-00005B6E0000}"/>
    <cellStyle name="40% - Accent3 4 5 7 2" xfId="17913" xr:uid="{00000000-0005-0000-0000-00005C6E0000}"/>
    <cellStyle name="40% - Accent3 4 5 7 2 2" xfId="40515" xr:uid="{00000000-0005-0000-0000-00005D6E0000}"/>
    <cellStyle name="40% - Accent3 4 5 7 3" xfId="29214" xr:uid="{00000000-0005-0000-0000-00005E6E0000}"/>
    <cellStyle name="40% - Accent3 4 5 8" xfId="12263" xr:uid="{00000000-0005-0000-0000-00005F6E0000}"/>
    <cellStyle name="40% - Accent3 4 5 8 2" xfId="34865" xr:uid="{00000000-0005-0000-0000-0000606E0000}"/>
    <cellStyle name="40% - Accent3 4 5 9" xfId="23564" xr:uid="{00000000-0005-0000-0000-0000616E0000}"/>
    <cellStyle name="40% - Accent3 4 6" xfId="1119" xr:uid="{00000000-0005-0000-0000-0000626E0000}"/>
    <cellStyle name="40% - Accent3 4 6 2" xfId="1929" xr:uid="{00000000-0005-0000-0000-0000636E0000}"/>
    <cellStyle name="40% - Accent3 4 6 2 2" xfId="3186" xr:uid="{00000000-0005-0000-0000-0000646E0000}"/>
    <cellStyle name="40% - Accent3 4 6 2 2 2" xfId="6158" xr:uid="{00000000-0005-0000-0000-0000656E0000}"/>
    <cellStyle name="40% - Accent3 4 6 2 2 2 2" xfId="11808" xr:uid="{00000000-0005-0000-0000-0000666E0000}"/>
    <cellStyle name="40% - Accent3 4 6 2 2 2 2 2" xfId="23109" xr:uid="{00000000-0005-0000-0000-0000676E0000}"/>
    <cellStyle name="40% - Accent3 4 6 2 2 2 2 2 2" xfId="45711" xr:uid="{00000000-0005-0000-0000-0000686E0000}"/>
    <cellStyle name="40% - Accent3 4 6 2 2 2 2 3" xfId="34410" xr:uid="{00000000-0005-0000-0000-0000696E0000}"/>
    <cellStyle name="40% - Accent3 4 6 2 2 2 3" xfId="17459" xr:uid="{00000000-0005-0000-0000-00006A6E0000}"/>
    <cellStyle name="40% - Accent3 4 6 2 2 2 3 2" xfId="40061" xr:uid="{00000000-0005-0000-0000-00006B6E0000}"/>
    <cellStyle name="40% - Accent3 4 6 2 2 2 4" xfId="28760" xr:uid="{00000000-0005-0000-0000-00006C6E0000}"/>
    <cellStyle name="40% - Accent3 4 6 2 2 3" xfId="8976" xr:uid="{00000000-0005-0000-0000-00006D6E0000}"/>
    <cellStyle name="40% - Accent3 4 6 2 2 3 2" xfId="20277" xr:uid="{00000000-0005-0000-0000-00006E6E0000}"/>
    <cellStyle name="40% - Accent3 4 6 2 2 3 2 2" xfId="42879" xr:uid="{00000000-0005-0000-0000-00006F6E0000}"/>
    <cellStyle name="40% - Accent3 4 6 2 2 3 3" xfId="31578" xr:uid="{00000000-0005-0000-0000-0000706E0000}"/>
    <cellStyle name="40% - Accent3 4 6 2 2 4" xfId="14627" xr:uid="{00000000-0005-0000-0000-0000716E0000}"/>
    <cellStyle name="40% - Accent3 4 6 2 2 4 2" xfId="37229" xr:uid="{00000000-0005-0000-0000-0000726E0000}"/>
    <cellStyle name="40% - Accent3 4 6 2 2 5" xfId="25928" xr:uid="{00000000-0005-0000-0000-0000736E0000}"/>
    <cellStyle name="40% - Accent3 4 6 2 3" xfId="4924" xr:uid="{00000000-0005-0000-0000-0000746E0000}"/>
    <cellStyle name="40% - Accent3 4 6 2 3 2" xfId="10574" xr:uid="{00000000-0005-0000-0000-0000756E0000}"/>
    <cellStyle name="40% - Accent3 4 6 2 3 2 2" xfId="21875" xr:uid="{00000000-0005-0000-0000-0000766E0000}"/>
    <cellStyle name="40% - Accent3 4 6 2 3 2 2 2" xfId="44477" xr:uid="{00000000-0005-0000-0000-0000776E0000}"/>
    <cellStyle name="40% - Accent3 4 6 2 3 2 3" xfId="33176" xr:uid="{00000000-0005-0000-0000-0000786E0000}"/>
    <cellStyle name="40% - Accent3 4 6 2 3 3" xfId="16225" xr:uid="{00000000-0005-0000-0000-0000796E0000}"/>
    <cellStyle name="40% - Accent3 4 6 2 3 3 2" xfId="38827" xr:uid="{00000000-0005-0000-0000-00007A6E0000}"/>
    <cellStyle name="40% - Accent3 4 6 2 3 4" xfId="27526" xr:uid="{00000000-0005-0000-0000-00007B6E0000}"/>
    <cellStyle name="40% - Accent3 4 6 2 4" xfId="7785" xr:uid="{00000000-0005-0000-0000-00007C6E0000}"/>
    <cellStyle name="40% - Accent3 4 6 2 4 2" xfId="19086" xr:uid="{00000000-0005-0000-0000-00007D6E0000}"/>
    <cellStyle name="40% - Accent3 4 6 2 4 2 2" xfId="41688" xr:uid="{00000000-0005-0000-0000-00007E6E0000}"/>
    <cellStyle name="40% - Accent3 4 6 2 4 3" xfId="30387" xr:uid="{00000000-0005-0000-0000-00007F6E0000}"/>
    <cellStyle name="40% - Accent3 4 6 2 5" xfId="13436" xr:uid="{00000000-0005-0000-0000-0000806E0000}"/>
    <cellStyle name="40% - Accent3 4 6 2 5 2" xfId="36038" xr:uid="{00000000-0005-0000-0000-0000816E0000}"/>
    <cellStyle name="40% - Accent3 4 6 2 6" xfId="24737" xr:uid="{00000000-0005-0000-0000-0000826E0000}"/>
    <cellStyle name="40% - Accent3 4 6 3" xfId="2515" xr:uid="{00000000-0005-0000-0000-0000836E0000}"/>
    <cellStyle name="40% - Accent3 4 6 3 2" xfId="5534" xr:uid="{00000000-0005-0000-0000-0000846E0000}"/>
    <cellStyle name="40% - Accent3 4 6 3 2 2" xfId="11184" xr:uid="{00000000-0005-0000-0000-0000856E0000}"/>
    <cellStyle name="40% - Accent3 4 6 3 2 2 2" xfId="22485" xr:uid="{00000000-0005-0000-0000-0000866E0000}"/>
    <cellStyle name="40% - Accent3 4 6 3 2 2 2 2" xfId="45087" xr:uid="{00000000-0005-0000-0000-0000876E0000}"/>
    <cellStyle name="40% - Accent3 4 6 3 2 2 3" xfId="33786" xr:uid="{00000000-0005-0000-0000-0000886E0000}"/>
    <cellStyle name="40% - Accent3 4 6 3 2 3" xfId="16835" xr:uid="{00000000-0005-0000-0000-0000896E0000}"/>
    <cellStyle name="40% - Accent3 4 6 3 2 3 2" xfId="39437" xr:uid="{00000000-0005-0000-0000-00008A6E0000}"/>
    <cellStyle name="40% - Accent3 4 6 3 2 4" xfId="28136" xr:uid="{00000000-0005-0000-0000-00008B6E0000}"/>
    <cellStyle name="40% - Accent3 4 6 3 3" xfId="8351" xr:uid="{00000000-0005-0000-0000-00008C6E0000}"/>
    <cellStyle name="40% - Accent3 4 6 3 3 2" xfId="19652" xr:uid="{00000000-0005-0000-0000-00008D6E0000}"/>
    <cellStyle name="40% - Accent3 4 6 3 3 2 2" xfId="42254" xr:uid="{00000000-0005-0000-0000-00008E6E0000}"/>
    <cellStyle name="40% - Accent3 4 6 3 3 3" xfId="30953" xr:uid="{00000000-0005-0000-0000-00008F6E0000}"/>
    <cellStyle name="40% - Accent3 4 6 3 4" xfId="14002" xr:uid="{00000000-0005-0000-0000-0000906E0000}"/>
    <cellStyle name="40% - Accent3 4 6 3 4 2" xfId="36604" xr:uid="{00000000-0005-0000-0000-0000916E0000}"/>
    <cellStyle name="40% - Accent3 4 6 3 5" xfId="25303" xr:uid="{00000000-0005-0000-0000-0000926E0000}"/>
    <cellStyle name="40% - Accent3 4 6 4" xfId="4300" xr:uid="{00000000-0005-0000-0000-0000936E0000}"/>
    <cellStyle name="40% - Accent3 4 6 4 2" xfId="9950" xr:uid="{00000000-0005-0000-0000-0000946E0000}"/>
    <cellStyle name="40% - Accent3 4 6 4 2 2" xfId="21251" xr:uid="{00000000-0005-0000-0000-0000956E0000}"/>
    <cellStyle name="40% - Accent3 4 6 4 2 2 2" xfId="43853" xr:uid="{00000000-0005-0000-0000-0000966E0000}"/>
    <cellStyle name="40% - Accent3 4 6 4 2 3" xfId="32552" xr:uid="{00000000-0005-0000-0000-0000976E0000}"/>
    <cellStyle name="40% - Accent3 4 6 4 3" xfId="15601" xr:uid="{00000000-0005-0000-0000-0000986E0000}"/>
    <cellStyle name="40% - Accent3 4 6 4 3 2" xfId="38203" xr:uid="{00000000-0005-0000-0000-0000996E0000}"/>
    <cellStyle name="40% - Accent3 4 6 4 4" xfId="26902" xr:uid="{00000000-0005-0000-0000-00009A6E0000}"/>
    <cellStyle name="40% - Accent3 4 6 5" xfId="7098" xr:uid="{00000000-0005-0000-0000-00009B6E0000}"/>
    <cellStyle name="40% - Accent3 4 6 5 2" xfId="18399" xr:uid="{00000000-0005-0000-0000-00009C6E0000}"/>
    <cellStyle name="40% - Accent3 4 6 5 2 2" xfId="41001" xr:uid="{00000000-0005-0000-0000-00009D6E0000}"/>
    <cellStyle name="40% - Accent3 4 6 5 3" xfId="29700" xr:uid="{00000000-0005-0000-0000-00009E6E0000}"/>
    <cellStyle name="40% - Accent3 4 6 6" xfId="12749" xr:uid="{00000000-0005-0000-0000-00009F6E0000}"/>
    <cellStyle name="40% - Accent3 4 6 6 2" xfId="35351" xr:uid="{00000000-0005-0000-0000-0000A06E0000}"/>
    <cellStyle name="40% - Accent3 4 6 7" xfId="24050" xr:uid="{00000000-0005-0000-0000-0000A16E0000}"/>
    <cellStyle name="40% - Accent3 4 7" xfId="783" xr:uid="{00000000-0005-0000-0000-0000A26E0000}"/>
    <cellStyle name="40% - Accent3 4 7 2" xfId="2880" xr:uid="{00000000-0005-0000-0000-0000A36E0000}"/>
    <cellStyle name="40% - Accent3 4 7 2 2" xfId="5852" xr:uid="{00000000-0005-0000-0000-0000A46E0000}"/>
    <cellStyle name="40% - Accent3 4 7 2 2 2" xfId="11502" xr:uid="{00000000-0005-0000-0000-0000A56E0000}"/>
    <cellStyle name="40% - Accent3 4 7 2 2 2 2" xfId="22803" xr:uid="{00000000-0005-0000-0000-0000A66E0000}"/>
    <cellStyle name="40% - Accent3 4 7 2 2 2 2 2" xfId="45405" xr:uid="{00000000-0005-0000-0000-0000A76E0000}"/>
    <cellStyle name="40% - Accent3 4 7 2 2 2 3" xfId="34104" xr:uid="{00000000-0005-0000-0000-0000A86E0000}"/>
    <cellStyle name="40% - Accent3 4 7 2 2 3" xfId="17153" xr:uid="{00000000-0005-0000-0000-0000A96E0000}"/>
    <cellStyle name="40% - Accent3 4 7 2 2 3 2" xfId="39755" xr:uid="{00000000-0005-0000-0000-0000AA6E0000}"/>
    <cellStyle name="40% - Accent3 4 7 2 2 4" xfId="28454" xr:uid="{00000000-0005-0000-0000-0000AB6E0000}"/>
    <cellStyle name="40% - Accent3 4 7 2 3" xfId="8670" xr:uid="{00000000-0005-0000-0000-0000AC6E0000}"/>
    <cellStyle name="40% - Accent3 4 7 2 3 2" xfId="19971" xr:uid="{00000000-0005-0000-0000-0000AD6E0000}"/>
    <cellStyle name="40% - Accent3 4 7 2 3 2 2" xfId="42573" xr:uid="{00000000-0005-0000-0000-0000AE6E0000}"/>
    <cellStyle name="40% - Accent3 4 7 2 3 3" xfId="31272" xr:uid="{00000000-0005-0000-0000-0000AF6E0000}"/>
    <cellStyle name="40% - Accent3 4 7 2 4" xfId="14321" xr:uid="{00000000-0005-0000-0000-0000B06E0000}"/>
    <cellStyle name="40% - Accent3 4 7 2 4 2" xfId="36923" xr:uid="{00000000-0005-0000-0000-0000B16E0000}"/>
    <cellStyle name="40% - Accent3 4 7 2 5" xfId="25622" xr:uid="{00000000-0005-0000-0000-0000B26E0000}"/>
    <cellStyle name="40% - Accent3 4 7 3" xfId="4618" xr:uid="{00000000-0005-0000-0000-0000B36E0000}"/>
    <cellStyle name="40% - Accent3 4 7 3 2" xfId="10268" xr:uid="{00000000-0005-0000-0000-0000B46E0000}"/>
    <cellStyle name="40% - Accent3 4 7 3 2 2" xfId="21569" xr:uid="{00000000-0005-0000-0000-0000B56E0000}"/>
    <cellStyle name="40% - Accent3 4 7 3 2 2 2" xfId="44171" xr:uid="{00000000-0005-0000-0000-0000B66E0000}"/>
    <cellStyle name="40% - Accent3 4 7 3 2 3" xfId="32870" xr:uid="{00000000-0005-0000-0000-0000B76E0000}"/>
    <cellStyle name="40% - Accent3 4 7 3 3" xfId="15919" xr:uid="{00000000-0005-0000-0000-0000B86E0000}"/>
    <cellStyle name="40% - Accent3 4 7 3 3 2" xfId="38521" xr:uid="{00000000-0005-0000-0000-0000B96E0000}"/>
    <cellStyle name="40% - Accent3 4 7 3 4" xfId="27220" xr:uid="{00000000-0005-0000-0000-0000BA6E0000}"/>
    <cellStyle name="40% - Accent3 4 7 4" xfId="6800" xr:uid="{00000000-0005-0000-0000-0000BB6E0000}"/>
    <cellStyle name="40% - Accent3 4 7 4 2" xfId="18101" xr:uid="{00000000-0005-0000-0000-0000BC6E0000}"/>
    <cellStyle name="40% - Accent3 4 7 4 2 2" xfId="40703" xr:uid="{00000000-0005-0000-0000-0000BD6E0000}"/>
    <cellStyle name="40% - Accent3 4 7 4 3" xfId="29402" xr:uid="{00000000-0005-0000-0000-0000BE6E0000}"/>
    <cellStyle name="40% - Accent3 4 7 5" xfId="12451" xr:uid="{00000000-0005-0000-0000-0000BF6E0000}"/>
    <cellStyle name="40% - Accent3 4 7 5 2" xfId="35053" xr:uid="{00000000-0005-0000-0000-0000C06E0000}"/>
    <cellStyle name="40% - Accent3 4 7 6" xfId="23752" xr:uid="{00000000-0005-0000-0000-0000C16E0000}"/>
    <cellStyle name="40% - Accent3 4 8" xfId="1916" xr:uid="{00000000-0005-0000-0000-0000C26E0000}"/>
    <cellStyle name="40% - Accent3 4 8 2" xfId="3759" xr:uid="{00000000-0005-0000-0000-0000C36E0000}"/>
    <cellStyle name="40% - Accent3 4 8 2 2" xfId="9469" xr:uid="{00000000-0005-0000-0000-0000C46E0000}"/>
    <cellStyle name="40% - Accent3 4 8 2 2 2" xfId="20770" xr:uid="{00000000-0005-0000-0000-0000C56E0000}"/>
    <cellStyle name="40% - Accent3 4 8 2 2 2 2" xfId="43372" xr:uid="{00000000-0005-0000-0000-0000C66E0000}"/>
    <cellStyle name="40% - Accent3 4 8 2 2 3" xfId="32071" xr:uid="{00000000-0005-0000-0000-0000C76E0000}"/>
    <cellStyle name="40% - Accent3 4 8 2 3" xfId="15120" xr:uid="{00000000-0005-0000-0000-0000C86E0000}"/>
    <cellStyle name="40% - Accent3 4 8 2 3 2" xfId="37722" xr:uid="{00000000-0005-0000-0000-0000C96E0000}"/>
    <cellStyle name="40% - Accent3 4 8 2 4" xfId="26421" xr:uid="{00000000-0005-0000-0000-0000CA6E0000}"/>
    <cellStyle name="40% - Accent3 4 8 3" xfId="5228" xr:uid="{00000000-0005-0000-0000-0000CB6E0000}"/>
    <cellStyle name="40% - Accent3 4 8 3 2" xfId="10878" xr:uid="{00000000-0005-0000-0000-0000CC6E0000}"/>
    <cellStyle name="40% - Accent3 4 8 3 2 2" xfId="22179" xr:uid="{00000000-0005-0000-0000-0000CD6E0000}"/>
    <cellStyle name="40% - Accent3 4 8 3 2 2 2" xfId="44781" xr:uid="{00000000-0005-0000-0000-0000CE6E0000}"/>
    <cellStyle name="40% - Accent3 4 8 3 2 3" xfId="33480" xr:uid="{00000000-0005-0000-0000-0000CF6E0000}"/>
    <cellStyle name="40% - Accent3 4 8 3 3" xfId="16529" xr:uid="{00000000-0005-0000-0000-0000D06E0000}"/>
    <cellStyle name="40% - Accent3 4 8 3 3 2" xfId="39131" xr:uid="{00000000-0005-0000-0000-0000D16E0000}"/>
    <cellStyle name="40% - Accent3 4 8 3 4" xfId="27830" xr:uid="{00000000-0005-0000-0000-0000D26E0000}"/>
    <cellStyle name="40% - Accent3 4 8 4" xfId="7772" xr:uid="{00000000-0005-0000-0000-0000D36E0000}"/>
    <cellStyle name="40% - Accent3 4 8 4 2" xfId="19073" xr:uid="{00000000-0005-0000-0000-0000D46E0000}"/>
    <cellStyle name="40% - Accent3 4 8 4 2 2" xfId="41675" xr:uid="{00000000-0005-0000-0000-0000D56E0000}"/>
    <cellStyle name="40% - Accent3 4 8 4 3" xfId="30374" xr:uid="{00000000-0005-0000-0000-0000D66E0000}"/>
    <cellStyle name="40% - Accent3 4 8 5" xfId="13423" xr:uid="{00000000-0005-0000-0000-0000D76E0000}"/>
    <cellStyle name="40% - Accent3 4 8 5 2" xfId="36025" xr:uid="{00000000-0005-0000-0000-0000D86E0000}"/>
    <cellStyle name="40% - Accent3 4 8 6" xfId="24724" xr:uid="{00000000-0005-0000-0000-0000D96E0000}"/>
    <cellStyle name="40% - Accent3 4 9" xfId="2199" xr:uid="{00000000-0005-0000-0000-0000DA6E0000}"/>
    <cellStyle name="40% - Accent3 4 9 2" xfId="8042" xr:uid="{00000000-0005-0000-0000-0000DB6E0000}"/>
    <cellStyle name="40% - Accent3 4 9 2 2" xfId="19343" xr:uid="{00000000-0005-0000-0000-0000DC6E0000}"/>
    <cellStyle name="40% - Accent3 4 9 2 2 2" xfId="41945" xr:uid="{00000000-0005-0000-0000-0000DD6E0000}"/>
    <cellStyle name="40% - Accent3 4 9 2 3" xfId="30644" xr:uid="{00000000-0005-0000-0000-0000DE6E0000}"/>
    <cellStyle name="40% - Accent3 4 9 3" xfId="13693" xr:uid="{00000000-0005-0000-0000-0000DF6E0000}"/>
    <cellStyle name="40% - Accent3 4 9 3 2" xfId="36295" xr:uid="{00000000-0005-0000-0000-0000E06E0000}"/>
    <cellStyle name="40% - Accent3 4 9 4" xfId="24994" xr:uid="{00000000-0005-0000-0000-0000E16E0000}"/>
    <cellStyle name="40% - Accent3 5" xfId="271" xr:uid="{00000000-0005-0000-0000-0000E26E0000}"/>
    <cellStyle name="40% - Accent3 5 10" xfId="12136" xr:uid="{00000000-0005-0000-0000-0000E36E0000}"/>
    <cellStyle name="40% - Accent3 5 10 2" xfId="34738" xr:uid="{00000000-0005-0000-0000-0000E46E0000}"/>
    <cellStyle name="40% - Accent3 5 11" xfId="23437" xr:uid="{00000000-0005-0000-0000-0000E56E0000}"/>
    <cellStyle name="40% - Accent3 5 2" xfId="438" xr:uid="{00000000-0005-0000-0000-0000E66E0000}"/>
    <cellStyle name="40% - Accent3 5 2 10" xfId="23533" xr:uid="{00000000-0005-0000-0000-0000E76E0000}"/>
    <cellStyle name="40% - Accent3 5 2 2" xfId="683" xr:uid="{00000000-0005-0000-0000-0000E86E0000}"/>
    <cellStyle name="40% - Accent3 5 2 2 2" xfId="1393" xr:uid="{00000000-0005-0000-0000-0000E96E0000}"/>
    <cellStyle name="40% - Accent3 5 2 2 2 2" xfId="1933" xr:uid="{00000000-0005-0000-0000-0000EA6E0000}"/>
    <cellStyle name="40% - Accent3 5 2 2 2 2 2" xfId="3462" xr:uid="{00000000-0005-0000-0000-0000EB6E0000}"/>
    <cellStyle name="40% - Accent3 5 2 2 2 2 2 2" xfId="6434" xr:uid="{00000000-0005-0000-0000-0000EC6E0000}"/>
    <cellStyle name="40% - Accent3 5 2 2 2 2 2 2 2" xfId="12084" xr:uid="{00000000-0005-0000-0000-0000ED6E0000}"/>
    <cellStyle name="40% - Accent3 5 2 2 2 2 2 2 2 2" xfId="23385" xr:uid="{00000000-0005-0000-0000-0000EE6E0000}"/>
    <cellStyle name="40% - Accent3 5 2 2 2 2 2 2 2 2 2" xfId="45987" xr:uid="{00000000-0005-0000-0000-0000EF6E0000}"/>
    <cellStyle name="40% - Accent3 5 2 2 2 2 2 2 2 3" xfId="34686" xr:uid="{00000000-0005-0000-0000-0000F06E0000}"/>
    <cellStyle name="40% - Accent3 5 2 2 2 2 2 2 3" xfId="17735" xr:uid="{00000000-0005-0000-0000-0000F16E0000}"/>
    <cellStyle name="40% - Accent3 5 2 2 2 2 2 2 3 2" xfId="40337" xr:uid="{00000000-0005-0000-0000-0000F26E0000}"/>
    <cellStyle name="40% - Accent3 5 2 2 2 2 2 2 4" xfId="29036" xr:uid="{00000000-0005-0000-0000-0000F36E0000}"/>
    <cellStyle name="40% - Accent3 5 2 2 2 2 2 3" xfId="9252" xr:uid="{00000000-0005-0000-0000-0000F46E0000}"/>
    <cellStyle name="40% - Accent3 5 2 2 2 2 2 3 2" xfId="20553" xr:uid="{00000000-0005-0000-0000-0000F56E0000}"/>
    <cellStyle name="40% - Accent3 5 2 2 2 2 2 3 2 2" xfId="43155" xr:uid="{00000000-0005-0000-0000-0000F66E0000}"/>
    <cellStyle name="40% - Accent3 5 2 2 2 2 2 3 3" xfId="31854" xr:uid="{00000000-0005-0000-0000-0000F76E0000}"/>
    <cellStyle name="40% - Accent3 5 2 2 2 2 2 4" xfId="14903" xr:uid="{00000000-0005-0000-0000-0000F86E0000}"/>
    <cellStyle name="40% - Accent3 5 2 2 2 2 2 4 2" xfId="37505" xr:uid="{00000000-0005-0000-0000-0000F96E0000}"/>
    <cellStyle name="40% - Accent3 5 2 2 2 2 2 5" xfId="26204" xr:uid="{00000000-0005-0000-0000-0000FA6E0000}"/>
    <cellStyle name="40% - Accent3 5 2 2 2 2 3" xfId="5200" xr:uid="{00000000-0005-0000-0000-0000FB6E0000}"/>
    <cellStyle name="40% - Accent3 5 2 2 2 2 3 2" xfId="10850" xr:uid="{00000000-0005-0000-0000-0000FC6E0000}"/>
    <cellStyle name="40% - Accent3 5 2 2 2 2 3 2 2" xfId="22151" xr:uid="{00000000-0005-0000-0000-0000FD6E0000}"/>
    <cellStyle name="40% - Accent3 5 2 2 2 2 3 2 2 2" xfId="44753" xr:uid="{00000000-0005-0000-0000-0000FE6E0000}"/>
    <cellStyle name="40% - Accent3 5 2 2 2 2 3 2 3" xfId="33452" xr:uid="{00000000-0005-0000-0000-0000FF6E0000}"/>
    <cellStyle name="40% - Accent3 5 2 2 2 2 3 3" xfId="16501" xr:uid="{00000000-0005-0000-0000-0000006F0000}"/>
    <cellStyle name="40% - Accent3 5 2 2 2 2 3 3 2" xfId="39103" xr:uid="{00000000-0005-0000-0000-0000016F0000}"/>
    <cellStyle name="40% - Accent3 5 2 2 2 2 3 4" xfId="27802" xr:uid="{00000000-0005-0000-0000-0000026F0000}"/>
    <cellStyle name="40% - Accent3 5 2 2 2 2 4" xfId="7789" xr:uid="{00000000-0005-0000-0000-0000036F0000}"/>
    <cellStyle name="40% - Accent3 5 2 2 2 2 4 2" xfId="19090" xr:uid="{00000000-0005-0000-0000-0000046F0000}"/>
    <cellStyle name="40% - Accent3 5 2 2 2 2 4 2 2" xfId="41692" xr:uid="{00000000-0005-0000-0000-0000056F0000}"/>
    <cellStyle name="40% - Accent3 5 2 2 2 2 4 3" xfId="30391" xr:uid="{00000000-0005-0000-0000-0000066F0000}"/>
    <cellStyle name="40% - Accent3 5 2 2 2 2 5" xfId="13440" xr:uid="{00000000-0005-0000-0000-0000076F0000}"/>
    <cellStyle name="40% - Accent3 5 2 2 2 2 5 2" xfId="36042" xr:uid="{00000000-0005-0000-0000-0000086F0000}"/>
    <cellStyle name="40% - Accent3 5 2 2 2 2 6" xfId="24741" xr:uid="{00000000-0005-0000-0000-0000096F0000}"/>
    <cellStyle name="40% - Accent3 5 2 2 2 3" xfId="2791" xr:uid="{00000000-0005-0000-0000-00000A6F0000}"/>
    <cellStyle name="40% - Accent3 5 2 2 2 3 2" xfId="5810" xr:uid="{00000000-0005-0000-0000-00000B6F0000}"/>
    <cellStyle name="40% - Accent3 5 2 2 2 3 2 2" xfId="11460" xr:uid="{00000000-0005-0000-0000-00000C6F0000}"/>
    <cellStyle name="40% - Accent3 5 2 2 2 3 2 2 2" xfId="22761" xr:uid="{00000000-0005-0000-0000-00000D6F0000}"/>
    <cellStyle name="40% - Accent3 5 2 2 2 3 2 2 2 2" xfId="45363" xr:uid="{00000000-0005-0000-0000-00000E6F0000}"/>
    <cellStyle name="40% - Accent3 5 2 2 2 3 2 2 3" xfId="34062" xr:uid="{00000000-0005-0000-0000-00000F6F0000}"/>
    <cellStyle name="40% - Accent3 5 2 2 2 3 2 3" xfId="17111" xr:uid="{00000000-0005-0000-0000-0000106F0000}"/>
    <cellStyle name="40% - Accent3 5 2 2 2 3 2 3 2" xfId="39713" xr:uid="{00000000-0005-0000-0000-0000116F0000}"/>
    <cellStyle name="40% - Accent3 5 2 2 2 3 2 4" xfId="28412" xr:uid="{00000000-0005-0000-0000-0000126F0000}"/>
    <cellStyle name="40% - Accent3 5 2 2 2 3 3" xfId="8627" xr:uid="{00000000-0005-0000-0000-0000136F0000}"/>
    <cellStyle name="40% - Accent3 5 2 2 2 3 3 2" xfId="19928" xr:uid="{00000000-0005-0000-0000-0000146F0000}"/>
    <cellStyle name="40% - Accent3 5 2 2 2 3 3 2 2" xfId="42530" xr:uid="{00000000-0005-0000-0000-0000156F0000}"/>
    <cellStyle name="40% - Accent3 5 2 2 2 3 3 3" xfId="31229" xr:uid="{00000000-0005-0000-0000-0000166F0000}"/>
    <cellStyle name="40% - Accent3 5 2 2 2 3 4" xfId="14278" xr:uid="{00000000-0005-0000-0000-0000176F0000}"/>
    <cellStyle name="40% - Accent3 5 2 2 2 3 4 2" xfId="36880" xr:uid="{00000000-0005-0000-0000-0000186F0000}"/>
    <cellStyle name="40% - Accent3 5 2 2 2 3 5" xfId="25579" xr:uid="{00000000-0005-0000-0000-0000196F0000}"/>
    <cellStyle name="40% - Accent3 5 2 2 2 4" xfId="4576" xr:uid="{00000000-0005-0000-0000-00001A6F0000}"/>
    <cellStyle name="40% - Accent3 5 2 2 2 4 2" xfId="10226" xr:uid="{00000000-0005-0000-0000-00001B6F0000}"/>
    <cellStyle name="40% - Accent3 5 2 2 2 4 2 2" xfId="21527" xr:uid="{00000000-0005-0000-0000-00001C6F0000}"/>
    <cellStyle name="40% - Accent3 5 2 2 2 4 2 2 2" xfId="44129" xr:uid="{00000000-0005-0000-0000-00001D6F0000}"/>
    <cellStyle name="40% - Accent3 5 2 2 2 4 2 3" xfId="32828" xr:uid="{00000000-0005-0000-0000-00001E6F0000}"/>
    <cellStyle name="40% - Accent3 5 2 2 2 4 3" xfId="15877" xr:uid="{00000000-0005-0000-0000-00001F6F0000}"/>
    <cellStyle name="40% - Accent3 5 2 2 2 4 3 2" xfId="38479" xr:uid="{00000000-0005-0000-0000-0000206F0000}"/>
    <cellStyle name="40% - Accent3 5 2 2 2 4 4" xfId="27178" xr:uid="{00000000-0005-0000-0000-0000216F0000}"/>
    <cellStyle name="40% - Accent3 5 2 2 2 5" xfId="7372" xr:uid="{00000000-0005-0000-0000-0000226F0000}"/>
    <cellStyle name="40% - Accent3 5 2 2 2 5 2" xfId="18673" xr:uid="{00000000-0005-0000-0000-0000236F0000}"/>
    <cellStyle name="40% - Accent3 5 2 2 2 5 2 2" xfId="41275" xr:uid="{00000000-0005-0000-0000-0000246F0000}"/>
    <cellStyle name="40% - Accent3 5 2 2 2 5 3" xfId="29974" xr:uid="{00000000-0005-0000-0000-0000256F0000}"/>
    <cellStyle name="40% - Accent3 5 2 2 2 6" xfId="13023" xr:uid="{00000000-0005-0000-0000-0000266F0000}"/>
    <cellStyle name="40% - Accent3 5 2 2 2 6 2" xfId="35625" xr:uid="{00000000-0005-0000-0000-0000276F0000}"/>
    <cellStyle name="40% - Accent3 5 2 2 2 7" xfId="24324" xr:uid="{00000000-0005-0000-0000-0000286F0000}"/>
    <cellStyle name="40% - Accent3 5 2 2 3" xfId="1091" xr:uid="{00000000-0005-0000-0000-0000296F0000}"/>
    <cellStyle name="40% - Accent3 5 2 2 3 2" xfId="3154" xr:uid="{00000000-0005-0000-0000-00002A6F0000}"/>
    <cellStyle name="40% - Accent3 5 2 2 3 2 2" xfId="6126" xr:uid="{00000000-0005-0000-0000-00002B6F0000}"/>
    <cellStyle name="40% - Accent3 5 2 2 3 2 2 2" xfId="11776" xr:uid="{00000000-0005-0000-0000-00002C6F0000}"/>
    <cellStyle name="40% - Accent3 5 2 2 3 2 2 2 2" xfId="23077" xr:uid="{00000000-0005-0000-0000-00002D6F0000}"/>
    <cellStyle name="40% - Accent3 5 2 2 3 2 2 2 2 2" xfId="45679" xr:uid="{00000000-0005-0000-0000-00002E6F0000}"/>
    <cellStyle name="40% - Accent3 5 2 2 3 2 2 2 3" xfId="34378" xr:uid="{00000000-0005-0000-0000-00002F6F0000}"/>
    <cellStyle name="40% - Accent3 5 2 2 3 2 2 3" xfId="17427" xr:uid="{00000000-0005-0000-0000-0000306F0000}"/>
    <cellStyle name="40% - Accent3 5 2 2 3 2 2 3 2" xfId="40029" xr:uid="{00000000-0005-0000-0000-0000316F0000}"/>
    <cellStyle name="40% - Accent3 5 2 2 3 2 2 4" xfId="28728" xr:uid="{00000000-0005-0000-0000-0000326F0000}"/>
    <cellStyle name="40% - Accent3 5 2 2 3 2 3" xfId="8944" xr:uid="{00000000-0005-0000-0000-0000336F0000}"/>
    <cellStyle name="40% - Accent3 5 2 2 3 2 3 2" xfId="20245" xr:uid="{00000000-0005-0000-0000-0000346F0000}"/>
    <cellStyle name="40% - Accent3 5 2 2 3 2 3 2 2" xfId="42847" xr:uid="{00000000-0005-0000-0000-0000356F0000}"/>
    <cellStyle name="40% - Accent3 5 2 2 3 2 3 3" xfId="31546" xr:uid="{00000000-0005-0000-0000-0000366F0000}"/>
    <cellStyle name="40% - Accent3 5 2 2 3 2 4" xfId="14595" xr:uid="{00000000-0005-0000-0000-0000376F0000}"/>
    <cellStyle name="40% - Accent3 5 2 2 3 2 4 2" xfId="37197" xr:uid="{00000000-0005-0000-0000-0000386F0000}"/>
    <cellStyle name="40% - Accent3 5 2 2 3 2 5" xfId="25896" xr:uid="{00000000-0005-0000-0000-0000396F0000}"/>
    <cellStyle name="40% - Accent3 5 2 2 3 3" xfId="4892" xr:uid="{00000000-0005-0000-0000-00003A6F0000}"/>
    <cellStyle name="40% - Accent3 5 2 2 3 3 2" xfId="10542" xr:uid="{00000000-0005-0000-0000-00003B6F0000}"/>
    <cellStyle name="40% - Accent3 5 2 2 3 3 2 2" xfId="21843" xr:uid="{00000000-0005-0000-0000-00003C6F0000}"/>
    <cellStyle name="40% - Accent3 5 2 2 3 3 2 2 2" xfId="44445" xr:uid="{00000000-0005-0000-0000-00003D6F0000}"/>
    <cellStyle name="40% - Accent3 5 2 2 3 3 2 3" xfId="33144" xr:uid="{00000000-0005-0000-0000-00003E6F0000}"/>
    <cellStyle name="40% - Accent3 5 2 2 3 3 3" xfId="16193" xr:uid="{00000000-0005-0000-0000-00003F6F0000}"/>
    <cellStyle name="40% - Accent3 5 2 2 3 3 3 2" xfId="38795" xr:uid="{00000000-0005-0000-0000-0000406F0000}"/>
    <cellStyle name="40% - Accent3 5 2 2 3 3 4" xfId="27494" xr:uid="{00000000-0005-0000-0000-0000416F0000}"/>
    <cellStyle name="40% - Accent3 5 2 2 3 4" xfId="7079" xr:uid="{00000000-0005-0000-0000-0000426F0000}"/>
    <cellStyle name="40% - Accent3 5 2 2 3 4 2" xfId="18380" xr:uid="{00000000-0005-0000-0000-0000436F0000}"/>
    <cellStyle name="40% - Accent3 5 2 2 3 4 2 2" xfId="40982" xr:uid="{00000000-0005-0000-0000-0000446F0000}"/>
    <cellStyle name="40% - Accent3 5 2 2 3 4 3" xfId="29681" xr:uid="{00000000-0005-0000-0000-0000456F0000}"/>
    <cellStyle name="40% - Accent3 5 2 2 3 5" xfId="12730" xr:uid="{00000000-0005-0000-0000-0000466F0000}"/>
    <cellStyle name="40% - Accent3 5 2 2 3 5 2" xfId="35332" xr:uid="{00000000-0005-0000-0000-0000476F0000}"/>
    <cellStyle name="40% - Accent3 5 2 2 3 6" xfId="24031" xr:uid="{00000000-0005-0000-0000-0000486F0000}"/>
    <cellStyle name="40% - Accent3 5 2 2 4" xfId="1932" xr:uid="{00000000-0005-0000-0000-0000496F0000}"/>
    <cellStyle name="40% - Accent3 5 2 2 4 2" xfId="3768" xr:uid="{00000000-0005-0000-0000-00004A6F0000}"/>
    <cellStyle name="40% - Accent3 5 2 2 4 2 2" xfId="9478" xr:uid="{00000000-0005-0000-0000-00004B6F0000}"/>
    <cellStyle name="40% - Accent3 5 2 2 4 2 2 2" xfId="20779" xr:uid="{00000000-0005-0000-0000-00004C6F0000}"/>
    <cellStyle name="40% - Accent3 5 2 2 4 2 2 2 2" xfId="43381" xr:uid="{00000000-0005-0000-0000-00004D6F0000}"/>
    <cellStyle name="40% - Accent3 5 2 2 4 2 2 3" xfId="32080" xr:uid="{00000000-0005-0000-0000-00004E6F0000}"/>
    <cellStyle name="40% - Accent3 5 2 2 4 2 3" xfId="15129" xr:uid="{00000000-0005-0000-0000-00004F6F0000}"/>
    <cellStyle name="40% - Accent3 5 2 2 4 2 3 2" xfId="37731" xr:uid="{00000000-0005-0000-0000-0000506F0000}"/>
    <cellStyle name="40% - Accent3 5 2 2 4 2 4" xfId="26430" xr:uid="{00000000-0005-0000-0000-0000516F0000}"/>
    <cellStyle name="40% - Accent3 5 2 2 4 3" xfId="5502" xr:uid="{00000000-0005-0000-0000-0000526F0000}"/>
    <cellStyle name="40% - Accent3 5 2 2 4 3 2" xfId="11152" xr:uid="{00000000-0005-0000-0000-0000536F0000}"/>
    <cellStyle name="40% - Accent3 5 2 2 4 3 2 2" xfId="22453" xr:uid="{00000000-0005-0000-0000-0000546F0000}"/>
    <cellStyle name="40% - Accent3 5 2 2 4 3 2 2 2" xfId="45055" xr:uid="{00000000-0005-0000-0000-0000556F0000}"/>
    <cellStyle name="40% - Accent3 5 2 2 4 3 2 3" xfId="33754" xr:uid="{00000000-0005-0000-0000-0000566F0000}"/>
    <cellStyle name="40% - Accent3 5 2 2 4 3 3" xfId="16803" xr:uid="{00000000-0005-0000-0000-0000576F0000}"/>
    <cellStyle name="40% - Accent3 5 2 2 4 3 3 2" xfId="39405" xr:uid="{00000000-0005-0000-0000-0000586F0000}"/>
    <cellStyle name="40% - Accent3 5 2 2 4 3 4" xfId="28104" xr:uid="{00000000-0005-0000-0000-0000596F0000}"/>
    <cellStyle name="40% - Accent3 5 2 2 4 4" xfId="7788" xr:uid="{00000000-0005-0000-0000-00005A6F0000}"/>
    <cellStyle name="40% - Accent3 5 2 2 4 4 2" xfId="19089" xr:uid="{00000000-0005-0000-0000-00005B6F0000}"/>
    <cellStyle name="40% - Accent3 5 2 2 4 4 2 2" xfId="41691" xr:uid="{00000000-0005-0000-0000-00005C6F0000}"/>
    <cellStyle name="40% - Accent3 5 2 2 4 4 3" xfId="30390" xr:uid="{00000000-0005-0000-0000-00005D6F0000}"/>
    <cellStyle name="40% - Accent3 5 2 2 4 5" xfId="13439" xr:uid="{00000000-0005-0000-0000-00005E6F0000}"/>
    <cellStyle name="40% - Accent3 5 2 2 4 5 2" xfId="36041" xr:uid="{00000000-0005-0000-0000-00005F6F0000}"/>
    <cellStyle name="40% - Accent3 5 2 2 4 6" xfId="24740" xr:uid="{00000000-0005-0000-0000-0000606F0000}"/>
    <cellStyle name="40% - Accent3 5 2 2 5" xfId="2483" xr:uid="{00000000-0005-0000-0000-0000616F0000}"/>
    <cellStyle name="40% - Accent3 5 2 2 5 2" xfId="8319" xr:uid="{00000000-0005-0000-0000-0000626F0000}"/>
    <cellStyle name="40% - Accent3 5 2 2 5 2 2" xfId="19620" xr:uid="{00000000-0005-0000-0000-0000636F0000}"/>
    <cellStyle name="40% - Accent3 5 2 2 5 2 2 2" xfId="42222" xr:uid="{00000000-0005-0000-0000-0000646F0000}"/>
    <cellStyle name="40% - Accent3 5 2 2 5 2 3" xfId="30921" xr:uid="{00000000-0005-0000-0000-0000656F0000}"/>
    <cellStyle name="40% - Accent3 5 2 2 5 3" xfId="13970" xr:uid="{00000000-0005-0000-0000-0000666F0000}"/>
    <cellStyle name="40% - Accent3 5 2 2 5 3 2" xfId="36572" xr:uid="{00000000-0005-0000-0000-0000676F0000}"/>
    <cellStyle name="40% - Accent3 5 2 2 5 4" xfId="25271" xr:uid="{00000000-0005-0000-0000-0000686F0000}"/>
    <cellStyle name="40% - Accent3 5 2 2 6" xfId="4268" xr:uid="{00000000-0005-0000-0000-0000696F0000}"/>
    <cellStyle name="40% - Accent3 5 2 2 6 2" xfId="9918" xr:uid="{00000000-0005-0000-0000-00006A6F0000}"/>
    <cellStyle name="40% - Accent3 5 2 2 6 2 2" xfId="21219" xr:uid="{00000000-0005-0000-0000-00006B6F0000}"/>
    <cellStyle name="40% - Accent3 5 2 2 6 2 2 2" xfId="43821" xr:uid="{00000000-0005-0000-0000-00006C6F0000}"/>
    <cellStyle name="40% - Accent3 5 2 2 6 2 3" xfId="32520" xr:uid="{00000000-0005-0000-0000-00006D6F0000}"/>
    <cellStyle name="40% - Accent3 5 2 2 6 3" xfId="15569" xr:uid="{00000000-0005-0000-0000-00006E6F0000}"/>
    <cellStyle name="40% - Accent3 5 2 2 6 3 2" xfId="38171" xr:uid="{00000000-0005-0000-0000-00006F6F0000}"/>
    <cellStyle name="40% - Accent3 5 2 2 6 4" xfId="26870" xr:uid="{00000000-0005-0000-0000-0000706F0000}"/>
    <cellStyle name="40% - Accent3 5 2 2 7" xfId="6748" xr:uid="{00000000-0005-0000-0000-0000716F0000}"/>
    <cellStyle name="40% - Accent3 5 2 2 7 2" xfId="18049" xr:uid="{00000000-0005-0000-0000-0000726F0000}"/>
    <cellStyle name="40% - Accent3 5 2 2 7 2 2" xfId="40651" xr:uid="{00000000-0005-0000-0000-0000736F0000}"/>
    <cellStyle name="40% - Accent3 5 2 2 7 3" xfId="29350" xr:uid="{00000000-0005-0000-0000-0000746F0000}"/>
    <cellStyle name="40% - Accent3 5 2 2 8" xfId="12399" xr:uid="{00000000-0005-0000-0000-0000756F0000}"/>
    <cellStyle name="40% - Accent3 5 2 2 8 2" xfId="35001" xr:uid="{00000000-0005-0000-0000-0000766F0000}"/>
    <cellStyle name="40% - Accent3 5 2 2 9" xfId="23700" xr:uid="{00000000-0005-0000-0000-0000776F0000}"/>
    <cellStyle name="40% - Accent3 5 2 3" xfId="1255" xr:uid="{00000000-0005-0000-0000-0000786F0000}"/>
    <cellStyle name="40% - Accent3 5 2 3 2" xfId="1934" xr:uid="{00000000-0005-0000-0000-0000796F0000}"/>
    <cellStyle name="40% - Accent3 5 2 3 2 2" xfId="3323" xr:uid="{00000000-0005-0000-0000-00007A6F0000}"/>
    <cellStyle name="40% - Accent3 5 2 3 2 2 2" xfId="6295" xr:uid="{00000000-0005-0000-0000-00007B6F0000}"/>
    <cellStyle name="40% - Accent3 5 2 3 2 2 2 2" xfId="11945" xr:uid="{00000000-0005-0000-0000-00007C6F0000}"/>
    <cellStyle name="40% - Accent3 5 2 3 2 2 2 2 2" xfId="23246" xr:uid="{00000000-0005-0000-0000-00007D6F0000}"/>
    <cellStyle name="40% - Accent3 5 2 3 2 2 2 2 2 2" xfId="45848" xr:uid="{00000000-0005-0000-0000-00007E6F0000}"/>
    <cellStyle name="40% - Accent3 5 2 3 2 2 2 2 3" xfId="34547" xr:uid="{00000000-0005-0000-0000-00007F6F0000}"/>
    <cellStyle name="40% - Accent3 5 2 3 2 2 2 3" xfId="17596" xr:uid="{00000000-0005-0000-0000-0000806F0000}"/>
    <cellStyle name="40% - Accent3 5 2 3 2 2 2 3 2" xfId="40198" xr:uid="{00000000-0005-0000-0000-0000816F0000}"/>
    <cellStyle name="40% - Accent3 5 2 3 2 2 2 4" xfId="28897" xr:uid="{00000000-0005-0000-0000-0000826F0000}"/>
    <cellStyle name="40% - Accent3 5 2 3 2 2 3" xfId="9113" xr:uid="{00000000-0005-0000-0000-0000836F0000}"/>
    <cellStyle name="40% - Accent3 5 2 3 2 2 3 2" xfId="20414" xr:uid="{00000000-0005-0000-0000-0000846F0000}"/>
    <cellStyle name="40% - Accent3 5 2 3 2 2 3 2 2" xfId="43016" xr:uid="{00000000-0005-0000-0000-0000856F0000}"/>
    <cellStyle name="40% - Accent3 5 2 3 2 2 3 3" xfId="31715" xr:uid="{00000000-0005-0000-0000-0000866F0000}"/>
    <cellStyle name="40% - Accent3 5 2 3 2 2 4" xfId="14764" xr:uid="{00000000-0005-0000-0000-0000876F0000}"/>
    <cellStyle name="40% - Accent3 5 2 3 2 2 4 2" xfId="37366" xr:uid="{00000000-0005-0000-0000-0000886F0000}"/>
    <cellStyle name="40% - Accent3 5 2 3 2 2 5" xfId="26065" xr:uid="{00000000-0005-0000-0000-0000896F0000}"/>
    <cellStyle name="40% - Accent3 5 2 3 2 3" xfId="5061" xr:uid="{00000000-0005-0000-0000-00008A6F0000}"/>
    <cellStyle name="40% - Accent3 5 2 3 2 3 2" xfId="10711" xr:uid="{00000000-0005-0000-0000-00008B6F0000}"/>
    <cellStyle name="40% - Accent3 5 2 3 2 3 2 2" xfId="22012" xr:uid="{00000000-0005-0000-0000-00008C6F0000}"/>
    <cellStyle name="40% - Accent3 5 2 3 2 3 2 2 2" xfId="44614" xr:uid="{00000000-0005-0000-0000-00008D6F0000}"/>
    <cellStyle name="40% - Accent3 5 2 3 2 3 2 3" xfId="33313" xr:uid="{00000000-0005-0000-0000-00008E6F0000}"/>
    <cellStyle name="40% - Accent3 5 2 3 2 3 3" xfId="16362" xr:uid="{00000000-0005-0000-0000-00008F6F0000}"/>
    <cellStyle name="40% - Accent3 5 2 3 2 3 3 2" xfId="38964" xr:uid="{00000000-0005-0000-0000-0000906F0000}"/>
    <cellStyle name="40% - Accent3 5 2 3 2 3 4" xfId="27663" xr:uid="{00000000-0005-0000-0000-0000916F0000}"/>
    <cellStyle name="40% - Accent3 5 2 3 2 4" xfId="7790" xr:uid="{00000000-0005-0000-0000-0000926F0000}"/>
    <cellStyle name="40% - Accent3 5 2 3 2 4 2" xfId="19091" xr:uid="{00000000-0005-0000-0000-0000936F0000}"/>
    <cellStyle name="40% - Accent3 5 2 3 2 4 2 2" xfId="41693" xr:uid="{00000000-0005-0000-0000-0000946F0000}"/>
    <cellStyle name="40% - Accent3 5 2 3 2 4 3" xfId="30392" xr:uid="{00000000-0005-0000-0000-0000956F0000}"/>
    <cellStyle name="40% - Accent3 5 2 3 2 5" xfId="13441" xr:uid="{00000000-0005-0000-0000-0000966F0000}"/>
    <cellStyle name="40% - Accent3 5 2 3 2 5 2" xfId="36043" xr:uid="{00000000-0005-0000-0000-0000976F0000}"/>
    <cellStyle name="40% - Accent3 5 2 3 2 6" xfId="24742" xr:uid="{00000000-0005-0000-0000-0000986F0000}"/>
    <cellStyle name="40% - Accent3 5 2 3 3" xfId="2652" xr:uid="{00000000-0005-0000-0000-0000996F0000}"/>
    <cellStyle name="40% - Accent3 5 2 3 3 2" xfId="5671" xr:uid="{00000000-0005-0000-0000-00009A6F0000}"/>
    <cellStyle name="40% - Accent3 5 2 3 3 2 2" xfId="11321" xr:uid="{00000000-0005-0000-0000-00009B6F0000}"/>
    <cellStyle name="40% - Accent3 5 2 3 3 2 2 2" xfId="22622" xr:uid="{00000000-0005-0000-0000-00009C6F0000}"/>
    <cellStyle name="40% - Accent3 5 2 3 3 2 2 2 2" xfId="45224" xr:uid="{00000000-0005-0000-0000-00009D6F0000}"/>
    <cellStyle name="40% - Accent3 5 2 3 3 2 2 3" xfId="33923" xr:uid="{00000000-0005-0000-0000-00009E6F0000}"/>
    <cellStyle name="40% - Accent3 5 2 3 3 2 3" xfId="16972" xr:uid="{00000000-0005-0000-0000-00009F6F0000}"/>
    <cellStyle name="40% - Accent3 5 2 3 3 2 3 2" xfId="39574" xr:uid="{00000000-0005-0000-0000-0000A06F0000}"/>
    <cellStyle name="40% - Accent3 5 2 3 3 2 4" xfId="28273" xr:uid="{00000000-0005-0000-0000-0000A16F0000}"/>
    <cellStyle name="40% - Accent3 5 2 3 3 3" xfId="8488" xr:uid="{00000000-0005-0000-0000-0000A26F0000}"/>
    <cellStyle name="40% - Accent3 5 2 3 3 3 2" xfId="19789" xr:uid="{00000000-0005-0000-0000-0000A36F0000}"/>
    <cellStyle name="40% - Accent3 5 2 3 3 3 2 2" xfId="42391" xr:uid="{00000000-0005-0000-0000-0000A46F0000}"/>
    <cellStyle name="40% - Accent3 5 2 3 3 3 3" xfId="31090" xr:uid="{00000000-0005-0000-0000-0000A56F0000}"/>
    <cellStyle name="40% - Accent3 5 2 3 3 4" xfId="14139" xr:uid="{00000000-0005-0000-0000-0000A66F0000}"/>
    <cellStyle name="40% - Accent3 5 2 3 3 4 2" xfId="36741" xr:uid="{00000000-0005-0000-0000-0000A76F0000}"/>
    <cellStyle name="40% - Accent3 5 2 3 3 5" xfId="25440" xr:uid="{00000000-0005-0000-0000-0000A86F0000}"/>
    <cellStyle name="40% - Accent3 5 2 3 4" xfId="4437" xr:uid="{00000000-0005-0000-0000-0000A96F0000}"/>
    <cellStyle name="40% - Accent3 5 2 3 4 2" xfId="10087" xr:uid="{00000000-0005-0000-0000-0000AA6F0000}"/>
    <cellStyle name="40% - Accent3 5 2 3 4 2 2" xfId="21388" xr:uid="{00000000-0005-0000-0000-0000AB6F0000}"/>
    <cellStyle name="40% - Accent3 5 2 3 4 2 2 2" xfId="43990" xr:uid="{00000000-0005-0000-0000-0000AC6F0000}"/>
    <cellStyle name="40% - Accent3 5 2 3 4 2 3" xfId="32689" xr:uid="{00000000-0005-0000-0000-0000AD6F0000}"/>
    <cellStyle name="40% - Accent3 5 2 3 4 3" xfId="15738" xr:uid="{00000000-0005-0000-0000-0000AE6F0000}"/>
    <cellStyle name="40% - Accent3 5 2 3 4 3 2" xfId="38340" xr:uid="{00000000-0005-0000-0000-0000AF6F0000}"/>
    <cellStyle name="40% - Accent3 5 2 3 4 4" xfId="27039" xr:uid="{00000000-0005-0000-0000-0000B06F0000}"/>
    <cellStyle name="40% - Accent3 5 2 3 5" xfId="7234" xr:uid="{00000000-0005-0000-0000-0000B16F0000}"/>
    <cellStyle name="40% - Accent3 5 2 3 5 2" xfId="18535" xr:uid="{00000000-0005-0000-0000-0000B26F0000}"/>
    <cellStyle name="40% - Accent3 5 2 3 5 2 2" xfId="41137" xr:uid="{00000000-0005-0000-0000-0000B36F0000}"/>
    <cellStyle name="40% - Accent3 5 2 3 5 3" xfId="29836" xr:uid="{00000000-0005-0000-0000-0000B46F0000}"/>
    <cellStyle name="40% - Accent3 5 2 3 6" xfId="12885" xr:uid="{00000000-0005-0000-0000-0000B56F0000}"/>
    <cellStyle name="40% - Accent3 5 2 3 6 2" xfId="35487" xr:uid="{00000000-0005-0000-0000-0000B66F0000}"/>
    <cellStyle name="40% - Accent3 5 2 3 7" xfId="24186" xr:uid="{00000000-0005-0000-0000-0000B76F0000}"/>
    <cellStyle name="40% - Accent3 5 2 4" xfId="946" xr:uid="{00000000-0005-0000-0000-0000B86F0000}"/>
    <cellStyle name="40% - Accent3 5 2 4 2" xfId="3016" xr:uid="{00000000-0005-0000-0000-0000B96F0000}"/>
    <cellStyle name="40% - Accent3 5 2 4 2 2" xfId="5988" xr:uid="{00000000-0005-0000-0000-0000BA6F0000}"/>
    <cellStyle name="40% - Accent3 5 2 4 2 2 2" xfId="11638" xr:uid="{00000000-0005-0000-0000-0000BB6F0000}"/>
    <cellStyle name="40% - Accent3 5 2 4 2 2 2 2" xfId="22939" xr:uid="{00000000-0005-0000-0000-0000BC6F0000}"/>
    <cellStyle name="40% - Accent3 5 2 4 2 2 2 2 2" xfId="45541" xr:uid="{00000000-0005-0000-0000-0000BD6F0000}"/>
    <cellStyle name="40% - Accent3 5 2 4 2 2 2 3" xfId="34240" xr:uid="{00000000-0005-0000-0000-0000BE6F0000}"/>
    <cellStyle name="40% - Accent3 5 2 4 2 2 3" xfId="17289" xr:uid="{00000000-0005-0000-0000-0000BF6F0000}"/>
    <cellStyle name="40% - Accent3 5 2 4 2 2 3 2" xfId="39891" xr:uid="{00000000-0005-0000-0000-0000C06F0000}"/>
    <cellStyle name="40% - Accent3 5 2 4 2 2 4" xfId="28590" xr:uid="{00000000-0005-0000-0000-0000C16F0000}"/>
    <cellStyle name="40% - Accent3 5 2 4 2 3" xfId="8806" xr:uid="{00000000-0005-0000-0000-0000C26F0000}"/>
    <cellStyle name="40% - Accent3 5 2 4 2 3 2" xfId="20107" xr:uid="{00000000-0005-0000-0000-0000C36F0000}"/>
    <cellStyle name="40% - Accent3 5 2 4 2 3 2 2" xfId="42709" xr:uid="{00000000-0005-0000-0000-0000C46F0000}"/>
    <cellStyle name="40% - Accent3 5 2 4 2 3 3" xfId="31408" xr:uid="{00000000-0005-0000-0000-0000C56F0000}"/>
    <cellStyle name="40% - Accent3 5 2 4 2 4" xfId="14457" xr:uid="{00000000-0005-0000-0000-0000C66F0000}"/>
    <cellStyle name="40% - Accent3 5 2 4 2 4 2" xfId="37059" xr:uid="{00000000-0005-0000-0000-0000C76F0000}"/>
    <cellStyle name="40% - Accent3 5 2 4 2 5" xfId="25758" xr:uid="{00000000-0005-0000-0000-0000C86F0000}"/>
    <cellStyle name="40% - Accent3 5 2 4 3" xfId="4754" xr:uid="{00000000-0005-0000-0000-0000C96F0000}"/>
    <cellStyle name="40% - Accent3 5 2 4 3 2" xfId="10404" xr:uid="{00000000-0005-0000-0000-0000CA6F0000}"/>
    <cellStyle name="40% - Accent3 5 2 4 3 2 2" xfId="21705" xr:uid="{00000000-0005-0000-0000-0000CB6F0000}"/>
    <cellStyle name="40% - Accent3 5 2 4 3 2 2 2" xfId="44307" xr:uid="{00000000-0005-0000-0000-0000CC6F0000}"/>
    <cellStyle name="40% - Accent3 5 2 4 3 2 3" xfId="33006" xr:uid="{00000000-0005-0000-0000-0000CD6F0000}"/>
    <cellStyle name="40% - Accent3 5 2 4 3 3" xfId="16055" xr:uid="{00000000-0005-0000-0000-0000CE6F0000}"/>
    <cellStyle name="40% - Accent3 5 2 4 3 3 2" xfId="38657" xr:uid="{00000000-0005-0000-0000-0000CF6F0000}"/>
    <cellStyle name="40% - Accent3 5 2 4 3 4" xfId="27356" xr:uid="{00000000-0005-0000-0000-0000D06F0000}"/>
    <cellStyle name="40% - Accent3 5 2 4 4" xfId="6941" xr:uid="{00000000-0005-0000-0000-0000D16F0000}"/>
    <cellStyle name="40% - Accent3 5 2 4 4 2" xfId="18242" xr:uid="{00000000-0005-0000-0000-0000D26F0000}"/>
    <cellStyle name="40% - Accent3 5 2 4 4 2 2" xfId="40844" xr:uid="{00000000-0005-0000-0000-0000D36F0000}"/>
    <cellStyle name="40% - Accent3 5 2 4 4 3" xfId="29543" xr:uid="{00000000-0005-0000-0000-0000D46F0000}"/>
    <cellStyle name="40% - Accent3 5 2 4 5" xfId="12592" xr:uid="{00000000-0005-0000-0000-0000D56F0000}"/>
    <cellStyle name="40% - Accent3 5 2 4 5 2" xfId="35194" xr:uid="{00000000-0005-0000-0000-0000D66F0000}"/>
    <cellStyle name="40% - Accent3 5 2 4 6" xfId="23893" xr:uid="{00000000-0005-0000-0000-0000D76F0000}"/>
    <cellStyle name="40% - Accent3 5 2 5" xfId="1931" xr:uid="{00000000-0005-0000-0000-0000D86F0000}"/>
    <cellStyle name="40% - Accent3 5 2 5 2" xfId="3767" xr:uid="{00000000-0005-0000-0000-0000D96F0000}"/>
    <cellStyle name="40% - Accent3 5 2 5 2 2" xfId="9477" xr:uid="{00000000-0005-0000-0000-0000DA6F0000}"/>
    <cellStyle name="40% - Accent3 5 2 5 2 2 2" xfId="20778" xr:uid="{00000000-0005-0000-0000-0000DB6F0000}"/>
    <cellStyle name="40% - Accent3 5 2 5 2 2 2 2" xfId="43380" xr:uid="{00000000-0005-0000-0000-0000DC6F0000}"/>
    <cellStyle name="40% - Accent3 5 2 5 2 2 3" xfId="32079" xr:uid="{00000000-0005-0000-0000-0000DD6F0000}"/>
    <cellStyle name="40% - Accent3 5 2 5 2 3" xfId="15128" xr:uid="{00000000-0005-0000-0000-0000DE6F0000}"/>
    <cellStyle name="40% - Accent3 5 2 5 2 3 2" xfId="37730" xr:uid="{00000000-0005-0000-0000-0000DF6F0000}"/>
    <cellStyle name="40% - Accent3 5 2 5 2 4" xfId="26429" xr:uid="{00000000-0005-0000-0000-0000E06F0000}"/>
    <cellStyle name="40% - Accent3 5 2 5 3" xfId="5364" xr:uid="{00000000-0005-0000-0000-0000E16F0000}"/>
    <cellStyle name="40% - Accent3 5 2 5 3 2" xfId="11014" xr:uid="{00000000-0005-0000-0000-0000E26F0000}"/>
    <cellStyle name="40% - Accent3 5 2 5 3 2 2" xfId="22315" xr:uid="{00000000-0005-0000-0000-0000E36F0000}"/>
    <cellStyle name="40% - Accent3 5 2 5 3 2 2 2" xfId="44917" xr:uid="{00000000-0005-0000-0000-0000E46F0000}"/>
    <cellStyle name="40% - Accent3 5 2 5 3 2 3" xfId="33616" xr:uid="{00000000-0005-0000-0000-0000E56F0000}"/>
    <cellStyle name="40% - Accent3 5 2 5 3 3" xfId="16665" xr:uid="{00000000-0005-0000-0000-0000E66F0000}"/>
    <cellStyle name="40% - Accent3 5 2 5 3 3 2" xfId="39267" xr:uid="{00000000-0005-0000-0000-0000E76F0000}"/>
    <cellStyle name="40% - Accent3 5 2 5 3 4" xfId="27966" xr:uid="{00000000-0005-0000-0000-0000E86F0000}"/>
    <cellStyle name="40% - Accent3 5 2 5 4" xfId="7787" xr:uid="{00000000-0005-0000-0000-0000E96F0000}"/>
    <cellStyle name="40% - Accent3 5 2 5 4 2" xfId="19088" xr:uid="{00000000-0005-0000-0000-0000EA6F0000}"/>
    <cellStyle name="40% - Accent3 5 2 5 4 2 2" xfId="41690" xr:uid="{00000000-0005-0000-0000-0000EB6F0000}"/>
    <cellStyle name="40% - Accent3 5 2 5 4 3" xfId="30389" xr:uid="{00000000-0005-0000-0000-0000EC6F0000}"/>
    <cellStyle name="40% - Accent3 5 2 5 5" xfId="13438" xr:uid="{00000000-0005-0000-0000-0000ED6F0000}"/>
    <cellStyle name="40% - Accent3 5 2 5 5 2" xfId="36040" xr:uid="{00000000-0005-0000-0000-0000EE6F0000}"/>
    <cellStyle name="40% - Accent3 5 2 5 6" xfId="24739" xr:uid="{00000000-0005-0000-0000-0000EF6F0000}"/>
    <cellStyle name="40% - Accent3 5 2 6" xfId="2343" xr:uid="{00000000-0005-0000-0000-0000F06F0000}"/>
    <cellStyle name="40% - Accent3 5 2 6 2" xfId="8179" xr:uid="{00000000-0005-0000-0000-0000F16F0000}"/>
    <cellStyle name="40% - Accent3 5 2 6 2 2" xfId="19480" xr:uid="{00000000-0005-0000-0000-0000F26F0000}"/>
    <cellStyle name="40% - Accent3 5 2 6 2 2 2" xfId="42082" xr:uid="{00000000-0005-0000-0000-0000F36F0000}"/>
    <cellStyle name="40% - Accent3 5 2 6 2 3" xfId="30781" xr:uid="{00000000-0005-0000-0000-0000F46F0000}"/>
    <cellStyle name="40% - Accent3 5 2 6 3" xfId="13830" xr:uid="{00000000-0005-0000-0000-0000F56F0000}"/>
    <cellStyle name="40% - Accent3 5 2 6 3 2" xfId="36432" xr:uid="{00000000-0005-0000-0000-0000F66F0000}"/>
    <cellStyle name="40% - Accent3 5 2 6 4" xfId="25131" xr:uid="{00000000-0005-0000-0000-0000F76F0000}"/>
    <cellStyle name="40% - Accent3 5 2 7" xfId="4130" xr:uid="{00000000-0005-0000-0000-0000F86F0000}"/>
    <cellStyle name="40% - Accent3 5 2 7 2" xfId="9780" xr:uid="{00000000-0005-0000-0000-0000F96F0000}"/>
    <cellStyle name="40% - Accent3 5 2 7 2 2" xfId="21081" xr:uid="{00000000-0005-0000-0000-0000FA6F0000}"/>
    <cellStyle name="40% - Accent3 5 2 7 2 2 2" xfId="43683" xr:uid="{00000000-0005-0000-0000-0000FB6F0000}"/>
    <cellStyle name="40% - Accent3 5 2 7 2 3" xfId="32382" xr:uid="{00000000-0005-0000-0000-0000FC6F0000}"/>
    <cellStyle name="40% - Accent3 5 2 7 3" xfId="15431" xr:uid="{00000000-0005-0000-0000-0000FD6F0000}"/>
    <cellStyle name="40% - Accent3 5 2 7 3 2" xfId="38033" xr:uid="{00000000-0005-0000-0000-0000FE6F0000}"/>
    <cellStyle name="40% - Accent3 5 2 7 4" xfId="26732" xr:uid="{00000000-0005-0000-0000-0000FF6F0000}"/>
    <cellStyle name="40% - Accent3 5 2 8" xfId="6581" xr:uid="{00000000-0005-0000-0000-000000700000}"/>
    <cellStyle name="40% - Accent3 5 2 8 2" xfId="17882" xr:uid="{00000000-0005-0000-0000-000001700000}"/>
    <cellStyle name="40% - Accent3 5 2 8 2 2" xfId="40484" xr:uid="{00000000-0005-0000-0000-000002700000}"/>
    <cellStyle name="40% - Accent3 5 2 8 3" xfId="29183" xr:uid="{00000000-0005-0000-0000-000003700000}"/>
    <cellStyle name="40% - Accent3 5 2 9" xfId="12232" xr:uid="{00000000-0005-0000-0000-000004700000}"/>
    <cellStyle name="40% - Accent3 5 2 9 2" xfId="34834" xr:uid="{00000000-0005-0000-0000-000005700000}"/>
    <cellStyle name="40% - Accent3 5 3" xfId="586" xr:uid="{00000000-0005-0000-0000-000006700000}"/>
    <cellStyle name="40% - Accent3 5 3 2" xfId="1299" xr:uid="{00000000-0005-0000-0000-000007700000}"/>
    <cellStyle name="40% - Accent3 5 3 2 2" xfId="1936" xr:uid="{00000000-0005-0000-0000-000008700000}"/>
    <cellStyle name="40% - Accent3 5 3 2 2 2" xfId="3368" xr:uid="{00000000-0005-0000-0000-000009700000}"/>
    <cellStyle name="40% - Accent3 5 3 2 2 2 2" xfId="6340" xr:uid="{00000000-0005-0000-0000-00000A700000}"/>
    <cellStyle name="40% - Accent3 5 3 2 2 2 2 2" xfId="11990" xr:uid="{00000000-0005-0000-0000-00000B700000}"/>
    <cellStyle name="40% - Accent3 5 3 2 2 2 2 2 2" xfId="23291" xr:uid="{00000000-0005-0000-0000-00000C700000}"/>
    <cellStyle name="40% - Accent3 5 3 2 2 2 2 2 2 2" xfId="45893" xr:uid="{00000000-0005-0000-0000-00000D700000}"/>
    <cellStyle name="40% - Accent3 5 3 2 2 2 2 2 3" xfId="34592" xr:uid="{00000000-0005-0000-0000-00000E700000}"/>
    <cellStyle name="40% - Accent3 5 3 2 2 2 2 3" xfId="17641" xr:uid="{00000000-0005-0000-0000-00000F700000}"/>
    <cellStyle name="40% - Accent3 5 3 2 2 2 2 3 2" xfId="40243" xr:uid="{00000000-0005-0000-0000-000010700000}"/>
    <cellStyle name="40% - Accent3 5 3 2 2 2 2 4" xfId="28942" xr:uid="{00000000-0005-0000-0000-000011700000}"/>
    <cellStyle name="40% - Accent3 5 3 2 2 2 3" xfId="9158" xr:uid="{00000000-0005-0000-0000-000012700000}"/>
    <cellStyle name="40% - Accent3 5 3 2 2 2 3 2" xfId="20459" xr:uid="{00000000-0005-0000-0000-000013700000}"/>
    <cellStyle name="40% - Accent3 5 3 2 2 2 3 2 2" xfId="43061" xr:uid="{00000000-0005-0000-0000-000014700000}"/>
    <cellStyle name="40% - Accent3 5 3 2 2 2 3 3" xfId="31760" xr:uid="{00000000-0005-0000-0000-000015700000}"/>
    <cellStyle name="40% - Accent3 5 3 2 2 2 4" xfId="14809" xr:uid="{00000000-0005-0000-0000-000016700000}"/>
    <cellStyle name="40% - Accent3 5 3 2 2 2 4 2" xfId="37411" xr:uid="{00000000-0005-0000-0000-000017700000}"/>
    <cellStyle name="40% - Accent3 5 3 2 2 2 5" xfId="26110" xr:uid="{00000000-0005-0000-0000-000018700000}"/>
    <cellStyle name="40% - Accent3 5 3 2 2 3" xfId="5106" xr:uid="{00000000-0005-0000-0000-000019700000}"/>
    <cellStyle name="40% - Accent3 5 3 2 2 3 2" xfId="10756" xr:uid="{00000000-0005-0000-0000-00001A700000}"/>
    <cellStyle name="40% - Accent3 5 3 2 2 3 2 2" xfId="22057" xr:uid="{00000000-0005-0000-0000-00001B700000}"/>
    <cellStyle name="40% - Accent3 5 3 2 2 3 2 2 2" xfId="44659" xr:uid="{00000000-0005-0000-0000-00001C700000}"/>
    <cellStyle name="40% - Accent3 5 3 2 2 3 2 3" xfId="33358" xr:uid="{00000000-0005-0000-0000-00001D700000}"/>
    <cellStyle name="40% - Accent3 5 3 2 2 3 3" xfId="16407" xr:uid="{00000000-0005-0000-0000-00001E700000}"/>
    <cellStyle name="40% - Accent3 5 3 2 2 3 3 2" xfId="39009" xr:uid="{00000000-0005-0000-0000-00001F700000}"/>
    <cellStyle name="40% - Accent3 5 3 2 2 3 4" xfId="27708" xr:uid="{00000000-0005-0000-0000-000020700000}"/>
    <cellStyle name="40% - Accent3 5 3 2 2 4" xfId="7792" xr:uid="{00000000-0005-0000-0000-000021700000}"/>
    <cellStyle name="40% - Accent3 5 3 2 2 4 2" xfId="19093" xr:uid="{00000000-0005-0000-0000-000022700000}"/>
    <cellStyle name="40% - Accent3 5 3 2 2 4 2 2" xfId="41695" xr:uid="{00000000-0005-0000-0000-000023700000}"/>
    <cellStyle name="40% - Accent3 5 3 2 2 4 3" xfId="30394" xr:uid="{00000000-0005-0000-0000-000024700000}"/>
    <cellStyle name="40% - Accent3 5 3 2 2 5" xfId="13443" xr:uid="{00000000-0005-0000-0000-000025700000}"/>
    <cellStyle name="40% - Accent3 5 3 2 2 5 2" xfId="36045" xr:uid="{00000000-0005-0000-0000-000026700000}"/>
    <cellStyle name="40% - Accent3 5 3 2 2 6" xfId="24744" xr:uid="{00000000-0005-0000-0000-000027700000}"/>
    <cellStyle name="40% - Accent3 5 3 2 3" xfId="2697" xr:uid="{00000000-0005-0000-0000-000028700000}"/>
    <cellStyle name="40% - Accent3 5 3 2 3 2" xfId="5716" xr:uid="{00000000-0005-0000-0000-000029700000}"/>
    <cellStyle name="40% - Accent3 5 3 2 3 2 2" xfId="11366" xr:uid="{00000000-0005-0000-0000-00002A700000}"/>
    <cellStyle name="40% - Accent3 5 3 2 3 2 2 2" xfId="22667" xr:uid="{00000000-0005-0000-0000-00002B700000}"/>
    <cellStyle name="40% - Accent3 5 3 2 3 2 2 2 2" xfId="45269" xr:uid="{00000000-0005-0000-0000-00002C700000}"/>
    <cellStyle name="40% - Accent3 5 3 2 3 2 2 3" xfId="33968" xr:uid="{00000000-0005-0000-0000-00002D700000}"/>
    <cellStyle name="40% - Accent3 5 3 2 3 2 3" xfId="17017" xr:uid="{00000000-0005-0000-0000-00002E700000}"/>
    <cellStyle name="40% - Accent3 5 3 2 3 2 3 2" xfId="39619" xr:uid="{00000000-0005-0000-0000-00002F700000}"/>
    <cellStyle name="40% - Accent3 5 3 2 3 2 4" xfId="28318" xr:uid="{00000000-0005-0000-0000-000030700000}"/>
    <cellStyle name="40% - Accent3 5 3 2 3 3" xfId="8533" xr:uid="{00000000-0005-0000-0000-000031700000}"/>
    <cellStyle name="40% - Accent3 5 3 2 3 3 2" xfId="19834" xr:uid="{00000000-0005-0000-0000-000032700000}"/>
    <cellStyle name="40% - Accent3 5 3 2 3 3 2 2" xfId="42436" xr:uid="{00000000-0005-0000-0000-000033700000}"/>
    <cellStyle name="40% - Accent3 5 3 2 3 3 3" xfId="31135" xr:uid="{00000000-0005-0000-0000-000034700000}"/>
    <cellStyle name="40% - Accent3 5 3 2 3 4" xfId="14184" xr:uid="{00000000-0005-0000-0000-000035700000}"/>
    <cellStyle name="40% - Accent3 5 3 2 3 4 2" xfId="36786" xr:uid="{00000000-0005-0000-0000-000036700000}"/>
    <cellStyle name="40% - Accent3 5 3 2 3 5" xfId="25485" xr:uid="{00000000-0005-0000-0000-000037700000}"/>
    <cellStyle name="40% - Accent3 5 3 2 4" xfId="4482" xr:uid="{00000000-0005-0000-0000-000038700000}"/>
    <cellStyle name="40% - Accent3 5 3 2 4 2" xfId="10132" xr:uid="{00000000-0005-0000-0000-000039700000}"/>
    <cellStyle name="40% - Accent3 5 3 2 4 2 2" xfId="21433" xr:uid="{00000000-0005-0000-0000-00003A700000}"/>
    <cellStyle name="40% - Accent3 5 3 2 4 2 2 2" xfId="44035" xr:uid="{00000000-0005-0000-0000-00003B700000}"/>
    <cellStyle name="40% - Accent3 5 3 2 4 2 3" xfId="32734" xr:uid="{00000000-0005-0000-0000-00003C700000}"/>
    <cellStyle name="40% - Accent3 5 3 2 4 3" xfId="15783" xr:uid="{00000000-0005-0000-0000-00003D700000}"/>
    <cellStyle name="40% - Accent3 5 3 2 4 3 2" xfId="38385" xr:uid="{00000000-0005-0000-0000-00003E700000}"/>
    <cellStyle name="40% - Accent3 5 3 2 4 4" xfId="27084" xr:uid="{00000000-0005-0000-0000-00003F700000}"/>
    <cellStyle name="40% - Accent3 5 3 2 5" xfId="7278" xr:uid="{00000000-0005-0000-0000-000040700000}"/>
    <cellStyle name="40% - Accent3 5 3 2 5 2" xfId="18579" xr:uid="{00000000-0005-0000-0000-000041700000}"/>
    <cellStyle name="40% - Accent3 5 3 2 5 2 2" xfId="41181" xr:uid="{00000000-0005-0000-0000-000042700000}"/>
    <cellStyle name="40% - Accent3 5 3 2 5 3" xfId="29880" xr:uid="{00000000-0005-0000-0000-000043700000}"/>
    <cellStyle name="40% - Accent3 5 3 2 6" xfId="12929" xr:uid="{00000000-0005-0000-0000-000044700000}"/>
    <cellStyle name="40% - Accent3 5 3 2 6 2" xfId="35531" xr:uid="{00000000-0005-0000-0000-000045700000}"/>
    <cellStyle name="40% - Accent3 5 3 2 7" xfId="24230" xr:uid="{00000000-0005-0000-0000-000046700000}"/>
    <cellStyle name="40% - Accent3 5 3 3" xfId="997" xr:uid="{00000000-0005-0000-0000-000047700000}"/>
    <cellStyle name="40% - Accent3 5 3 3 2" xfId="3060" xr:uid="{00000000-0005-0000-0000-000048700000}"/>
    <cellStyle name="40% - Accent3 5 3 3 2 2" xfId="6032" xr:uid="{00000000-0005-0000-0000-000049700000}"/>
    <cellStyle name="40% - Accent3 5 3 3 2 2 2" xfId="11682" xr:uid="{00000000-0005-0000-0000-00004A700000}"/>
    <cellStyle name="40% - Accent3 5 3 3 2 2 2 2" xfId="22983" xr:uid="{00000000-0005-0000-0000-00004B700000}"/>
    <cellStyle name="40% - Accent3 5 3 3 2 2 2 2 2" xfId="45585" xr:uid="{00000000-0005-0000-0000-00004C700000}"/>
    <cellStyle name="40% - Accent3 5 3 3 2 2 2 3" xfId="34284" xr:uid="{00000000-0005-0000-0000-00004D700000}"/>
    <cellStyle name="40% - Accent3 5 3 3 2 2 3" xfId="17333" xr:uid="{00000000-0005-0000-0000-00004E700000}"/>
    <cellStyle name="40% - Accent3 5 3 3 2 2 3 2" xfId="39935" xr:uid="{00000000-0005-0000-0000-00004F700000}"/>
    <cellStyle name="40% - Accent3 5 3 3 2 2 4" xfId="28634" xr:uid="{00000000-0005-0000-0000-000050700000}"/>
    <cellStyle name="40% - Accent3 5 3 3 2 3" xfId="8850" xr:uid="{00000000-0005-0000-0000-000051700000}"/>
    <cellStyle name="40% - Accent3 5 3 3 2 3 2" xfId="20151" xr:uid="{00000000-0005-0000-0000-000052700000}"/>
    <cellStyle name="40% - Accent3 5 3 3 2 3 2 2" xfId="42753" xr:uid="{00000000-0005-0000-0000-000053700000}"/>
    <cellStyle name="40% - Accent3 5 3 3 2 3 3" xfId="31452" xr:uid="{00000000-0005-0000-0000-000054700000}"/>
    <cellStyle name="40% - Accent3 5 3 3 2 4" xfId="14501" xr:uid="{00000000-0005-0000-0000-000055700000}"/>
    <cellStyle name="40% - Accent3 5 3 3 2 4 2" xfId="37103" xr:uid="{00000000-0005-0000-0000-000056700000}"/>
    <cellStyle name="40% - Accent3 5 3 3 2 5" xfId="25802" xr:uid="{00000000-0005-0000-0000-000057700000}"/>
    <cellStyle name="40% - Accent3 5 3 3 3" xfId="4798" xr:uid="{00000000-0005-0000-0000-000058700000}"/>
    <cellStyle name="40% - Accent3 5 3 3 3 2" xfId="10448" xr:uid="{00000000-0005-0000-0000-000059700000}"/>
    <cellStyle name="40% - Accent3 5 3 3 3 2 2" xfId="21749" xr:uid="{00000000-0005-0000-0000-00005A700000}"/>
    <cellStyle name="40% - Accent3 5 3 3 3 2 2 2" xfId="44351" xr:uid="{00000000-0005-0000-0000-00005B700000}"/>
    <cellStyle name="40% - Accent3 5 3 3 3 2 3" xfId="33050" xr:uid="{00000000-0005-0000-0000-00005C700000}"/>
    <cellStyle name="40% - Accent3 5 3 3 3 3" xfId="16099" xr:uid="{00000000-0005-0000-0000-00005D700000}"/>
    <cellStyle name="40% - Accent3 5 3 3 3 3 2" xfId="38701" xr:uid="{00000000-0005-0000-0000-00005E700000}"/>
    <cellStyle name="40% - Accent3 5 3 3 3 4" xfId="27400" xr:uid="{00000000-0005-0000-0000-00005F700000}"/>
    <cellStyle name="40% - Accent3 5 3 3 4" xfId="6985" xr:uid="{00000000-0005-0000-0000-000060700000}"/>
    <cellStyle name="40% - Accent3 5 3 3 4 2" xfId="18286" xr:uid="{00000000-0005-0000-0000-000061700000}"/>
    <cellStyle name="40% - Accent3 5 3 3 4 2 2" xfId="40888" xr:uid="{00000000-0005-0000-0000-000062700000}"/>
    <cellStyle name="40% - Accent3 5 3 3 4 3" xfId="29587" xr:uid="{00000000-0005-0000-0000-000063700000}"/>
    <cellStyle name="40% - Accent3 5 3 3 5" xfId="12636" xr:uid="{00000000-0005-0000-0000-000064700000}"/>
    <cellStyle name="40% - Accent3 5 3 3 5 2" xfId="35238" xr:uid="{00000000-0005-0000-0000-000065700000}"/>
    <cellStyle name="40% - Accent3 5 3 3 6" xfId="23937" xr:uid="{00000000-0005-0000-0000-000066700000}"/>
    <cellStyle name="40% - Accent3 5 3 4" xfId="1935" xr:uid="{00000000-0005-0000-0000-000067700000}"/>
    <cellStyle name="40% - Accent3 5 3 4 2" xfId="3769" xr:uid="{00000000-0005-0000-0000-000068700000}"/>
    <cellStyle name="40% - Accent3 5 3 4 2 2" xfId="9479" xr:uid="{00000000-0005-0000-0000-000069700000}"/>
    <cellStyle name="40% - Accent3 5 3 4 2 2 2" xfId="20780" xr:uid="{00000000-0005-0000-0000-00006A700000}"/>
    <cellStyle name="40% - Accent3 5 3 4 2 2 2 2" xfId="43382" xr:uid="{00000000-0005-0000-0000-00006B700000}"/>
    <cellStyle name="40% - Accent3 5 3 4 2 2 3" xfId="32081" xr:uid="{00000000-0005-0000-0000-00006C700000}"/>
    <cellStyle name="40% - Accent3 5 3 4 2 3" xfId="15130" xr:uid="{00000000-0005-0000-0000-00006D700000}"/>
    <cellStyle name="40% - Accent3 5 3 4 2 3 2" xfId="37732" xr:uid="{00000000-0005-0000-0000-00006E700000}"/>
    <cellStyle name="40% - Accent3 5 3 4 2 4" xfId="26431" xr:uid="{00000000-0005-0000-0000-00006F700000}"/>
    <cellStyle name="40% - Accent3 5 3 4 3" xfId="5408" xr:uid="{00000000-0005-0000-0000-000070700000}"/>
    <cellStyle name="40% - Accent3 5 3 4 3 2" xfId="11058" xr:uid="{00000000-0005-0000-0000-000071700000}"/>
    <cellStyle name="40% - Accent3 5 3 4 3 2 2" xfId="22359" xr:uid="{00000000-0005-0000-0000-000072700000}"/>
    <cellStyle name="40% - Accent3 5 3 4 3 2 2 2" xfId="44961" xr:uid="{00000000-0005-0000-0000-000073700000}"/>
    <cellStyle name="40% - Accent3 5 3 4 3 2 3" xfId="33660" xr:uid="{00000000-0005-0000-0000-000074700000}"/>
    <cellStyle name="40% - Accent3 5 3 4 3 3" xfId="16709" xr:uid="{00000000-0005-0000-0000-000075700000}"/>
    <cellStyle name="40% - Accent3 5 3 4 3 3 2" xfId="39311" xr:uid="{00000000-0005-0000-0000-000076700000}"/>
    <cellStyle name="40% - Accent3 5 3 4 3 4" xfId="28010" xr:uid="{00000000-0005-0000-0000-000077700000}"/>
    <cellStyle name="40% - Accent3 5 3 4 4" xfId="7791" xr:uid="{00000000-0005-0000-0000-000078700000}"/>
    <cellStyle name="40% - Accent3 5 3 4 4 2" xfId="19092" xr:uid="{00000000-0005-0000-0000-000079700000}"/>
    <cellStyle name="40% - Accent3 5 3 4 4 2 2" xfId="41694" xr:uid="{00000000-0005-0000-0000-00007A700000}"/>
    <cellStyle name="40% - Accent3 5 3 4 4 3" xfId="30393" xr:uid="{00000000-0005-0000-0000-00007B700000}"/>
    <cellStyle name="40% - Accent3 5 3 4 5" xfId="13442" xr:uid="{00000000-0005-0000-0000-00007C700000}"/>
    <cellStyle name="40% - Accent3 5 3 4 5 2" xfId="36044" xr:uid="{00000000-0005-0000-0000-00007D700000}"/>
    <cellStyle name="40% - Accent3 5 3 4 6" xfId="24743" xr:uid="{00000000-0005-0000-0000-00007E700000}"/>
    <cellStyle name="40% - Accent3 5 3 5" xfId="2389" xr:uid="{00000000-0005-0000-0000-00007F700000}"/>
    <cellStyle name="40% - Accent3 5 3 5 2" xfId="8225" xr:uid="{00000000-0005-0000-0000-000080700000}"/>
    <cellStyle name="40% - Accent3 5 3 5 2 2" xfId="19526" xr:uid="{00000000-0005-0000-0000-000081700000}"/>
    <cellStyle name="40% - Accent3 5 3 5 2 2 2" xfId="42128" xr:uid="{00000000-0005-0000-0000-000082700000}"/>
    <cellStyle name="40% - Accent3 5 3 5 2 3" xfId="30827" xr:uid="{00000000-0005-0000-0000-000083700000}"/>
    <cellStyle name="40% - Accent3 5 3 5 3" xfId="13876" xr:uid="{00000000-0005-0000-0000-000084700000}"/>
    <cellStyle name="40% - Accent3 5 3 5 3 2" xfId="36478" xr:uid="{00000000-0005-0000-0000-000085700000}"/>
    <cellStyle name="40% - Accent3 5 3 5 4" xfId="25177" xr:uid="{00000000-0005-0000-0000-000086700000}"/>
    <cellStyle name="40% - Accent3 5 3 6" xfId="4174" xr:uid="{00000000-0005-0000-0000-000087700000}"/>
    <cellStyle name="40% - Accent3 5 3 6 2" xfId="9824" xr:uid="{00000000-0005-0000-0000-000088700000}"/>
    <cellStyle name="40% - Accent3 5 3 6 2 2" xfId="21125" xr:uid="{00000000-0005-0000-0000-000089700000}"/>
    <cellStyle name="40% - Accent3 5 3 6 2 2 2" xfId="43727" xr:uid="{00000000-0005-0000-0000-00008A700000}"/>
    <cellStyle name="40% - Accent3 5 3 6 2 3" xfId="32426" xr:uid="{00000000-0005-0000-0000-00008B700000}"/>
    <cellStyle name="40% - Accent3 5 3 6 3" xfId="15475" xr:uid="{00000000-0005-0000-0000-00008C700000}"/>
    <cellStyle name="40% - Accent3 5 3 6 3 2" xfId="38077" xr:uid="{00000000-0005-0000-0000-00008D700000}"/>
    <cellStyle name="40% - Accent3 5 3 6 4" xfId="26776" xr:uid="{00000000-0005-0000-0000-00008E700000}"/>
    <cellStyle name="40% - Accent3 5 3 7" xfId="6652" xr:uid="{00000000-0005-0000-0000-00008F700000}"/>
    <cellStyle name="40% - Accent3 5 3 7 2" xfId="17953" xr:uid="{00000000-0005-0000-0000-000090700000}"/>
    <cellStyle name="40% - Accent3 5 3 7 2 2" xfId="40555" xr:uid="{00000000-0005-0000-0000-000091700000}"/>
    <cellStyle name="40% - Accent3 5 3 7 3" xfId="29254" xr:uid="{00000000-0005-0000-0000-000092700000}"/>
    <cellStyle name="40% - Accent3 5 3 8" xfId="12303" xr:uid="{00000000-0005-0000-0000-000093700000}"/>
    <cellStyle name="40% - Accent3 5 3 8 2" xfId="34905" xr:uid="{00000000-0005-0000-0000-000094700000}"/>
    <cellStyle name="40% - Accent3 5 3 9" xfId="23604" xr:uid="{00000000-0005-0000-0000-000095700000}"/>
    <cellStyle name="40% - Accent3 5 4" xfId="1159" xr:uid="{00000000-0005-0000-0000-000096700000}"/>
    <cellStyle name="40% - Accent3 5 4 2" xfId="1937" xr:uid="{00000000-0005-0000-0000-000097700000}"/>
    <cellStyle name="40% - Accent3 5 4 2 2" xfId="3227" xr:uid="{00000000-0005-0000-0000-000098700000}"/>
    <cellStyle name="40% - Accent3 5 4 2 2 2" xfId="6199" xr:uid="{00000000-0005-0000-0000-000099700000}"/>
    <cellStyle name="40% - Accent3 5 4 2 2 2 2" xfId="11849" xr:uid="{00000000-0005-0000-0000-00009A700000}"/>
    <cellStyle name="40% - Accent3 5 4 2 2 2 2 2" xfId="23150" xr:uid="{00000000-0005-0000-0000-00009B700000}"/>
    <cellStyle name="40% - Accent3 5 4 2 2 2 2 2 2" xfId="45752" xr:uid="{00000000-0005-0000-0000-00009C700000}"/>
    <cellStyle name="40% - Accent3 5 4 2 2 2 2 3" xfId="34451" xr:uid="{00000000-0005-0000-0000-00009D700000}"/>
    <cellStyle name="40% - Accent3 5 4 2 2 2 3" xfId="17500" xr:uid="{00000000-0005-0000-0000-00009E700000}"/>
    <cellStyle name="40% - Accent3 5 4 2 2 2 3 2" xfId="40102" xr:uid="{00000000-0005-0000-0000-00009F700000}"/>
    <cellStyle name="40% - Accent3 5 4 2 2 2 4" xfId="28801" xr:uid="{00000000-0005-0000-0000-0000A0700000}"/>
    <cellStyle name="40% - Accent3 5 4 2 2 3" xfId="9017" xr:uid="{00000000-0005-0000-0000-0000A1700000}"/>
    <cellStyle name="40% - Accent3 5 4 2 2 3 2" xfId="20318" xr:uid="{00000000-0005-0000-0000-0000A2700000}"/>
    <cellStyle name="40% - Accent3 5 4 2 2 3 2 2" xfId="42920" xr:uid="{00000000-0005-0000-0000-0000A3700000}"/>
    <cellStyle name="40% - Accent3 5 4 2 2 3 3" xfId="31619" xr:uid="{00000000-0005-0000-0000-0000A4700000}"/>
    <cellStyle name="40% - Accent3 5 4 2 2 4" xfId="14668" xr:uid="{00000000-0005-0000-0000-0000A5700000}"/>
    <cellStyle name="40% - Accent3 5 4 2 2 4 2" xfId="37270" xr:uid="{00000000-0005-0000-0000-0000A6700000}"/>
    <cellStyle name="40% - Accent3 5 4 2 2 5" xfId="25969" xr:uid="{00000000-0005-0000-0000-0000A7700000}"/>
    <cellStyle name="40% - Accent3 5 4 2 3" xfId="4965" xr:uid="{00000000-0005-0000-0000-0000A8700000}"/>
    <cellStyle name="40% - Accent3 5 4 2 3 2" xfId="10615" xr:uid="{00000000-0005-0000-0000-0000A9700000}"/>
    <cellStyle name="40% - Accent3 5 4 2 3 2 2" xfId="21916" xr:uid="{00000000-0005-0000-0000-0000AA700000}"/>
    <cellStyle name="40% - Accent3 5 4 2 3 2 2 2" xfId="44518" xr:uid="{00000000-0005-0000-0000-0000AB700000}"/>
    <cellStyle name="40% - Accent3 5 4 2 3 2 3" xfId="33217" xr:uid="{00000000-0005-0000-0000-0000AC700000}"/>
    <cellStyle name="40% - Accent3 5 4 2 3 3" xfId="16266" xr:uid="{00000000-0005-0000-0000-0000AD700000}"/>
    <cellStyle name="40% - Accent3 5 4 2 3 3 2" xfId="38868" xr:uid="{00000000-0005-0000-0000-0000AE700000}"/>
    <cellStyle name="40% - Accent3 5 4 2 3 4" xfId="27567" xr:uid="{00000000-0005-0000-0000-0000AF700000}"/>
    <cellStyle name="40% - Accent3 5 4 2 4" xfId="7793" xr:uid="{00000000-0005-0000-0000-0000B0700000}"/>
    <cellStyle name="40% - Accent3 5 4 2 4 2" xfId="19094" xr:uid="{00000000-0005-0000-0000-0000B1700000}"/>
    <cellStyle name="40% - Accent3 5 4 2 4 2 2" xfId="41696" xr:uid="{00000000-0005-0000-0000-0000B2700000}"/>
    <cellStyle name="40% - Accent3 5 4 2 4 3" xfId="30395" xr:uid="{00000000-0005-0000-0000-0000B3700000}"/>
    <cellStyle name="40% - Accent3 5 4 2 5" xfId="13444" xr:uid="{00000000-0005-0000-0000-0000B4700000}"/>
    <cellStyle name="40% - Accent3 5 4 2 5 2" xfId="36046" xr:uid="{00000000-0005-0000-0000-0000B5700000}"/>
    <cellStyle name="40% - Accent3 5 4 2 6" xfId="24745" xr:uid="{00000000-0005-0000-0000-0000B6700000}"/>
    <cellStyle name="40% - Accent3 5 4 3" xfId="2556" xr:uid="{00000000-0005-0000-0000-0000B7700000}"/>
    <cellStyle name="40% - Accent3 5 4 3 2" xfId="5575" xr:uid="{00000000-0005-0000-0000-0000B8700000}"/>
    <cellStyle name="40% - Accent3 5 4 3 2 2" xfId="11225" xr:uid="{00000000-0005-0000-0000-0000B9700000}"/>
    <cellStyle name="40% - Accent3 5 4 3 2 2 2" xfId="22526" xr:uid="{00000000-0005-0000-0000-0000BA700000}"/>
    <cellStyle name="40% - Accent3 5 4 3 2 2 2 2" xfId="45128" xr:uid="{00000000-0005-0000-0000-0000BB700000}"/>
    <cellStyle name="40% - Accent3 5 4 3 2 2 3" xfId="33827" xr:uid="{00000000-0005-0000-0000-0000BC700000}"/>
    <cellStyle name="40% - Accent3 5 4 3 2 3" xfId="16876" xr:uid="{00000000-0005-0000-0000-0000BD700000}"/>
    <cellStyle name="40% - Accent3 5 4 3 2 3 2" xfId="39478" xr:uid="{00000000-0005-0000-0000-0000BE700000}"/>
    <cellStyle name="40% - Accent3 5 4 3 2 4" xfId="28177" xr:uid="{00000000-0005-0000-0000-0000BF700000}"/>
    <cellStyle name="40% - Accent3 5 4 3 3" xfId="8392" xr:uid="{00000000-0005-0000-0000-0000C0700000}"/>
    <cellStyle name="40% - Accent3 5 4 3 3 2" xfId="19693" xr:uid="{00000000-0005-0000-0000-0000C1700000}"/>
    <cellStyle name="40% - Accent3 5 4 3 3 2 2" xfId="42295" xr:uid="{00000000-0005-0000-0000-0000C2700000}"/>
    <cellStyle name="40% - Accent3 5 4 3 3 3" xfId="30994" xr:uid="{00000000-0005-0000-0000-0000C3700000}"/>
    <cellStyle name="40% - Accent3 5 4 3 4" xfId="14043" xr:uid="{00000000-0005-0000-0000-0000C4700000}"/>
    <cellStyle name="40% - Accent3 5 4 3 4 2" xfId="36645" xr:uid="{00000000-0005-0000-0000-0000C5700000}"/>
    <cellStyle name="40% - Accent3 5 4 3 5" xfId="25344" xr:uid="{00000000-0005-0000-0000-0000C6700000}"/>
    <cellStyle name="40% - Accent3 5 4 4" xfId="4341" xr:uid="{00000000-0005-0000-0000-0000C7700000}"/>
    <cellStyle name="40% - Accent3 5 4 4 2" xfId="9991" xr:uid="{00000000-0005-0000-0000-0000C8700000}"/>
    <cellStyle name="40% - Accent3 5 4 4 2 2" xfId="21292" xr:uid="{00000000-0005-0000-0000-0000C9700000}"/>
    <cellStyle name="40% - Accent3 5 4 4 2 2 2" xfId="43894" xr:uid="{00000000-0005-0000-0000-0000CA700000}"/>
    <cellStyle name="40% - Accent3 5 4 4 2 3" xfId="32593" xr:uid="{00000000-0005-0000-0000-0000CB700000}"/>
    <cellStyle name="40% - Accent3 5 4 4 3" xfId="15642" xr:uid="{00000000-0005-0000-0000-0000CC700000}"/>
    <cellStyle name="40% - Accent3 5 4 4 3 2" xfId="38244" xr:uid="{00000000-0005-0000-0000-0000CD700000}"/>
    <cellStyle name="40% - Accent3 5 4 4 4" xfId="26943" xr:uid="{00000000-0005-0000-0000-0000CE700000}"/>
    <cellStyle name="40% - Accent3 5 4 5" xfId="7138" xr:uid="{00000000-0005-0000-0000-0000CF700000}"/>
    <cellStyle name="40% - Accent3 5 4 5 2" xfId="18439" xr:uid="{00000000-0005-0000-0000-0000D0700000}"/>
    <cellStyle name="40% - Accent3 5 4 5 2 2" xfId="41041" xr:uid="{00000000-0005-0000-0000-0000D1700000}"/>
    <cellStyle name="40% - Accent3 5 4 5 3" xfId="29740" xr:uid="{00000000-0005-0000-0000-0000D2700000}"/>
    <cellStyle name="40% - Accent3 5 4 6" xfId="12789" xr:uid="{00000000-0005-0000-0000-0000D3700000}"/>
    <cellStyle name="40% - Accent3 5 4 6 2" xfId="35391" xr:uid="{00000000-0005-0000-0000-0000D4700000}"/>
    <cellStyle name="40% - Accent3 5 4 7" xfId="24090" xr:uid="{00000000-0005-0000-0000-0000D5700000}"/>
    <cellStyle name="40% - Accent3 5 5" xfId="839" xr:uid="{00000000-0005-0000-0000-0000D6700000}"/>
    <cellStyle name="40% - Accent3 5 5 2" xfId="2920" xr:uid="{00000000-0005-0000-0000-0000D7700000}"/>
    <cellStyle name="40% - Accent3 5 5 2 2" xfId="5892" xr:uid="{00000000-0005-0000-0000-0000D8700000}"/>
    <cellStyle name="40% - Accent3 5 5 2 2 2" xfId="11542" xr:uid="{00000000-0005-0000-0000-0000D9700000}"/>
    <cellStyle name="40% - Accent3 5 5 2 2 2 2" xfId="22843" xr:uid="{00000000-0005-0000-0000-0000DA700000}"/>
    <cellStyle name="40% - Accent3 5 5 2 2 2 2 2" xfId="45445" xr:uid="{00000000-0005-0000-0000-0000DB700000}"/>
    <cellStyle name="40% - Accent3 5 5 2 2 2 3" xfId="34144" xr:uid="{00000000-0005-0000-0000-0000DC700000}"/>
    <cellStyle name="40% - Accent3 5 5 2 2 3" xfId="17193" xr:uid="{00000000-0005-0000-0000-0000DD700000}"/>
    <cellStyle name="40% - Accent3 5 5 2 2 3 2" xfId="39795" xr:uid="{00000000-0005-0000-0000-0000DE700000}"/>
    <cellStyle name="40% - Accent3 5 5 2 2 4" xfId="28494" xr:uid="{00000000-0005-0000-0000-0000DF700000}"/>
    <cellStyle name="40% - Accent3 5 5 2 3" xfId="8710" xr:uid="{00000000-0005-0000-0000-0000E0700000}"/>
    <cellStyle name="40% - Accent3 5 5 2 3 2" xfId="20011" xr:uid="{00000000-0005-0000-0000-0000E1700000}"/>
    <cellStyle name="40% - Accent3 5 5 2 3 2 2" xfId="42613" xr:uid="{00000000-0005-0000-0000-0000E2700000}"/>
    <cellStyle name="40% - Accent3 5 5 2 3 3" xfId="31312" xr:uid="{00000000-0005-0000-0000-0000E3700000}"/>
    <cellStyle name="40% - Accent3 5 5 2 4" xfId="14361" xr:uid="{00000000-0005-0000-0000-0000E4700000}"/>
    <cellStyle name="40% - Accent3 5 5 2 4 2" xfId="36963" xr:uid="{00000000-0005-0000-0000-0000E5700000}"/>
    <cellStyle name="40% - Accent3 5 5 2 5" xfId="25662" xr:uid="{00000000-0005-0000-0000-0000E6700000}"/>
    <cellStyle name="40% - Accent3 5 5 3" xfId="4658" xr:uid="{00000000-0005-0000-0000-0000E7700000}"/>
    <cellStyle name="40% - Accent3 5 5 3 2" xfId="10308" xr:uid="{00000000-0005-0000-0000-0000E8700000}"/>
    <cellStyle name="40% - Accent3 5 5 3 2 2" xfId="21609" xr:uid="{00000000-0005-0000-0000-0000E9700000}"/>
    <cellStyle name="40% - Accent3 5 5 3 2 2 2" xfId="44211" xr:uid="{00000000-0005-0000-0000-0000EA700000}"/>
    <cellStyle name="40% - Accent3 5 5 3 2 3" xfId="32910" xr:uid="{00000000-0005-0000-0000-0000EB700000}"/>
    <cellStyle name="40% - Accent3 5 5 3 3" xfId="15959" xr:uid="{00000000-0005-0000-0000-0000EC700000}"/>
    <cellStyle name="40% - Accent3 5 5 3 3 2" xfId="38561" xr:uid="{00000000-0005-0000-0000-0000ED700000}"/>
    <cellStyle name="40% - Accent3 5 5 3 4" xfId="27260" xr:uid="{00000000-0005-0000-0000-0000EE700000}"/>
    <cellStyle name="40% - Accent3 5 5 4" xfId="6844" xr:uid="{00000000-0005-0000-0000-0000EF700000}"/>
    <cellStyle name="40% - Accent3 5 5 4 2" xfId="18145" xr:uid="{00000000-0005-0000-0000-0000F0700000}"/>
    <cellStyle name="40% - Accent3 5 5 4 2 2" xfId="40747" xr:uid="{00000000-0005-0000-0000-0000F1700000}"/>
    <cellStyle name="40% - Accent3 5 5 4 3" xfId="29446" xr:uid="{00000000-0005-0000-0000-0000F2700000}"/>
    <cellStyle name="40% - Accent3 5 5 5" xfId="12495" xr:uid="{00000000-0005-0000-0000-0000F3700000}"/>
    <cellStyle name="40% - Accent3 5 5 5 2" xfId="35097" xr:uid="{00000000-0005-0000-0000-0000F4700000}"/>
    <cellStyle name="40% - Accent3 5 5 6" xfId="23796" xr:uid="{00000000-0005-0000-0000-0000F5700000}"/>
    <cellStyle name="40% - Accent3 5 6" xfId="1930" xr:uid="{00000000-0005-0000-0000-0000F6700000}"/>
    <cellStyle name="40% - Accent3 5 6 2" xfId="3766" xr:uid="{00000000-0005-0000-0000-0000F7700000}"/>
    <cellStyle name="40% - Accent3 5 6 2 2" xfId="9476" xr:uid="{00000000-0005-0000-0000-0000F8700000}"/>
    <cellStyle name="40% - Accent3 5 6 2 2 2" xfId="20777" xr:uid="{00000000-0005-0000-0000-0000F9700000}"/>
    <cellStyle name="40% - Accent3 5 6 2 2 2 2" xfId="43379" xr:uid="{00000000-0005-0000-0000-0000FA700000}"/>
    <cellStyle name="40% - Accent3 5 6 2 2 3" xfId="32078" xr:uid="{00000000-0005-0000-0000-0000FB700000}"/>
    <cellStyle name="40% - Accent3 5 6 2 3" xfId="15127" xr:uid="{00000000-0005-0000-0000-0000FC700000}"/>
    <cellStyle name="40% - Accent3 5 6 2 3 2" xfId="37729" xr:uid="{00000000-0005-0000-0000-0000FD700000}"/>
    <cellStyle name="40% - Accent3 5 6 2 4" xfId="26428" xr:uid="{00000000-0005-0000-0000-0000FE700000}"/>
    <cellStyle name="40% - Accent3 5 6 3" xfId="5268" xr:uid="{00000000-0005-0000-0000-0000FF700000}"/>
    <cellStyle name="40% - Accent3 5 6 3 2" xfId="10918" xr:uid="{00000000-0005-0000-0000-000000710000}"/>
    <cellStyle name="40% - Accent3 5 6 3 2 2" xfId="22219" xr:uid="{00000000-0005-0000-0000-000001710000}"/>
    <cellStyle name="40% - Accent3 5 6 3 2 2 2" xfId="44821" xr:uid="{00000000-0005-0000-0000-000002710000}"/>
    <cellStyle name="40% - Accent3 5 6 3 2 3" xfId="33520" xr:uid="{00000000-0005-0000-0000-000003710000}"/>
    <cellStyle name="40% - Accent3 5 6 3 3" xfId="16569" xr:uid="{00000000-0005-0000-0000-000004710000}"/>
    <cellStyle name="40% - Accent3 5 6 3 3 2" xfId="39171" xr:uid="{00000000-0005-0000-0000-000005710000}"/>
    <cellStyle name="40% - Accent3 5 6 3 4" xfId="27870" xr:uid="{00000000-0005-0000-0000-000006710000}"/>
    <cellStyle name="40% - Accent3 5 6 4" xfId="7786" xr:uid="{00000000-0005-0000-0000-000007710000}"/>
    <cellStyle name="40% - Accent3 5 6 4 2" xfId="19087" xr:uid="{00000000-0005-0000-0000-000008710000}"/>
    <cellStyle name="40% - Accent3 5 6 4 2 2" xfId="41689" xr:uid="{00000000-0005-0000-0000-000009710000}"/>
    <cellStyle name="40% - Accent3 5 6 4 3" xfId="30388" xr:uid="{00000000-0005-0000-0000-00000A710000}"/>
    <cellStyle name="40% - Accent3 5 6 5" xfId="13437" xr:uid="{00000000-0005-0000-0000-00000B710000}"/>
    <cellStyle name="40% - Accent3 5 6 5 2" xfId="36039" xr:uid="{00000000-0005-0000-0000-00000C710000}"/>
    <cellStyle name="40% - Accent3 5 6 6" xfId="24738" xr:uid="{00000000-0005-0000-0000-00000D710000}"/>
    <cellStyle name="40% - Accent3 5 7" xfId="2241" xr:uid="{00000000-0005-0000-0000-00000E710000}"/>
    <cellStyle name="40% - Accent3 5 7 2" xfId="8082" xr:uid="{00000000-0005-0000-0000-00000F710000}"/>
    <cellStyle name="40% - Accent3 5 7 2 2" xfId="19383" xr:uid="{00000000-0005-0000-0000-000010710000}"/>
    <cellStyle name="40% - Accent3 5 7 2 2 2" xfId="41985" xr:uid="{00000000-0005-0000-0000-000011710000}"/>
    <cellStyle name="40% - Accent3 5 7 2 3" xfId="30684" xr:uid="{00000000-0005-0000-0000-000012710000}"/>
    <cellStyle name="40% - Accent3 5 7 3" xfId="13733" xr:uid="{00000000-0005-0000-0000-000013710000}"/>
    <cellStyle name="40% - Accent3 5 7 3 2" xfId="36335" xr:uid="{00000000-0005-0000-0000-000014710000}"/>
    <cellStyle name="40% - Accent3 5 7 4" xfId="25034" xr:uid="{00000000-0005-0000-0000-000015710000}"/>
    <cellStyle name="40% - Accent3 5 8" xfId="4034" xr:uid="{00000000-0005-0000-0000-000016710000}"/>
    <cellStyle name="40% - Accent3 5 8 2" xfId="9684" xr:uid="{00000000-0005-0000-0000-000017710000}"/>
    <cellStyle name="40% - Accent3 5 8 2 2" xfId="20985" xr:uid="{00000000-0005-0000-0000-000018710000}"/>
    <cellStyle name="40% - Accent3 5 8 2 2 2" xfId="43587" xr:uid="{00000000-0005-0000-0000-000019710000}"/>
    <cellStyle name="40% - Accent3 5 8 2 3" xfId="32286" xr:uid="{00000000-0005-0000-0000-00001A710000}"/>
    <cellStyle name="40% - Accent3 5 8 3" xfId="15335" xr:uid="{00000000-0005-0000-0000-00001B710000}"/>
    <cellStyle name="40% - Accent3 5 8 3 2" xfId="37937" xr:uid="{00000000-0005-0000-0000-00001C710000}"/>
    <cellStyle name="40% - Accent3 5 8 4" xfId="26636" xr:uid="{00000000-0005-0000-0000-00001D710000}"/>
    <cellStyle name="40% - Accent3 5 9" xfId="6485" xr:uid="{00000000-0005-0000-0000-00001E710000}"/>
    <cellStyle name="40% - Accent3 5 9 2" xfId="17786" xr:uid="{00000000-0005-0000-0000-00001F710000}"/>
    <cellStyle name="40% - Accent3 5 9 2 2" xfId="40388" xr:uid="{00000000-0005-0000-0000-000020710000}"/>
    <cellStyle name="40% - Accent3 5 9 3" xfId="29087" xr:uid="{00000000-0005-0000-0000-000021710000}"/>
    <cellStyle name="40% - Accent3 6" xfId="296" xr:uid="{00000000-0005-0000-0000-000022710000}"/>
    <cellStyle name="40% - Accent3 7" xfId="396" xr:uid="{00000000-0005-0000-0000-000023710000}"/>
    <cellStyle name="40% - Accent3 7 10" xfId="23491" xr:uid="{00000000-0005-0000-0000-000024710000}"/>
    <cellStyle name="40% - Accent3 7 2" xfId="641" xr:uid="{00000000-0005-0000-0000-000025710000}"/>
    <cellStyle name="40% - Accent3 7 2 2" xfId="1351" xr:uid="{00000000-0005-0000-0000-000026710000}"/>
    <cellStyle name="40% - Accent3 7 2 2 2" xfId="1940" xr:uid="{00000000-0005-0000-0000-000027710000}"/>
    <cellStyle name="40% - Accent3 7 2 2 2 2" xfId="3420" xr:uid="{00000000-0005-0000-0000-000028710000}"/>
    <cellStyle name="40% - Accent3 7 2 2 2 2 2" xfId="6392" xr:uid="{00000000-0005-0000-0000-000029710000}"/>
    <cellStyle name="40% - Accent3 7 2 2 2 2 2 2" xfId="12042" xr:uid="{00000000-0005-0000-0000-00002A710000}"/>
    <cellStyle name="40% - Accent3 7 2 2 2 2 2 2 2" xfId="23343" xr:uid="{00000000-0005-0000-0000-00002B710000}"/>
    <cellStyle name="40% - Accent3 7 2 2 2 2 2 2 2 2" xfId="45945" xr:uid="{00000000-0005-0000-0000-00002C710000}"/>
    <cellStyle name="40% - Accent3 7 2 2 2 2 2 2 3" xfId="34644" xr:uid="{00000000-0005-0000-0000-00002D710000}"/>
    <cellStyle name="40% - Accent3 7 2 2 2 2 2 3" xfId="17693" xr:uid="{00000000-0005-0000-0000-00002E710000}"/>
    <cellStyle name="40% - Accent3 7 2 2 2 2 2 3 2" xfId="40295" xr:uid="{00000000-0005-0000-0000-00002F710000}"/>
    <cellStyle name="40% - Accent3 7 2 2 2 2 2 4" xfId="28994" xr:uid="{00000000-0005-0000-0000-000030710000}"/>
    <cellStyle name="40% - Accent3 7 2 2 2 2 3" xfId="9210" xr:uid="{00000000-0005-0000-0000-000031710000}"/>
    <cellStyle name="40% - Accent3 7 2 2 2 2 3 2" xfId="20511" xr:uid="{00000000-0005-0000-0000-000032710000}"/>
    <cellStyle name="40% - Accent3 7 2 2 2 2 3 2 2" xfId="43113" xr:uid="{00000000-0005-0000-0000-000033710000}"/>
    <cellStyle name="40% - Accent3 7 2 2 2 2 3 3" xfId="31812" xr:uid="{00000000-0005-0000-0000-000034710000}"/>
    <cellStyle name="40% - Accent3 7 2 2 2 2 4" xfId="14861" xr:uid="{00000000-0005-0000-0000-000035710000}"/>
    <cellStyle name="40% - Accent3 7 2 2 2 2 4 2" xfId="37463" xr:uid="{00000000-0005-0000-0000-000036710000}"/>
    <cellStyle name="40% - Accent3 7 2 2 2 2 5" xfId="26162" xr:uid="{00000000-0005-0000-0000-000037710000}"/>
    <cellStyle name="40% - Accent3 7 2 2 2 3" xfId="5158" xr:uid="{00000000-0005-0000-0000-000038710000}"/>
    <cellStyle name="40% - Accent3 7 2 2 2 3 2" xfId="10808" xr:uid="{00000000-0005-0000-0000-000039710000}"/>
    <cellStyle name="40% - Accent3 7 2 2 2 3 2 2" xfId="22109" xr:uid="{00000000-0005-0000-0000-00003A710000}"/>
    <cellStyle name="40% - Accent3 7 2 2 2 3 2 2 2" xfId="44711" xr:uid="{00000000-0005-0000-0000-00003B710000}"/>
    <cellStyle name="40% - Accent3 7 2 2 2 3 2 3" xfId="33410" xr:uid="{00000000-0005-0000-0000-00003C710000}"/>
    <cellStyle name="40% - Accent3 7 2 2 2 3 3" xfId="16459" xr:uid="{00000000-0005-0000-0000-00003D710000}"/>
    <cellStyle name="40% - Accent3 7 2 2 2 3 3 2" xfId="39061" xr:uid="{00000000-0005-0000-0000-00003E710000}"/>
    <cellStyle name="40% - Accent3 7 2 2 2 3 4" xfId="27760" xr:uid="{00000000-0005-0000-0000-00003F710000}"/>
    <cellStyle name="40% - Accent3 7 2 2 2 4" xfId="7796" xr:uid="{00000000-0005-0000-0000-000040710000}"/>
    <cellStyle name="40% - Accent3 7 2 2 2 4 2" xfId="19097" xr:uid="{00000000-0005-0000-0000-000041710000}"/>
    <cellStyle name="40% - Accent3 7 2 2 2 4 2 2" xfId="41699" xr:uid="{00000000-0005-0000-0000-000042710000}"/>
    <cellStyle name="40% - Accent3 7 2 2 2 4 3" xfId="30398" xr:uid="{00000000-0005-0000-0000-000043710000}"/>
    <cellStyle name="40% - Accent3 7 2 2 2 5" xfId="13447" xr:uid="{00000000-0005-0000-0000-000044710000}"/>
    <cellStyle name="40% - Accent3 7 2 2 2 5 2" xfId="36049" xr:uid="{00000000-0005-0000-0000-000045710000}"/>
    <cellStyle name="40% - Accent3 7 2 2 2 6" xfId="24748" xr:uid="{00000000-0005-0000-0000-000046710000}"/>
    <cellStyle name="40% - Accent3 7 2 2 3" xfId="2749" xr:uid="{00000000-0005-0000-0000-000047710000}"/>
    <cellStyle name="40% - Accent3 7 2 2 3 2" xfId="5768" xr:uid="{00000000-0005-0000-0000-000048710000}"/>
    <cellStyle name="40% - Accent3 7 2 2 3 2 2" xfId="11418" xr:uid="{00000000-0005-0000-0000-000049710000}"/>
    <cellStyle name="40% - Accent3 7 2 2 3 2 2 2" xfId="22719" xr:uid="{00000000-0005-0000-0000-00004A710000}"/>
    <cellStyle name="40% - Accent3 7 2 2 3 2 2 2 2" xfId="45321" xr:uid="{00000000-0005-0000-0000-00004B710000}"/>
    <cellStyle name="40% - Accent3 7 2 2 3 2 2 3" xfId="34020" xr:uid="{00000000-0005-0000-0000-00004C710000}"/>
    <cellStyle name="40% - Accent3 7 2 2 3 2 3" xfId="17069" xr:uid="{00000000-0005-0000-0000-00004D710000}"/>
    <cellStyle name="40% - Accent3 7 2 2 3 2 3 2" xfId="39671" xr:uid="{00000000-0005-0000-0000-00004E710000}"/>
    <cellStyle name="40% - Accent3 7 2 2 3 2 4" xfId="28370" xr:uid="{00000000-0005-0000-0000-00004F710000}"/>
    <cellStyle name="40% - Accent3 7 2 2 3 3" xfId="8585" xr:uid="{00000000-0005-0000-0000-000050710000}"/>
    <cellStyle name="40% - Accent3 7 2 2 3 3 2" xfId="19886" xr:uid="{00000000-0005-0000-0000-000051710000}"/>
    <cellStyle name="40% - Accent3 7 2 2 3 3 2 2" xfId="42488" xr:uid="{00000000-0005-0000-0000-000052710000}"/>
    <cellStyle name="40% - Accent3 7 2 2 3 3 3" xfId="31187" xr:uid="{00000000-0005-0000-0000-000053710000}"/>
    <cellStyle name="40% - Accent3 7 2 2 3 4" xfId="14236" xr:uid="{00000000-0005-0000-0000-000054710000}"/>
    <cellStyle name="40% - Accent3 7 2 2 3 4 2" xfId="36838" xr:uid="{00000000-0005-0000-0000-000055710000}"/>
    <cellStyle name="40% - Accent3 7 2 2 3 5" xfId="25537" xr:uid="{00000000-0005-0000-0000-000056710000}"/>
    <cellStyle name="40% - Accent3 7 2 2 4" xfId="4534" xr:uid="{00000000-0005-0000-0000-000057710000}"/>
    <cellStyle name="40% - Accent3 7 2 2 4 2" xfId="10184" xr:uid="{00000000-0005-0000-0000-000058710000}"/>
    <cellStyle name="40% - Accent3 7 2 2 4 2 2" xfId="21485" xr:uid="{00000000-0005-0000-0000-000059710000}"/>
    <cellStyle name="40% - Accent3 7 2 2 4 2 2 2" xfId="44087" xr:uid="{00000000-0005-0000-0000-00005A710000}"/>
    <cellStyle name="40% - Accent3 7 2 2 4 2 3" xfId="32786" xr:uid="{00000000-0005-0000-0000-00005B710000}"/>
    <cellStyle name="40% - Accent3 7 2 2 4 3" xfId="15835" xr:uid="{00000000-0005-0000-0000-00005C710000}"/>
    <cellStyle name="40% - Accent3 7 2 2 4 3 2" xfId="38437" xr:uid="{00000000-0005-0000-0000-00005D710000}"/>
    <cellStyle name="40% - Accent3 7 2 2 4 4" xfId="27136" xr:uid="{00000000-0005-0000-0000-00005E710000}"/>
    <cellStyle name="40% - Accent3 7 2 2 5" xfId="7330" xr:uid="{00000000-0005-0000-0000-00005F710000}"/>
    <cellStyle name="40% - Accent3 7 2 2 5 2" xfId="18631" xr:uid="{00000000-0005-0000-0000-000060710000}"/>
    <cellStyle name="40% - Accent3 7 2 2 5 2 2" xfId="41233" xr:uid="{00000000-0005-0000-0000-000061710000}"/>
    <cellStyle name="40% - Accent3 7 2 2 5 3" xfId="29932" xr:uid="{00000000-0005-0000-0000-000062710000}"/>
    <cellStyle name="40% - Accent3 7 2 2 6" xfId="12981" xr:uid="{00000000-0005-0000-0000-000063710000}"/>
    <cellStyle name="40% - Accent3 7 2 2 6 2" xfId="35583" xr:uid="{00000000-0005-0000-0000-000064710000}"/>
    <cellStyle name="40% - Accent3 7 2 2 7" xfId="24282" xr:uid="{00000000-0005-0000-0000-000065710000}"/>
    <cellStyle name="40% - Accent3 7 2 3" xfId="1049" xr:uid="{00000000-0005-0000-0000-000066710000}"/>
    <cellStyle name="40% - Accent3 7 2 3 2" xfId="3112" xr:uid="{00000000-0005-0000-0000-000067710000}"/>
    <cellStyle name="40% - Accent3 7 2 3 2 2" xfId="6084" xr:uid="{00000000-0005-0000-0000-000068710000}"/>
    <cellStyle name="40% - Accent3 7 2 3 2 2 2" xfId="11734" xr:uid="{00000000-0005-0000-0000-000069710000}"/>
    <cellStyle name="40% - Accent3 7 2 3 2 2 2 2" xfId="23035" xr:uid="{00000000-0005-0000-0000-00006A710000}"/>
    <cellStyle name="40% - Accent3 7 2 3 2 2 2 2 2" xfId="45637" xr:uid="{00000000-0005-0000-0000-00006B710000}"/>
    <cellStyle name="40% - Accent3 7 2 3 2 2 2 3" xfId="34336" xr:uid="{00000000-0005-0000-0000-00006C710000}"/>
    <cellStyle name="40% - Accent3 7 2 3 2 2 3" xfId="17385" xr:uid="{00000000-0005-0000-0000-00006D710000}"/>
    <cellStyle name="40% - Accent3 7 2 3 2 2 3 2" xfId="39987" xr:uid="{00000000-0005-0000-0000-00006E710000}"/>
    <cellStyle name="40% - Accent3 7 2 3 2 2 4" xfId="28686" xr:uid="{00000000-0005-0000-0000-00006F710000}"/>
    <cellStyle name="40% - Accent3 7 2 3 2 3" xfId="8902" xr:uid="{00000000-0005-0000-0000-000070710000}"/>
    <cellStyle name="40% - Accent3 7 2 3 2 3 2" xfId="20203" xr:uid="{00000000-0005-0000-0000-000071710000}"/>
    <cellStyle name="40% - Accent3 7 2 3 2 3 2 2" xfId="42805" xr:uid="{00000000-0005-0000-0000-000072710000}"/>
    <cellStyle name="40% - Accent3 7 2 3 2 3 3" xfId="31504" xr:uid="{00000000-0005-0000-0000-000073710000}"/>
    <cellStyle name="40% - Accent3 7 2 3 2 4" xfId="14553" xr:uid="{00000000-0005-0000-0000-000074710000}"/>
    <cellStyle name="40% - Accent3 7 2 3 2 4 2" xfId="37155" xr:uid="{00000000-0005-0000-0000-000075710000}"/>
    <cellStyle name="40% - Accent3 7 2 3 2 5" xfId="25854" xr:uid="{00000000-0005-0000-0000-000076710000}"/>
    <cellStyle name="40% - Accent3 7 2 3 3" xfId="4850" xr:uid="{00000000-0005-0000-0000-000077710000}"/>
    <cellStyle name="40% - Accent3 7 2 3 3 2" xfId="10500" xr:uid="{00000000-0005-0000-0000-000078710000}"/>
    <cellStyle name="40% - Accent3 7 2 3 3 2 2" xfId="21801" xr:uid="{00000000-0005-0000-0000-000079710000}"/>
    <cellStyle name="40% - Accent3 7 2 3 3 2 2 2" xfId="44403" xr:uid="{00000000-0005-0000-0000-00007A710000}"/>
    <cellStyle name="40% - Accent3 7 2 3 3 2 3" xfId="33102" xr:uid="{00000000-0005-0000-0000-00007B710000}"/>
    <cellStyle name="40% - Accent3 7 2 3 3 3" xfId="16151" xr:uid="{00000000-0005-0000-0000-00007C710000}"/>
    <cellStyle name="40% - Accent3 7 2 3 3 3 2" xfId="38753" xr:uid="{00000000-0005-0000-0000-00007D710000}"/>
    <cellStyle name="40% - Accent3 7 2 3 3 4" xfId="27452" xr:uid="{00000000-0005-0000-0000-00007E710000}"/>
    <cellStyle name="40% - Accent3 7 2 3 4" xfId="7037" xr:uid="{00000000-0005-0000-0000-00007F710000}"/>
    <cellStyle name="40% - Accent3 7 2 3 4 2" xfId="18338" xr:uid="{00000000-0005-0000-0000-000080710000}"/>
    <cellStyle name="40% - Accent3 7 2 3 4 2 2" xfId="40940" xr:uid="{00000000-0005-0000-0000-000081710000}"/>
    <cellStyle name="40% - Accent3 7 2 3 4 3" xfId="29639" xr:uid="{00000000-0005-0000-0000-000082710000}"/>
    <cellStyle name="40% - Accent3 7 2 3 5" xfId="12688" xr:uid="{00000000-0005-0000-0000-000083710000}"/>
    <cellStyle name="40% - Accent3 7 2 3 5 2" xfId="35290" xr:uid="{00000000-0005-0000-0000-000084710000}"/>
    <cellStyle name="40% - Accent3 7 2 3 6" xfId="23989" xr:uid="{00000000-0005-0000-0000-000085710000}"/>
    <cellStyle name="40% - Accent3 7 2 4" xfId="1939" xr:uid="{00000000-0005-0000-0000-000086710000}"/>
    <cellStyle name="40% - Accent3 7 2 4 2" xfId="3771" xr:uid="{00000000-0005-0000-0000-000087710000}"/>
    <cellStyle name="40% - Accent3 7 2 4 2 2" xfId="9481" xr:uid="{00000000-0005-0000-0000-000088710000}"/>
    <cellStyle name="40% - Accent3 7 2 4 2 2 2" xfId="20782" xr:uid="{00000000-0005-0000-0000-000089710000}"/>
    <cellStyle name="40% - Accent3 7 2 4 2 2 2 2" xfId="43384" xr:uid="{00000000-0005-0000-0000-00008A710000}"/>
    <cellStyle name="40% - Accent3 7 2 4 2 2 3" xfId="32083" xr:uid="{00000000-0005-0000-0000-00008B710000}"/>
    <cellStyle name="40% - Accent3 7 2 4 2 3" xfId="15132" xr:uid="{00000000-0005-0000-0000-00008C710000}"/>
    <cellStyle name="40% - Accent3 7 2 4 2 3 2" xfId="37734" xr:uid="{00000000-0005-0000-0000-00008D710000}"/>
    <cellStyle name="40% - Accent3 7 2 4 2 4" xfId="26433" xr:uid="{00000000-0005-0000-0000-00008E710000}"/>
    <cellStyle name="40% - Accent3 7 2 4 3" xfId="5460" xr:uid="{00000000-0005-0000-0000-00008F710000}"/>
    <cellStyle name="40% - Accent3 7 2 4 3 2" xfId="11110" xr:uid="{00000000-0005-0000-0000-000090710000}"/>
    <cellStyle name="40% - Accent3 7 2 4 3 2 2" xfId="22411" xr:uid="{00000000-0005-0000-0000-000091710000}"/>
    <cellStyle name="40% - Accent3 7 2 4 3 2 2 2" xfId="45013" xr:uid="{00000000-0005-0000-0000-000092710000}"/>
    <cellStyle name="40% - Accent3 7 2 4 3 2 3" xfId="33712" xr:uid="{00000000-0005-0000-0000-000093710000}"/>
    <cellStyle name="40% - Accent3 7 2 4 3 3" xfId="16761" xr:uid="{00000000-0005-0000-0000-000094710000}"/>
    <cellStyle name="40% - Accent3 7 2 4 3 3 2" xfId="39363" xr:uid="{00000000-0005-0000-0000-000095710000}"/>
    <cellStyle name="40% - Accent3 7 2 4 3 4" xfId="28062" xr:uid="{00000000-0005-0000-0000-000096710000}"/>
    <cellStyle name="40% - Accent3 7 2 4 4" xfId="7795" xr:uid="{00000000-0005-0000-0000-000097710000}"/>
    <cellStyle name="40% - Accent3 7 2 4 4 2" xfId="19096" xr:uid="{00000000-0005-0000-0000-000098710000}"/>
    <cellStyle name="40% - Accent3 7 2 4 4 2 2" xfId="41698" xr:uid="{00000000-0005-0000-0000-000099710000}"/>
    <cellStyle name="40% - Accent3 7 2 4 4 3" xfId="30397" xr:uid="{00000000-0005-0000-0000-00009A710000}"/>
    <cellStyle name="40% - Accent3 7 2 4 5" xfId="13446" xr:uid="{00000000-0005-0000-0000-00009B710000}"/>
    <cellStyle name="40% - Accent3 7 2 4 5 2" xfId="36048" xr:uid="{00000000-0005-0000-0000-00009C710000}"/>
    <cellStyle name="40% - Accent3 7 2 4 6" xfId="24747" xr:uid="{00000000-0005-0000-0000-00009D710000}"/>
    <cellStyle name="40% - Accent3 7 2 5" xfId="2441" xr:uid="{00000000-0005-0000-0000-00009E710000}"/>
    <cellStyle name="40% - Accent3 7 2 5 2" xfId="8277" xr:uid="{00000000-0005-0000-0000-00009F710000}"/>
    <cellStyle name="40% - Accent3 7 2 5 2 2" xfId="19578" xr:uid="{00000000-0005-0000-0000-0000A0710000}"/>
    <cellStyle name="40% - Accent3 7 2 5 2 2 2" xfId="42180" xr:uid="{00000000-0005-0000-0000-0000A1710000}"/>
    <cellStyle name="40% - Accent3 7 2 5 2 3" xfId="30879" xr:uid="{00000000-0005-0000-0000-0000A2710000}"/>
    <cellStyle name="40% - Accent3 7 2 5 3" xfId="13928" xr:uid="{00000000-0005-0000-0000-0000A3710000}"/>
    <cellStyle name="40% - Accent3 7 2 5 3 2" xfId="36530" xr:uid="{00000000-0005-0000-0000-0000A4710000}"/>
    <cellStyle name="40% - Accent3 7 2 5 4" xfId="25229" xr:uid="{00000000-0005-0000-0000-0000A5710000}"/>
    <cellStyle name="40% - Accent3 7 2 6" xfId="4226" xr:uid="{00000000-0005-0000-0000-0000A6710000}"/>
    <cellStyle name="40% - Accent3 7 2 6 2" xfId="9876" xr:uid="{00000000-0005-0000-0000-0000A7710000}"/>
    <cellStyle name="40% - Accent3 7 2 6 2 2" xfId="21177" xr:uid="{00000000-0005-0000-0000-0000A8710000}"/>
    <cellStyle name="40% - Accent3 7 2 6 2 2 2" xfId="43779" xr:uid="{00000000-0005-0000-0000-0000A9710000}"/>
    <cellStyle name="40% - Accent3 7 2 6 2 3" xfId="32478" xr:uid="{00000000-0005-0000-0000-0000AA710000}"/>
    <cellStyle name="40% - Accent3 7 2 6 3" xfId="15527" xr:uid="{00000000-0005-0000-0000-0000AB710000}"/>
    <cellStyle name="40% - Accent3 7 2 6 3 2" xfId="38129" xr:uid="{00000000-0005-0000-0000-0000AC710000}"/>
    <cellStyle name="40% - Accent3 7 2 6 4" xfId="26828" xr:uid="{00000000-0005-0000-0000-0000AD710000}"/>
    <cellStyle name="40% - Accent3 7 2 7" xfId="6706" xr:uid="{00000000-0005-0000-0000-0000AE710000}"/>
    <cellStyle name="40% - Accent3 7 2 7 2" xfId="18007" xr:uid="{00000000-0005-0000-0000-0000AF710000}"/>
    <cellStyle name="40% - Accent3 7 2 7 2 2" xfId="40609" xr:uid="{00000000-0005-0000-0000-0000B0710000}"/>
    <cellStyle name="40% - Accent3 7 2 7 3" xfId="29308" xr:uid="{00000000-0005-0000-0000-0000B1710000}"/>
    <cellStyle name="40% - Accent3 7 2 8" xfId="12357" xr:uid="{00000000-0005-0000-0000-0000B2710000}"/>
    <cellStyle name="40% - Accent3 7 2 8 2" xfId="34959" xr:uid="{00000000-0005-0000-0000-0000B3710000}"/>
    <cellStyle name="40% - Accent3 7 2 9" xfId="23658" xr:uid="{00000000-0005-0000-0000-0000B4710000}"/>
    <cellStyle name="40% - Accent3 7 3" xfId="1213" xr:uid="{00000000-0005-0000-0000-0000B5710000}"/>
    <cellStyle name="40% - Accent3 7 3 2" xfId="1941" xr:uid="{00000000-0005-0000-0000-0000B6710000}"/>
    <cellStyle name="40% - Accent3 7 3 2 2" xfId="3281" xr:uid="{00000000-0005-0000-0000-0000B7710000}"/>
    <cellStyle name="40% - Accent3 7 3 2 2 2" xfId="6253" xr:uid="{00000000-0005-0000-0000-0000B8710000}"/>
    <cellStyle name="40% - Accent3 7 3 2 2 2 2" xfId="11903" xr:uid="{00000000-0005-0000-0000-0000B9710000}"/>
    <cellStyle name="40% - Accent3 7 3 2 2 2 2 2" xfId="23204" xr:uid="{00000000-0005-0000-0000-0000BA710000}"/>
    <cellStyle name="40% - Accent3 7 3 2 2 2 2 2 2" xfId="45806" xr:uid="{00000000-0005-0000-0000-0000BB710000}"/>
    <cellStyle name="40% - Accent3 7 3 2 2 2 2 3" xfId="34505" xr:uid="{00000000-0005-0000-0000-0000BC710000}"/>
    <cellStyle name="40% - Accent3 7 3 2 2 2 3" xfId="17554" xr:uid="{00000000-0005-0000-0000-0000BD710000}"/>
    <cellStyle name="40% - Accent3 7 3 2 2 2 3 2" xfId="40156" xr:uid="{00000000-0005-0000-0000-0000BE710000}"/>
    <cellStyle name="40% - Accent3 7 3 2 2 2 4" xfId="28855" xr:uid="{00000000-0005-0000-0000-0000BF710000}"/>
    <cellStyle name="40% - Accent3 7 3 2 2 3" xfId="9071" xr:uid="{00000000-0005-0000-0000-0000C0710000}"/>
    <cellStyle name="40% - Accent3 7 3 2 2 3 2" xfId="20372" xr:uid="{00000000-0005-0000-0000-0000C1710000}"/>
    <cellStyle name="40% - Accent3 7 3 2 2 3 2 2" xfId="42974" xr:uid="{00000000-0005-0000-0000-0000C2710000}"/>
    <cellStyle name="40% - Accent3 7 3 2 2 3 3" xfId="31673" xr:uid="{00000000-0005-0000-0000-0000C3710000}"/>
    <cellStyle name="40% - Accent3 7 3 2 2 4" xfId="14722" xr:uid="{00000000-0005-0000-0000-0000C4710000}"/>
    <cellStyle name="40% - Accent3 7 3 2 2 4 2" xfId="37324" xr:uid="{00000000-0005-0000-0000-0000C5710000}"/>
    <cellStyle name="40% - Accent3 7 3 2 2 5" xfId="26023" xr:uid="{00000000-0005-0000-0000-0000C6710000}"/>
    <cellStyle name="40% - Accent3 7 3 2 3" xfId="5019" xr:uid="{00000000-0005-0000-0000-0000C7710000}"/>
    <cellStyle name="40% - Accent3 7 3 2 3 2" xfId="10669" xr:uid="{00000000-0005-0000-0000-0000C8710000}"/>
    <cellStyle name="40% - Accent3 7 3 2 3 2 2" xfId="21970" xr:uid="{00000000-0005-0000-0000-0000C9710000}"/>
    <cellStyle name="40% - Accent3 7 3 2 3 2 2 2" xfId="44572" xr:uid="{00000000-0005-0000-0000-0000CA710000}"/>
    <cellStyle name="40% - Accent3 7 3 2 3 2 3" xfId="33271" xr:uid="{00000000-0005-0000-0000-0000CB710000}"/>
    <cellStyle name="40% - Accent3 7 3 2 3 3" xfId="16320" xr:uid="{00000000-0005-0000-0000-0000CC710000}"/>
    <cellStyle name="40% - Accent3 7 3 2 3 3 2" xfId="38922" xr:uid="{00000000-0005-0000-0000-0000CD710000}"/>
    <cellStyle name="40% - Accent3 7 3 2 3 4" xfId="27621" xr:uid="{00000000-0005-0000-0000-0000CE710000}"/>
    <cellStyle name="40% - Accent3 7 3 2 4" xfId="7797" xr:uid="{00000000-0005-0000-0000-0000CF710000}"/>
    <cellStyle name="40% - Accent3 7 3 2 4 2" xfId="19098" xr:uid="{00000000-0005-0000-0000-0000D0710000}"/>
    <cellStyle name="40% - Accent3 7 3 2 4 2 2" xfId="41700" xr:uid="{00000000-0005-0000-0000-0000D1710000}"/>
    <cellStyle name="40% - Accent3 7 3 2 4 3" xfId="30399" xr:uid="{00000000-0005-0000-0000-0000D2710000}"/>
    <cellStyle name="40% - Accent3 7 3 2 5" xfId="13448" xr:uid="{00000000-0005-0000-0000-0000D3710000}"/>
    <cellStyle name="40% - Accent3 7 3 2 5 2" xfId="36050" xr:uid="{00000000-0005-0000-0000-0000D4710000}"/>
    <cellStyle name="40% - Accent3 7 3 2 6" xfId="24749" xr:uid="{00000000-0005-0000-0000-0000D5710000}"/>
    <cellStyle name="40% - Accent3 7 3 3" xfId="2610" xr:uid="{00000000-0005-0000-0000-0000D6710000}"/>
    <cellStyle name="40% - Accent3 7 3 3 2" xfId="5629" xr:uid="{00000000-0005-0000-0000-0000D7710000}"/>
    <cellStyle name="40% - Accent3 7 3 3 2 2" xfId="11279" xr:uid="{00000000-0005-0000-0000-0000D8710000}"/>
    <cellStyle name="40% - Accent3 7 3 3 2 2 2" xfId="22580" xr:uid="{00000000-0005-0000-0000-0000D9710000}"/>
    <cellStyle name="40% - Accent3 7 3 3 2 2 2 2" xfId="45182" xr:uid="{00000000-0005-0000-0000-0000DA710000}"/>
    <cellStyle name="40% - Accent3 7 3 3 2 2 3" xfId="33881" xr:uid="{00000000-0005-0000-0000-0000DB710000}"/>
    <cellStyle name="40% - Accent3 7 3 3 2 3" xfId="16930" xr:uid="{00000000-0005-0000-0000-0000DC710000}"/>
    <cellStyle name="40% - Accent3 7 3 3 2 3 2" xfId="39532" xr:uid="{00000000-0005-0000-0000-0000DD710000}"/>
    <cellStyle name="40% - Accent3 7 3 3 2 4" xfId="28231" xr:uid="{00000000-0005-0000-0000-0000DE710000}"/>
    <cellStyle name="40% - Accent3 7 3 3 3" xfId="8446" xr:uid="{00000000-0005-0000-0000-0000DF710000}"/>
    <cellStyle name="40% - Accent3 7 3 3 3 2" xfId="19747" xr:uid="{00000000-0005-0000-0000-0000E0710000}"/>
    <cellStyle name="40% - Accent3 7 3 3 3 2 2" xfId="42349" xr:uid="{00000000-0005-0000-0000-0000E1710000}"/>
    <cellStyle name="40% - Accent3 7 3 3 3 3" xfId="31048" xr:uid="{00000000-0005-0000-0000-0000E2710000}"/>
    <cellStyle name="40% - Accent3 7 3 3 4" xfId="14097" xr:uid="{00000000-0005-0000-0000-0000E3710000}"/>
    <cellStyle name="40% - Accent3 7 3 3 4 2" xfId="36699" xr:uid="{00000000-0005-0000-0000-0000E4710000}"/>
    <cellStyle name="40% - Accent3 7 3 3 5" xfId="25398" xr:uid="{00000000-0005-0000-0000-0000E5710000}"/>
    <cellStyle name="40% - Accent3 7 3 4" xfId="4395" xr:uid="{00000000-0005-0000-0000-0000E6710000}"/>
    <cellStyle name="40% - Accent3 7 3 4 2" xfId="10045" xr:uid="{00000000-0005-0000-0000-0000E7710000}"/>
    <cellStyle name="40% - Accent3 7 3 4 2 2" xfId="21346" xr:uid="{00000000-0005-0000-0000-0000E8710000}"/>
    <cellStyle name="40% - Accent3 7 3 4 2 2 2" xfId="43948" xr:uid="{00000000-0005-0000-0000-0000E9710000}"/>
    <cellStyle name="40% - Accent3 7 3 4 2 3" xfId="32647" xr:uid="{00000000-0005-0000-0000-0000EA710000}"/>
    <cellStyle name="40% - Accent3 7 3 4 3" xfId="15696" xr:uid="{00000000-0005-0000-0000-0000EB710000}"/>
    <cellStyle name="40% - Accent3 7 3 4 3 2" xfId="38298" xr:uid="{00000000-0005-0000-0000-0000EC710000}"/>
    <cellStyle name="40% - Accent3 7 3 4 4" xfId="26997" xr:uid="{00000000-0005-0000-0000-0000ED710000}"/>
    <cellStyle name="40% - Accent3 7 3 5" xfId="7192" xr:uid="{00000000-0005-0000-0000-0000EE710000}"/>
    <cellStyle name="40% - Accent3 7 3 5 2" xfId="18493" xr:uid="{00000000-0005-0000-0000-0000EF710000}"/>
    <cellStyle name="40% - Accent3 7 3 5 2 2" xfId="41095" xr:uid="{00000000-0005-0000-0000-0000F0710000}"/>
    <cellStyle name="40% - Accent3 7 3 5 3" xfId="29794" xr:uid="{00000000-0005-0000-0000-0000F1710000}"/>
    <cellStyle name="40% - Accent3 7 3 6" xfId="12843" xr:uid="{00000000-0005-0000-0000-0000F2710000}"/>
    <cellStyle name="40% - Accent3 7 3 6 2" xfId="35445" xr:uid="{00000000-0005-0000-0000-0000F3710000}"/>
    <cellStyle name="40% - Accent3 7 3 7" xfId="24144" xr:uid="{00000000-0005-0000-0000-0000F4710000}"/>
    <cellStyle name="40% - Accent3 7 4" xfId="904" xr:uid="{00000000-0005-0000-0000-0000F5710000}"/>
    <cellStyle name="40% - Accent3 7 4 2" xfId="2974" xr:uid="{00000000-0005-0000-0000-0000F6710000}"/>
    <cellStyle name="40% - Accent3 7 4 2 2" xfId="5946" xr:uid="{00000000-0005-0000-0000-0000F7710000}"/>
    <cellStyle name="40% - Accent3 7 4 2 2 2" xfId="11596" xr:uid="{00000000-0005-0000-0000-0000F8710000}"/>
    <cellStyle name="40% - Accent3 7 4 2 2 2 2" xfId="22897" xr:uid="{00000000-0005-0000-0000-0000F9710000}"/>
    <cellStyle name="40% - Accent3 7 4 2 2 2 2 2" xfId="45499" xr:uid="{00000000-0005-0000-0000-0000FA710000}"/>
    <cellStyle name="40% - Accent3 7 4 2 2 2 3" xfId="34198" xr:uid="{00000000-0005-0000-0000-0000FB710000}"/>
    <cellStyle name="40% - Accent3 7 4 2 2 3" xfId="17247" xr:uid="{00000000-0005-0000-0000-0000FC710000}"/>
    <cellStyle name="40% - Accent3 7 4 2 2 3 2" xfId="39849" xr:uid="{00000000-0005-0000-0000-0000FD710000}"/>
    <cellStyle name="40% - Accent3 7 4 2 2 4" xfId="28548" xr:uid="{00000000-0005-0000-0000-0000FE710000}"/>
    <cellStyle name="40% - Accent3 7 4 2 3" xfId="8764" xr:uid="{00000000-0005-0000-0000-0000FF710000}"/>
    <cellStyle name="40% - Accent3 7 4 2 3 2" xfId="20065" xr:uid="{00000000-0005-0000-0000-000000720000}"/>
    <cellStyle name="40% - Accent3 7 4 2 3 2 2" xfId="42667" xr:uid="{00000000-0005-0000-0000-000001720000}"/>
    <cellStyle name="40% - Accent3 7 4 2 3 3" xfId="31366" xr:uid="{00000000-0005-0000-0000-000002720000}"/>
    <cellStyle name="40% - Accent3 7 4 2 4" xfId="14415" xr:uid="{00000000-0005-0000-0000-000003720000}"/>
    <cellStyle name="40% - Accent3 7 4 2 4 2" xfId="37017" xr:uid="{00000000-0005-0000-0000-000004720000}"/>
    <cellStyle name="40% - Accent3 7 4 2 5" xfId="25716" xr:uid="{00000000-0005-0000-0000-000005720000}"/>
    <cellStyle name="40% - Accent3 7 4 3" xfId="4712" xr:uid="{00000000-0005-0000-0000-000006720000}"/>
    <cellStyle name="40% - Accent3 7 4 3 2" xfId="10362" xr:uid="{00000000-0005-0000-0000-000007720000}"/>
    <cellStyle name="40% - Accent3 7 4 3 2 2" xfId="21663" xr:uid="{00000000-0005-0000-0000-000008720000}"/>
    <cellStyle name="40% - Accent3 7 4 3 2 2 2" xfId="44265" xr:uid="{00000000-0005-0000-0000-000009720000}"/>
    <cellStyle name="40% - Accent3 7 4 3 2 3" xfId="32964" xr:uid="{00000000-0005-0000-0000-00000A720000}"/>
    <cellStyle name="40% - Accent3 7 4 3 3" xfId="16013" xr:uid="{00000000-0005-0000-0000-00000B720000}"/>
    <cellStyle name="40% - Accent3 7 4 3 3 2" xfId="38615" xr:uid="{00000000-0005-0000-0000-00000C720000}"/>
    <cellStyle name="40% - Accent3 7 4 3 4" xfId="27314" xr:uid="{00000000-0005-0000-0000-00000D720000}"/>
    <cellStyle name="40% - Accent3 7 4 4" xfId="6899" xr:uid="{00000000-0005-0000-0000-00000E720000}"/>
    <cellStyle name="40% - Accent3 7 4 4 2" xfId="18200" xr:uid="{00000000-0005-0000-0000-00000F720000}"/>
    <cellStyle name="40% - Accent3 7 4 4 2 2" xfId="40802" xr:uid="{00000000-0005-0000-0000-000010720000}"/>
    <cellStyle name="40% - Accent3 7 4 4 3" xfId="29501" xr:uid="{00000000-0005-0000-0000-000011720000}"/>
    <cellStyle name="40% - Accent3 7 4 5" xfId="12550" xr:uid="{00000000-0005-0000-0000-000012720000}"/>
    <cellStyle name="40% - Accent3 7 4 5 2" xfId="35152" xr:uid="{00000000-0005-0000-0000-000013720000}"/>
    <cellStyle name="40% - Accent3 7 4 6" xfId="23851" xr:uid="{00000000-0005-0000-0000-000014720000}"/>
    <cellStyle name="40% - Accent3 7 5" xfId="1938" xr:uid="{00000000-0005-0000-0000-000015720000}"/>
    <cellStyle name="40% - Accent3 7 5 2" xfId="3770" xr:uid="{00000000-0005-0000-0000-000016720000}"/>
    <cellStyle name="40% - Accent3 7 5 2 2" xfId="9480" xr:uid="{00000000-0005-0000-0000-000017720000}"/>
    <cellStyle name="40% - Accent3 7 5 2 2 2" xfId="20781" xr:uid="{00000000-0005-0000-0000-000018720000}"/>
    <cellStyle name="40% - Accent3 7 5 2 2 2 2" xfId="43383" xr:uid="{00000000-0005-0000-0000-000019720000}"/>
    <cellStyle name="40% - Accent3 7 5 2 2 3" xfId="32082" xr:uid="{00000000-0005-0000-0000-00001A720000}"/>
    <cellStyle name="40% - Accent3 7 5 2 3" xfId="15131" xr:uid="{00000000-0005-0000-0000-00001B720000}"/>
    <cellStyle name="40% - Accent3 7 5 2 3 2" xfId="37733" xr:uid="{00000000-0005-0000-0000-00001C720000}"/>
    <cellStyle name="40% - Accent3 7 5 2 4" xfId="26432" xr:uid="{00000000-0005-0000-0000-00001D720000}"/>
    <cellStyle name="40% - Accent3 7 5 3" xfId="5322" xr:uid="{00000000-0005-0000-0000-00001E720000}"/>
    <cellStyle name="40% - Accent3 7 5 3 2" xfId="10972" xr:uid="{00000000-0005-0000-0000-00001F720000}"/>
    <cellStyle name="40% - Accent3 7 5 3 2 2" xfId="22273" xr:uid="{00000000-0005-0000-0000-000020720000}"/>
    <cellStyle name="40% - Accent3 7 5 3 2 2 2" xfId="44875" xr:uid="{00000000-0005-0000-0000-000021720000}"/>
    <cellStyle name="40% - Accent3 7 5 3 2 3" xfId="33574" xr:uid="{00000000-0005-0000-0000-000022720000}"/>
    <cellStyle name="40% - Accent3 7 5 3 3" xfId="16623" xr:uid="{00000000-0005-0000-0000-000023720000}"/>
    <cellStyle name="40% - Accent3 7 5 3 3 2" xfId="39225" xr:uid="{00000000-0005-0000-0000-000024720000}"/>
    <cellStyle name="40% - Accent3 7 5 3 4" xfId="27924" xr:uid="{00000000-0005-0000-0000-000025720000}"/>
    <cellStyle name="40% - Accent3 7 5 4" xfId="7794" xr:uid="{00000000-0005-0000-0000-000026720000}"/>
    <cellStyle name="40% - Accent3 7 5 4 2" xfId="19095" xr:uid="{00000000-0005-0000-0000-000027720000}"/>
    <cellStyle name="40% - Accent3 7 5 4 2 2" xfId="41697" xr:uid="{00000000-0005-0000-0000-000028720000}"/>
    <cellStyle name="40% - Accent3 7 5 4 3" xfId="30396" xr:uid="{00000000-0005-0000-0000-000029720000}"/>
    <cellStyle name="40% - Accent3 7 5 5" xfId="13445" xr:uid="{00000000-0005-0000-0000-00002A720000}"/>
    <cellStyle name="40% - Accent3 7 5 5 2" xfId="36047" xr:uid="{00000000-0005-0000-0000-00002B720000}"/>
    <cellStyle name="40% - Accent3 7 5 6" xfId="24746" xr:uid="{00000000-0005-0000-0000-00002C720000}"/>
    <cellStyle name="40% - Accent3 7 6" xfId="2301" xr:uid="{00000000-0005-0000-0000-00002D720000}"/>
    <cellStyle name="40% - Accent3 7 6 2" xfId="8137" xr:uid="{00000000-0005-0000-0000-00002E720000}"/>
    <cellStyle name="40% - Accent3 7 6 2 2" xfId="19438" xr:uid="{00000000-0005-0000-0000-00002F720000}"/>
    <cellStyle name="40% - Accent3 7 6 2 2 2" xfId="42040" xr:uid="{00000000-0005-0000-0000-000030720000}"/>
    <cellStyle name="40% - Accent3 7 6 2 3" xfId="30739" xr:uid="{00000000-0005-0000-0000-000031720000}"/>
    <cellStyle name="40% - Accent3 7 6 3" xfId="13788" xr:uid="{00000000-0005-0000-0000-000032720000}"/>
    <cellStyle name="40% - Accent3 7 6 3 2" xfId="36390" xr:uid="{00000000-0005-0000-0000-000033720000}"/>
    <cellStyle name="40% - Accent3 7 6 4" xfId="25089" xr:uid="{00000000-0005-0000-0000-000034720000}"/>
    <cellStyle name="40% - Accent3 7 7" xfId="4088" xr:uid="{00000000-0005-0000-0000-000035720000}"/>
    <cellStyle name="40% - Accent3 7 7 2" xfId="9738" xr:uid="{00000000-0005-0000-0000-000036720000}"/>
    <cellStyle name="40% - Accent3 7 7 2 2" xfId="21039" xr:uid="{00000000-0005-0000-0000-000037720000}"/>
    <cellStyle name="40% - Accent3 7 7 2 2 2" xfId="43641" xr:uid="{00000000-0005-0000-0000-000038720000}"/>
    <cellStyle name="40% - Accent3 7 7 2 3" xfId="32340" xr:uid="{00000000-0005-0000-0000-000039720000}"/>
    <cellStyle name="40% - Accent3 7 7 3" xfId="15389" xr:uid="{00000000-0005-0000-0000-00003A720000}"/>
    <cellStyle name="40% - Accent3 7 7 3 2" xfId="37991" xr:uid="{00000000-0005-0000-0000-00003B720000}"/>
    <cellStyle name="40% - Accent3 7 7 4" xfId="26690" xr:uid="{00000000-0005-0000-0000-00003C720000}"/>
    <cellStyle name="40% - Accent3 7 8" xfId="6539" xr:uid="{00000000-0005-0000-0000-00003D720000}"/>
    <cellStyle name="40% - Accent3 7 8 2" xfId="17840" xr:uid="{00000000-0005-0000-0000-00003E720000}"/>
    <cellStyle name="40% - Accent3 7 8 2 2" xfId="40442" xr:uid="{00000000-0005-0000-0000-00003F720000}"/>
    <cellStyle name="40% - Accent3 7 8 3" xfId="29141" xr:uid="{00000000-0005-0000-0000-000040720000}"/>
    <cellStyle name="40% - Accent3 7 9" xfId="12190" xr:uid="{00000000-0005-0000-0000-000041720000}"/>
    <cellStyle name="40% - Accent3 7 9 2" xfId="34792" xr:uid="{00000000-0005-0000-0000-000042720000}"/>
    <cellStyle name="40% - Accent3 8" xfId="499" xr:uid="{00000000-0005-0000-0000-000043720000}"/>
    <cellStyle name="40% - Accent3 8 2" xfId="1270" xr:uid="{00000000-0005-0000-0000-000044720000}"/>
    <cellStyle name="40% - Accent3 8 2 2" xfId="1943" xr:uid="{00000000-0005-0000-0000-000045720000}"/>
    <cellStyle name="40% - Accent3 8 2 2 2" xfId="3339" xr:uid="{00000000-0005-0000-0000-000046720000}"/>
    <cellStyle name="40% - Accent3 8 2 2 2 2" xfId="6311" xr:uid="{00000000-0005-0000-0000-000047720000}"/>
    <cellStyle name="40% - Accent3 8 2 2 2 2 2" xfId="11961" xr:uid="{00000000-0005-0000-0000-000048720000}"/>
    <cellStyle name="40% - Accent3 8 2 2 2 2 2 2" xfId="23262" xr:uid="{00000000-0005-0000-0000-000049720000}"/>
    <cellStyle name="40% - Accent3 8 2 2 2 2 2 2 2" xfId="45864" xr:uid="{00000000-0005-0000-0000-00004A720000}"/>
    <cellStyle name="40% - Accent3 8 2 2 2 2 2 3" xfId="34563" xr:uid="{00000000-0005-0000-0000-00004B720000}"/>
    <cellStyle name="40% - Accent3 8 2 2 2 2 3" xfId="17612" xr:uid="{00000000-0005-0000-0000-00004C720000}"/>
    <cellStyle name="40% - Accent3 8 2 2 2 2 3 2" xfId="40214" xr:uid="{00000000-0005-0000-0000-00004D720000}"/>
    <cellStyle name="40% - Accent3 8 2 2 2 2 4" xfId="28913" xr:uid="{00000000-0005-0000-0000-00004E720000}"/>
    <cellStyle name="40% - Accent3 8 2 2 2 3" xfId="9129" xr:uid="{00000000-0005-0000-0000-00004F720000}"/>
    <cellStyle name="40% - Accent3 8 2 2 2 3 2" xfId="20430" xr:uid="{00000000-0005-0000-0000-000050720000}"/>
    <cellStyle name="40% - Accent3 8 2 2 2 3 2 2" xfId="43032" xr:uid="{00000000-0005-0000-0000-000051720000}"/>
    <cellStyle name="40% - Accent3 8 2 2 2 3 3" xfId="31731" xr:uid="{00000000-0005-0000-0000-000052720000}"/>
    <cellStyle name="40% - Accent3 8 2 2 2 4" xfId="14780" xr:uid="{00000000-0005-0000-0000-000053720000}"/>
    <cellStyle name="40% - Accent3 8 2 2 2 4 2" xfId="37382" xr:uid="{00000000-0005-0000-0000-000054720000}"/>
    <cellStyle name="40% - Accent3 8 2 2 2 5" xfId="26081" xr:uid="{00000000-0005-0000-0000-000055720000}"/>
    <cellStyle name="40% - Accent3 8 2 2 3" xfId="5077" xr:uid="{00000000-0005-0000-0000-000056720000}"/>
    <cellStyle name="40% - Accent3 8 2 2 3 2" xfId="10727" xr:uid="{00000000-0005-0000-0000-000057720000}"/>
    <cellStyle name="40% - Accent3 8 2 2 3 2 2" xfId="22028" xr:uid="{00000000-0005-0000-0000-000058720000}"/>
    <cellStyle name="40% - Accent3 8 2 2 3 2 2 2" xfId="44630" xr:uid="{00000000-0005-0000-0000-000059720000}"/>
    <cellStyle name="40% - Accent3 8 2 2 3 2 3" xfId="33329" xr:uid="{00000000-0005-0000-0000-00005A720000}"/>
    <cellStyle name="40% - Accent3 8 2 2 3 3" xfId="16378" xr:uid="{00000000-0005-0000-0000-00005B720000}"/>
    <cellStyle name="40% - Accent3 8 2 2 3 3 2" xfId="38980" xr:uid="{00000000-0005-0000-0000-00005C720000}"/>
    <cellStyle name="40% - Accent3 8 2 2 3 4" xfId="27679" xr:uid="{00000000-0005-0000-0000-00005D720000}"/>
    <cellStyle name="40% - Accent3 8 2 2 4" xfId="7799" xr:uid="{00000000-0005-0000-0000-00005E720000}"/>
    <cellStyle name="40% - Accent3 8 2 2 4 2" xfId="19100" xr:uid="{00000000-0005-0000-0000-00005F720000}"/>
    <cellStyle name="40% - Accent3 8 2 2 4 2 2" xfId="41702" xr:uid="{00000000-0005-0000-0000-000060720000}"/>
    <cellStyle name="40% - Accent3 8 2 2 4 3" xfId="30401" xr:uid="{00000000-0005-0000-0000-000061720000}"/>
    <cellStyle name="40% - Accent3 8 2 2 5" xfId="13450" xr:uid="{00000000-0005-0000-0000-000062720000}"/>
    <cellStyle name="40% - Accent3 8 2 2 5 2" xfId="36052" xr:uid="{00000000-0005-0000-0000-000063720000}"/>
    <cellStyle name="40% - Accent3 8 2 2 6" xfId="24751" xr:uid="{00000000-0005-0000-0000-000064720000}"/>
    <cellStyle name="40% - Accent3 8 2 3" xfId="2668" xr:uid="{00000000-0005-0000-0000-000065720000}"/>
    <cellStyle name="40% - Accent3 8 2 3 2" xfId="5687" xr:uid="{00000000-0005-0000-0000-000066720000}"/>
    <cellStyle name="40% - Accent3 8 2 3 2 2" xfId="11337" xr:uid="{00000000-0005-0000-0000-000067720000}"/>
    <cellStyle name="40% - Accent3 8 2 3 2 2 2" xfId="22638" xr:uid="{00000000-0005-0000-0000-000068720000}"/>
    <cellStyle name="40% - Accent3 8 2 3 2 2 2 2" xfId="45240" xr:uid="{00000000-0005-0000-0000-000069720000}"/>
    <cellStyle name="40% - Accent3 8 2 3 2 2 3" xfId="33939" xr:uid="{00000000-0005-0000-0000-00006A720000}"/>
    <cellStyle name="40% - Accent3 8 2 3 2 3" xfId="16988" xr:uid="{00000000-0005-0000-0000-00006B720000}"/>
    <cellStyle name="40% - Accent3 8 2 3 2 3 2" xfId="39590" xr:uid="{00000000-0005-0000-0000-00006C720000}"/>
    <cellStyle name="40% - Accent3 8 2 3 2 4" xfId="28289" xr:uid="{00000000-0005-0000-0000-00006D720000}"/>
    <cellStyle name="40% - Accent3 8 2 3 3" xfId="8504" xr:uid="{00000000-0005-0000-0000-00006E720000}"/>
    <cellStyle name="40% - Accent3 8 2 3 3 2" xfId="19805" xr:uid="{00000000-0005-0000-0000-00006F720000}"/>
    <cellStyle name="40% - Accent3 8 2 3 3 2 2" xfId="42407" xr:uid="{00000000-0005-0000-0000-000070720000}"/>
    <cellStyle name="40% - Accent3 8 2 3 3 3" xfId="31106" xr:uid="{00000000-0005-0000-0000-000071720000}"/>
    <cellStyle name="40% - Accent3 8 2 3 4" xfId="14155" xr:uid="{00000000-0005-0000-0000-000072720000}"/>
    <cellStyle name="40% - Accent3 8 2 3 4 2" xfId="36757" xr:uid="{00000000-0005-0000-0000-000073720000}"/>
    <cellStyle name="40% - Accent3 8 2 3 5" xfId="25456" xr:uid="{00000000-0005-0000-0000-000074720000}"/>
    <cellStyle name="40% - Accent3 8 2 4" xfId="4453" xr:uid="{00000000-0005-0000-0000-000075720000}"/>
    <cellStyle name="40% - Accent3 8 2 4 2" xfId="10103" xr:uid="{00000000-0005-0000-0000-000076720000}"/>
    <cellStyle name="40% - Accent3 8 2 4 2 2" xfId="21404" xr:uid="{00000000-0005-0000-0000-000077720000}"/>
    <cellStyle name="40% - Accent3 8 2 4 2 2 2" xfId="44006" xr:uid="{00000000-0005-0000-0000-000078720000}"/>
    <cellStyle name="40% - Accent3 8 2 4 2 3" xfId="32705" xr:uid="{00000000-0005-0000-0000-000079720000}"/>
    <cellStyle name="40% - Accent3 8 2 4 3" xfId="15754" xr:uid="{00000000-0005-0000-0000-00007A720000}"/>
    <cellStyle name="40% - Accent3 8 2 4 3 2" xfId="38356" xr:uid="{00000000-0005-0000-0000-00007B720000}"/>
    <cellStyle name="40% - Accent3 8 2 4 4" xfId="27055" xr:uid="{00000000-0005-0000-0000-00007C720000}"/>
    <cellStyle name="40% - Accent3 8 2 5" xfId="7249" xr:uid="{00000000-0005-0000-0000-00007D720000}"/>
    <cellStyle name="40% - Accent3 8 2 5 2" xfId="18550" xr:uid="{00000000-0005-0000-0000-00007E720000}"/>
    <cellStyle name="40% - Accent3 8 2 5 2 2" xfId="41152" xr:uid="{00000000-0005-0000-0000-00007F720000}"/>
    <cellStyle name="40% - Accent3 8 2 5 3" xfId="29851" xr:uid="{00000000-0005-0000-0000-000080720000}"/>
    <cellStyle name="40% - Accent3 8 2 6" xfId="12900" xr:uid="{00000000-0005-0000-0000-000081720000}"/>
    <cellStyle name="40% - Accent3 8 2 6 2" xfId="35502" xr:uid="{00000000-0005-0000-0000-000082720000}"/>
    <cellStyle name="40% - Accent3 8 2 7" xfId="24201" xr:uid="{00000000-0005-0000-0000-000083720000}"/>
    <cellStyle name="40% - Accent3 8 3" xfId="967" xr:uid="{00000000-0005-0000-0000-000084720000}"/>
    <cellStyle name="40% - Accent3 8 3 2" xfId="3031" xr:uid="{00000000-0005-0000-0000-000085720000}"/>
    <cellStyle name="40% - Accent3 8 3 2 2" xfId="6003" xr:uid="{00000000-0005-0000-0000-000086720000}"/>
    <cellStyle name="40% - Accent3 8 3 2 2 2" xfId="11653" xr:uid="{00000000-0005-0000-0000-000087720000}"/>
    <cellStyle name="40% - Accent3 8 3 2 2 2 2" xfId="22954" xr:uid="{00000000-0005-0000-0000-000088720000}"/>
    <cellStyle name="40% - Accent3 8 3 2 2 2 2 2" xfId="45556" xr:uid="{00000000-0005-0000-0000-000089720000}"/>
    <cellStyle name="40% - Accent3 8 3 2 2 2 3" xfId="34255" xr:uid="{00000000-0005-0000-0000-00008A720000}"/>
    <cellStyle name="40% - Accent3 8 3 2 2 3" xfId="17304" xr:uid="{00000000-0005-0000-0000-00008B720000}"/>
    <cellStyle name="40% - Accent3 8 3 2 2 3 2" xfId="39906" xr:uid="{00000000-0005-0000-0000-00008C720000}"/>
    <cellStyle name="40% - Accent3 8 3 2 2 4" xfId="28605" xr:uid="{00000000-0005-0000-0000-00008D720000}"/>
    <cellStyle name="40% - Accent3 8 3 2 3" xfId="8821" xr:uid="{00000000-0005-0000-0000-00008E720000}"/>
    <cellStyle name="40% - Accent3 8 3 2 3 2" xfId="20122" xr:uid="{00000000-0005-0000-0000-00008F720000}"/>
    <cellStyle name="40% - Accent3 8 3 2 3 2 2" xfId="42724" xr:uid="{00000000-0005-0000-0000-000090720000}"/>
    <cellStyle name="40% - Accent3 8 3 2 3 3" xfId="31423" xr:uid="{00000000-0005-0000-0000-000091720000}"/>
    <cellStyle name="40% - Accent3 8 3 2 4" xfId="14472" xr:uid="{00000000-0005-0000-0000-000092720000}"/>
    <cellStyle name="40% - Accent3 8 3 2 4 2" xfId="37074" xr:uid="{00000000-0005-0000-0000-000093720000}"/>
    <cellStyle name="40% - Accent3 8 3 2 5" xfId="25773" xr:uid="{00000000-0005-0000-0000-000094720000}"/>
    <cellStyle name="40% - Accent3 8 3 3" xfId="4769" xr:uid="{00000000-0005-0000-0000-000095720000}"/>
    <cellStyle name="40% - Accent3 8 3 3 2" xfId="10419" xr:uid="{00000000-0005-0000-0000-000096720000}"/>
    <cellStyle name="40% - Accent3 8 3 3 2 2" xfId="21720" xr:uid="{00000000-0005-0000-0000-000097720000}"/>
    <cellStyle name="40% - Accent3 8 3 3 2 2 2" xfId="44322" xr:uid="{00000000-0005-0000-0000-000098720000}"/>
    <cellStyle name="40% - Accent3 8 3 3 2 3" xfId="33021" xr:uid="{00000000-0005-0000-0000-000099720000}"/>
    <cellStyle name="40% - Accent3 8 3 3 3" xfId="16070" xr:uid="{00000000-0005-0000-0000-00009A720000}"/>
    <cellStyle name="40% - Accent3 8 3 3 3 2" xfId="38672" xr:uid="{00000000-0005-0000-0000-00009B720000}"/>
    <cellStyle name="40% - Accent3 8 3 3 4" xfId="27371" xr:uid="{00000000-0005-0000-0000-00009C720000}"/>
    <cellStyle name="40% - Accent3 8 3 4" xfId="6956" xr:uid="{00000000-0005-0000-0000-00009D720000}"/>
    <cellStyle name="40% - Accent3 8 3 4 2" xfId="18257" xr:uid="{00000000-0005-0000-0000-00009E720000}"/>
    <cellStyle name="40% - Accent3 8 3 4 2 2" xfId="40859" xr:uid="{00000000-0005-0000-0000-00009F720000}"/>
    <cellStyle name="40% - Accent3 8 3 4 3" xfId="29558" xr:uid="{00000000-0005-0000-0000-0000A0720000}"/>
    <cellStyle name="40% - Accent3 8 3 5" xfId="12607" xr:uid="{00000000-0005-0000-0000-0000A1720000}"/>
    <cellStyle name="40% - Accent3 8 3 5 2" xfId="35209" xr:uid="{00000000-0005-0000-0000-0000A2720000}"/>
    <cellStyle name="40% - Accent3 8 3 6" xfId="23908" xr:uid="{00000000-0005-0000-0000-0000A3720000}"/>
    <cellStyle name="40% - Accent3 8 4" xfId="1942" xr:uid="{00000000-0005-0000-0000-0000A4720000}"/>
    <cellStyle name="40% - Accent3 8 4 2" xfId="3772" xr:uid="{00000000-0005-0000-0000-0000A5720000}"/>
    <cellStyle name="40% - Accent3 8 4 2 2" xfId="9482" xr:uid="{00000000-0005-0000-0000-0000A6720000}"/>
    <cellStyle name="40% - Accent3 8 4 2 2 2" xfId="20783" xr:uid="{00000000-0005-0000-0000-0000A7720000}"/>
    <cellStyle name="40% - Accent3 8 4 2 2 2 2" xfId="43385" xr:uid="{00000000-0005-0000-0000-0000A8720000}"/>
    <cellStyle name="40% - Accent3 8 4 2 2 3" xfId="32084" xr:uid="{00000000-0005-0000-0000-0000A9720000}"/>
    <cellStyle name="40% - Accent3 8 4 2 3" xfId="15133" xr:uid="{00000000-0005-0000-0000-0000AA720000}"/>
    <cellStyle name="40% - Accent3 8 4 2 3 2" xfId="37735" xr:uid="{00000000-0005-0000-0000-0000AB720000}"/>
    <cellStyle name="40% - Accent3 8 4 2 4" xfId="26434" xr:uid="{00000000-0005-0000-0000-0000AC720000}"/>
    <cellStyle name="40% - Accent3 8 4 3" xfId="5379" xr:uid="{00000000-0005-0000-0000-0000AD720000}"/>
    <cellStyle name="40% - Accent3 8 4 3 2" xfId="11029" xr:uid="{00000000-0005-0000-0000-0000AE720000}"/>
    <cellStyle name="40% - Accent3 8 4 3 2 2" xfId="22330" xr:uid="{00000000-0005-0000-0000-0000AF720000}"/>
    <cellStyle name="40% - Accent3 8 4 3 2 2 2" xfId="44932" xr:uid="{00000000-0005-0000-0000-0000B0720000}"/>
    <cellStyle name="40% - Accent3 8 4 3 2 3" xfId="33631" xr:uid="{00000000-0005-0000-0000-0000B1720000}"/>
    <cellStyle name="40% - Accent3 8 4 3 3" xfId="16680" xr:uid="{00000000-0005-0000-0000-0000B2720000}"/>
    <cellStyle name="40% - Accent3 8 4 3 3 2" xfId="39282" xr:uid="{00000000-0005-0000-0000-0000B3720000}"/>
    <cellStyle name="40% - Accent3 8 4 3 4" xfId="27981" xr:uid="{00000000-0005-0000-0000-0000B4720000}"/>
    <cellStyle name="40% - Accent3 8 4 4" xfId="7798" xr:uid="{00000000-0005-0000-0000-0000B5720000}"/>
    <cellStyle name="40% - Accent3 8 4 4 2" xfId="19099" xr:uid="{00000000-0005-0000-0000-0000B6720000}"/>
    <cellStyle name="40% - Accent3 8 4 4 2 2" xfId="41701" xr:uid="{00000000-0005-0000-0000-0000B7720000}"/>
    <cellStyle name="40% - Accent3 8 4 4 3" xfId="30400" xr:uid="{00000000-0005-0000-0000-0000B8720000}"/>
    <cellStyle name="40% - Accent3 8 4 5" xfId="13449" xr:uid="{00000000-0005-0000-0000-0000B9720000}"/>
    <cellStyle name="40% - Accent3 8 4 5 2" xfId="36051" xr:uid="{00000000-0005-0000-0000-0000BA720000}"/>
    <cellStyle name="40% - Accent3 8 4 6" xfId="24750" xr:uid="{00000000-0005-0000-0000-0000BB720000}"/>
    <cellStyle name="40% - Accent3 8 5" xfId="2360" xr:uid="{00000000-0005-0000-0000-0000BC720000}"/>
    <cellStyle name="40% - Accent3 8 5 2" xfId="8196" xr:uid="{00000000-0005-0000-0000-0000BD720000}"/>
    <cellStyle name="40% - Accent3 8 5 2 2" xfId="19497" xr:uid="{00000000-0005-0000-0000-0000BE720000}"/>
    <cellStyle name="40% - Accent3 8 5 2 2 2" xfId="42099" xr:uid="{00000000-0005-0000-0000-0000BF720000}"/>
    <cellStyle name="40% - Accent3 8 5 2 3" xfId="30798" xr:uid="{00000000-0005-0000-0000-0000C0720000}"/>
    <cellStyle name="40% - Accent3 8 5 3" xfId="13847" xr:uid="{00000000-0005-0000-0000-0000C1720000}"/>
    <cellStyle name="40% - Accent3 8 5 3 2" xfId="36449" xr:uid="{00000000-0005-0000-0000-0000C2720000}"/>
    <cellStyle name="40% - Accent3 8 5 4" xfId="25148" xr:uid="{00000000-0005-0000-0000-0000C3720000}"/>
    <cellStyle name="40% - Accent3 8 6" xfId="4145" xr:uid="{00000000-0005-0000-0000-0000C4720000}"/>
    <cellStyle name="40% - Accent3 8 6 2" xfId="9795" xr:uid="{00000000-0005-0000-0000-0000C5720000}"/>
    <cellStyle name="40% - Accent3 8 6 2 2" xfId="21096" xr:uid="{00000000-0005-0000-0000-0000C6720000}"/>
    <cellStyle name="40% - Accent3 8 6 2 2 2" xfId="43698" xr:uid="{00000000-0005-0000-0000-0000C7720000}"/>
    <cellStyle name="40% - Accent3 8 6 2 3" xfId="32397" xr:uid="{00000000-0005-0000-0000-0000C8720000}"/>
    <cellStyle name="40% - Accent3 8 6 3" xfId="15446" xr:uid="{00000000-0005-0000-0000-0000C9720000}"/>
    <cellStyle name="40% - Accent3 8 6 3 2" xfId="38048" xr:uid="{00000000-0005-0000-0000-0000CA720000}"/>
    <cellStyle name="40% - Accent3 8 6 4" xfId="26747" xr:uid="{00000000-0005-0000-0000-0000CB720000}"/>
    <cellStyle name="40% - Accent3 8 7" xfId="6596" xr:uid="{00000000-0005-0000-0000-0000CC720000}"/>
    <cellStyle name="40% - Accent3 8 7 2" xfId="17897" xr:uid="{00000000-0005-0000-0000-0000CD720000}"/>
    <cellStyle name="40% - Accent3 8 7 2 2" xfId="40499" xr:uid="{00000000-0005-0000-0000-0000CE720000}"/>
    <cellStyle name="40% - Accent3 8 7 3" xfId="29198" xr:uid="{00000000-0005-0000-0000-0000CF720000}"/>
    <cellStyle name="40% - Accent3 8 8" xfId="12247" xr:uid="{00000000-0005-0000-0000-0000D0720000}"/>
    <cellStyle name="40% - Accent3 8 8 2" xfId="34849" xr:uid="{00000000-0005-0000-0000-0000D1720000}"/>
    <cellStyle name="40% - Accent3 8 9" xfId="23548" xr:uid="{00000000-0005-0000-0000-0000D2720000}"/>
    <cellStyle name="40% - Accent3 9" xfId="701" xr:uid="{00000000-0005-0000-0000-0000D3720000}"/>
    <cellStyle name="40% - Accent3 9 2" xfId="760" xr:uid="{00000000-0005-0000-0000-0000D4720000}"/>
    <cellStyle name="40% - Accent3 9 2 2" xfId="3171" xr:uid="{00000000-0005-0000-0000-0000D5720000}"/>
    <cellStyle name="40% - Accent3 9 2 2 2" xfId="6143" xr:uid="{00000000-0005-0000-0000-0000D6720000}"/>
    <cellStyle name="40% - Accent3 9 2 2 2 2" xfId="11793" xr:uid="{00000000-0005-0000-0000-0000D7720000}"/>
    <cellStyle name="40% - Accent3 9 2 2 2 2 2" xfId="23094" xr:uid="{00000000-0005-0000-0000-0000D8720000}"/>
    <cellStyle name="40% - Accent3 9 2 2 2 2 2 2" xfId="45696" xr:uid="{00000000-0005-0000-0000-0000D9720000}"/>
    <cellStyle name="40% - Accent3 9 2 2 2 2 3" xfId="34395" xr:uid="{00000000-0005-0000-0000-0000DA720000}"/>
    <cellStyle name="40% - Accent3 9 2 2 2 3" xfId="17444" xr:uid="{00000000-0005-0000-0000-0000DB720000}"/>
    <cellStyle name="40% - Accent3 9 2 2 2 3 2" xfId="40046" xr:uid="{00000000-0005-0000-0000-0000DC720000}"/>
    <cellStyle name="40% - Accent3 9 2 2 2 4" xfId="28745" xr:uid="{00000000-0005-0000-0000-0000DD720000}"/>
    <cellStyle name="40% - Accent3 9 2 2 3" xfId="8961" xr:uid="{00000000-0005-0000-0000-0000DE720000}"/>
    <cellStyle name="40% - Accent3 9 2 2 3 2" xfId="20262" xr:uid="{00000000-0005-0000-0000-0000DF720000}"/>
    <cellStyle name="40% - Accent3 9 2 2 3 2 2" xfId="42864" xr:uid="{00000000-0005-0000-0000-0000E0720000}"/>
    <cellStyle name="40% - Accent3 9 2 2 3 3" xfId="31563" xr:uid="{00000000-0005-0000-0000-0000E1720000}"/>
    <cellStyle name="40% - Accent3 9 2 2 4" xfId="14612" xr:uid="{00000000-0005-0000-0000-0000E2720000}"/>
    <cellStyle name="40% - Accent3 9 2 2 4 2" xfId="37214" xr:uid="{00000000-0005-0000-0000-0000E3720000}"/>
    <cellStyle name="40% - Accent3 9 2 2 5" xfId="25913" xr:uid="{00000000-0005-0000-0000-0000E4720000}"/>
    <cellStyle name="40% - Accent3 9 2 3" xfId="4909" xr:uid="{00000000-0005-0000-0000-0000E5720000}"/>
    <cellStyle name="40% - Accent3 9 2 3 2" xfId="10559" xr:uid="{00000000-0005-0000-0000-0000E6720000}"/>
    <cellStyle name="40% - Accent3 9 2 3 2 2" xfId="21860" xr:uid="{00000000-0005-0000-0000-0000E7720000}"/>
    <cellStyle name="40% - Accent3 9 2 3 2 2 2" xfId="44462" xr:uid="{00000000-0005-0000-0000-0000E8720000}"/>
    <cellStyle name="40% - Accent3 9 2 3 2 3" xfId="33161" xr:uid="{00000000-0005-0000-0000-0000E9720000}"/>
    <cellStyle name="40% - Accent3 9 2 3 3" xfId="16210" xr:uid="{00000000-0005-0000-0000-0000EA720000}"/>
    <cellStyle name="40% - Accent3 9 2 3 3 2" xfId="38812" xr:uid="{00000000-0005-0000-0000-0000EB720000}"/>
    <cellStyle name="40% - Accent3 9 2 3 4" xfId="27511" xr:uid="{00000000-0005-0000-0000-0000EC720000}"/>
    <cellStyle name="40% - Accent3 9 2 4" xfId="6785" xr:uid="{00000000-0005-0000-0000-0000ED720000}"/>
    <cellStyle name="40% - Accent3 9 2 4 2" xfId="18086" xr:uid="{00000000-0005-0000-0000-0000EE720000}"/>
    <cellStyle name="40% - Accent3 9 2 4 2 2" xfId="40688" xr:uid="{00000000-0005-0000-0000-0000EF720000}"/>
    <cellStyle name="40% - Accent3 9 2 4 3" xfId="29387" xr:uid="{00000000-0005-0000-0000-0000F0720000}"/>
    <cellStyle name="40% - Accent3 9 2 5" xfId="12436" xr:uid="{00000000-0005-0000-0000-0000F1720000}"/>
    <cellStyle name="40% - Accent3 9 2 5 2" xfId="35038" xr:uid="{00000000-0005-0000-0000-0000F2720000}"/>
    <cellStyle name="40% - Accent3 9 2 6" xfId="23737" xr:uid="{00000000-0005-0000-0000-0000F3720000}"/>
    <cellStyle name="40% - Accent3 9 3" xfId="1944" xr:uid="{00000000-0005-0000-0000-0000F4720000}"/>
    <cellStyle name="40% - Accent3 9 3 2" xfId="3773" xr:uid="{00000000-0005-0000-0000-0000F5720000}"/>
    <cellStyle name="40% - Accent3 9 3 2 2" xfId="9483" xr:uid="{00000000-0005-0000-0000-0000F6720000}"/>
    <cellStyle name="40% - Accent3 9 3 2 2 2" xfId="20784" xr:uid="{00000000-0005-0000-0000-0000F7720000}"/>
    <cellStyle name="40% - Accent3 9 3 2 2 2 2" xfId="43386" xr:uid="{00000000-0005-0000-0000-0000F8720000}"/>
    <cellStyle name="40% - Accent3 9 3 2 2 3" xfId="32085" xr:uid="{00000000-0005-0000-0000-0000F9720000}"/>
    <cellStyle name="40% - Accent3 9 3 2 3" xfId="15134" xr:uid="{00000000-0005-0000-0000-0000FA720000}"/>
    <cellStyle name="40% - Accent3 9 3 2 3 2" xfId="37736" xr:uid="{00000000-0005-0000-0000-0000FB720000}"/>
    <cellStyle name="40% - Accent3 9 3 2 4" xfId="26435" xr:uid="{00000000-0005-0000-0000-0000FC720000}"/>
    <cellStyle name="40% - Accent3 9 3 3" xfId="5519" xr:uid="{00000000-0005-0000-0000-0000FD720000}"/>
    <cellStyle name="40% - Accent3 9 3 3 2" xfId="11169" xr:uid="{00000000-0005-0000-0000-0000FE720000}"/>
    <cellStyle name="40% - Accent3 9 3 3 2 2" xfId="22470" xr:uid="{00000000-0005-0000-0000-0000FF720000}"/>
    <cellStyle name="40% - Accent3 9 3 3 2 2 2" xfId="45072" xr:uid="{00000000-0005-0000-0000-000000730000}"/>
    <cellStyle name="40% - Accent3 9 3 3 2 3" xfId="33771" xr:uid="{00000000-0005-0000-0000-000001730000}"/>
    <cellStyle name="40% - Accent3 9 3 3 3" xfId="16820" xr:uid="{00000000-0005-0000-0000-000002730000}"/>
    <cellStyle name="40% - Accent3 9 3 3 3 2" xfId="39422" xr:uid="{00000000-0005-0000-0000-000003730000}"/>
    <cellStyle name="40% - Accent3 9 3 3 4" xfId="28121" xr:uid="{00000000-0005-0000-0000-000004730000}"/>
    <cellStyle name="40% - Accent3 9 3 4" xfId="7800" xr:uid="{00000000-0005-0000-0000-000005730000}"/>
    <cellStyle name="40% - Accent3 9 3 4 2" xfId="19101" xr:uid="{00000000-0005-0000-0000-000006730000}"/>
    <cellStyle name="40% - Accent3 9 3 4 2 2" xfId="41703" xr:uid="{00000000-0005-0000-0000-000007730000}"/>
    <cellStyle name="40% - Accent3 9 3 4 3" xfId="30402" xr:uid="{00000000-0005-0000-0000-000008730000}"/>
    <cellStyle name="40% - Accent3 9 3 5" xfId="13451" xr:uid="{00000000-0005-0000-0000-000009730000}"/>
    <cellStyle name="40% - Accent3 9 3 5 2" xfId="36053" xr:uid="{00000000-0005-0000-0000-00000A730000}"/>
    <cellStyle name="40% - Accent3 9 3 6" xfId="24752" xr:uid="{00000000-0005-0000-0000-00000B730000}"/>
    <cellStyle name="40% - Accent3 9 4" xfId="2500" xr:uid="{00000000-0005-0000-0000-00000C730000}"/>
    <cellStyle name="40% - Accent3 9 4 2" xfId="8336" xr:uid="{00000000-0005-0000-0000-00000D730000}"/>
    <cellStyle name="40% - Accent3 9 4 2 2" xfId="19637" xr:uid="{00000000-0005-0000-0000-00000E730000}"/>
    <cellStyle name="40% - Accent3 9 4 2 2 2" xfId="42239" xr:uid="{00000000-0005-0000-0000-00000F730000}"/>
    <cellStyle name="40% - Accent3 9 4 2 3" xfId="30938" xr:uid="{00000000-0005-0000-0000-000010730000}"/>
    <cellStyle name="40% - Accent3 9 4 3" xfId="13987" xr:uid="{00000000-0005-0000-0000-000011730000}"/>
    <cellStyle name="40% - Accent3 9 4 3 2" xfId="36589" xr:uid="{00000000-0005-0000-0000-000012730000}"/>
    <cellStyle name="40% - Accent3 9 4 4" xfId="25288" xr:uid="{00000000-0005-0000-0000-000013730000}"/>
    <cellStyle name="40% - Accent3 9 5" xfId="4285" xr:uid="{00000000-0005-0000-0000-000014730000}"/>
    <cellStyle name="40% - Accent3 9 5 2" xfId="9935" xr:uid="{00000000-0005-0000-0000-000015730000}"/>
    <cellStyle name="40% - Accent3 9 5 2 2" xfId="21236" xr:uid="{00000000-0005-0000-0000-000016730000}"/>
    <cellStyle name="40% - Accent3 9 5 2 2 2" xfId="43838" xr:uid="{00000000-0005-0000-0000-000017730000}"/>
    <cellStyle name="40% - Accent3 9 5 2 3" xfId="32537" xr:uid="{00000000-0005-0000-0000-000018730000}"/>
    <cellStyle name="40% - Accent3 9 5 3" xfId="15586" xr:uid="{00000000-0005-0000-0000-000019730000}"/>
    <cellStyle name="40% - Accent3 9 5 3 2" xfId="38188" xr:uid="{00000000-0005-0000-0000-00001A730000}"/>
    <cellStyle name="40% - Accent3 9 5 4" xfId="26887" xr:uid="{00000000-0005-0000-0000-00001B730000}"/>
    <cellStyle name="40% - Accent3 9 6" xfId="6764" xr:uid="{00000000-0005-0000-0000-00001C730000}"/>
    <cellStyle name="40% - Accent3 9 6 2" xfId="18065" xr:uid="{00000000-0005-0000-0000-00001D730000}"/>
    <cellStyle name="40% - Accent3 9 6 2 2" xfId="40667" xr:uid="{00000000-0005-0000-0000-00001E730000}"/>
    <cellStyle name="40% - Accent3 9 6 3" xfId="29366" xr:uid="{00000000-0005-0000-0000-00001F730000}"/>
    <cellStyle name="40% - Accent3 9 7" xfId="12415" xr:uid="{00000000-0005-0000-0000-000020730000}"/>
    <cellStyle name="40% - Accent3 9 7 2" xfId="35017" xr:uid="{00000000-0005-0000-0000-000021730000}"/>
    <cellStyle name="40% - Accent3 9 8" xfId="23716" xr:uid="{00000000-0005-0000-0000-000022730000}"/>
    <cellStyle name="40% - Accent4" xfId="32" builtinId="43" customBuiltin="1"/>
    <cellStyle name="40% - Accent4 10" xfId="828" xr:uid="{00000000-0005-0000-0000-000024730000}"/>
    <cellStyle name="40% - Accent4 10 2" xfId="1945" xr:uid="{00000000-0005-0000-0000-000025730000}"/>
    <cellStyle name="40% - Accent4 10 2 2" xfId="3475" xr:uid="{00000000-0005-0000-0000-000026730000}"/>
    <cellStyle name="40% - Accent4 10 2 2 2" xfId="6447" xr:uid="{00000000-0005-0000-0000-000027730000}"/>
    <cellStyle name="40% - Accent4 10 2 2 2 2" xfId="12097" xr:uid="{00000000-0005-0000-0000-000028730000}"/>
    <cellStyle name="40% - Accent4 10 2 2 2 2 2" xfId="23398" xr:uid="{00000000-0005-0000-0000-000029730000}"/>
    <cellStyle name="40% - Accent4 10 2 2 2 2 2 2" xfId="46000" xr:uid="{00000000-0005-0000-0000-00002A730000}"/>
    <cellStyle name="40% - Accent4 10 2 2 2 2 3" xfId="34699" xr:uid="{00000000-0005-0000-0000-00002B730000}"/>
    <cellStyle name="40% - Accent4 10 2 2 2 3" xfId="17748" xr:uid="{00000000-0005-0000-0000-00002C730000}"/>
    <cellStyle name="40% - Accent4 10 2 2 2 3 2" xfId="40350" xr:uid="{00000000-0005-0000-0000-00002D730000}"/>
    <cellStyle name="40% - Accent4 10 2 2 2 4" xfId="29049" xr:uid="{00000000-0005-0000-0000-00002E730000}"/>
    <cellStyle name="40% - Accent4 10 2 2 3" xfId="9265" xr:uid="{00000000-0005-0000-0000-00002F730000}"/>
    <cellStyle name="40% - Accent4 10 2 2 3 2" xfId="20566" xr:uid="{00000000-0005-0000-0000-000030730000}"/>
    <cellStyle name="40% - Accent4 10 2 2 3 2 2" xfId="43168" xr:uid="{00000000-0005-0000-0000-000031730000}"/>
    <cellStyle name="40% - Accent4 10 2 2 3 3" xfId="31867" xr:uid="{00000000-0005-0000-0000-000032730000}"/>
    <cellStyle name="40% - Accent4 10 2 2 4" xfId="14916" xr:uid="{00000000-0005-0000-0000-000033730000}"/>
    <cellStyle name="40% - Accent4 10 2 2 4 2" xfId="37518" xr:uid="{00000000-0005-0000-0000-000034730000}"/>
    <cellStyle name="40% - Accent4 10 2 2 5" xfId="26217" xr:uid="{00000000-0005-0000-0000-000035730000}"/>
    <cellStyle name="40% - Accent4 10 2 3" xfId="5213" xr:uid="{00000000-0005-0000-0000-000036730000}"/>
    <cellStyle name="40% - Accent4 10 2 3 2" xfId="10863" xr:uid="{00000000-0005-0000-0000-000037730000}"/>
    <cellStyle name="40% - Accent4 10 2 3 2 2" xfId="22164" xr:uid="{00000000-0005-0000-0000-000038730000}"/>
    <cellStyle name="40% - Accent4 10 2 3 2 2 2" xfId="44766" xr:uid="{00000000-0005-0000-0000-000039730000}"/>
    <cellStyle name="40% - Accent4 10 2 3 2 3" xfId="33465" xr:uid="{00000000-0005-0000-0000-00003A730000}"/>
    <cellStyle name="40% - Accent4 10 2 3 3" xfId="16514" xr:uid="{00000000-0005-0000-0000-00003B730000}"/>
    <cellStyle name="40% - Accent4 10 2 3 3 2" xfId="39116" xr:uid="{00000000-0005-0000-0000-00003C730000}"/>
    <cellStyle name="40% - Accent4 10 2 3 4" xfId="27815" xr:uid="{00000000-0005-0000-0000-00003D730000}"/>
    <cellStyle name="40% - Accent4 10 2 4" xfId="7801" xr:uid="{00000000-0005-0000-0000-00003E730000}"/>
    <cellStyle name="40% - Accent4 10 2 4 2" xfId="19102" xr:uid="{00000000-0005-0000-0000-00003F730000}"/>
    <cellStyle name="40% - Accent4 10 2 4 2 2" xfId="41704" xr:uid="{00000000-0005-0000-0000-000040730000}"/>
    <cellStyle name="40% - Accent4 10 2 4 3" xfId="30403" xr:uid="{00000000-0005-0000-0000-000041730000}"/>
    <cellStyle name="40% - Accent4 10 2 5" xfId="13452" xr:uid="{00000000-0005-0000-0000-000042730000}"/>
    <cellStyle name="40% - Accent4 10 2 5 2" xfId="36054" xr:uid="{00000000-0005-0000-0000-000043730000}"/>
    <cellStyle name="40% - Accent4 10 2 6" xfId="24753" xr:uid="{00000000-0005-0000-0000-000044730000}"/>
    <cellStyle name="40% - Accent4 10 3" xfId="2806" xr:uid="{00000000-0005-0000-0000-000045730000}"/>
    <cellStyle name="40% - Accent4 10 3 2" xfId="5823" xr:uid="{00000000-0005-0000-0000-000046730000}"/>
    <cellStyle name="40% - Accent4 10 3 2 2" xfId="11473" xr:uid="{00000000-0005-0000-0000-000047730000}"/>
    <cellStyle name="40% - Accent4 10 3 2 2 2" xfId="22774" xr:uid="{00000000-0005-0000-0000-000048730000}"/>
    <cellStyle name="40% - Accent4 10 3 2 2 2 2" xfId="45376" xr:uid="{00000000-0005-0000-0000-000049730000}"/>
    <cellStyle name="40% - Accent4 10 3 2 2 3" xfId="34075" xr:uid="{00000000-0005-0000-0000-00004A730000}"/>
    <cellStyle name="40% - Accent4 10 3 2 3" xfId="17124" xr:uid="{00000000-0005-0000-0000-00004B730000}"/>
    <cellStyle name="40% - Accent4 10 3 2 3 2" xfId="39726" xr:uid="{00000000-0005-0000-0000-00004C730000}"/>
    <cellStyle name="40% - Accent4 10 3 2 4" xfId="28425" xr:uid="{00000000-0005-0000-0000-00004D730000}"/>
    <cellStyle name="40% - Accent4 10 3 3" xfId="8640" xr:uid="{00000000-0005-0000-0000-00004E730000}"/>
    <cellStyle name="40% - Accent4 10 3 3 2" xfId="19941" xr:uid="{00000000-0005-0000-0000-00004F730000}"/>
    <cellStyle name="40% - Accent4 10 3 3 2 2" xfId="42543" xr:uid="{00000000-0005-0000-0000-000050730000}"/>
    <cellStyle name="40% - Accent4 10 3 3 3" xfId="31242" xr:uid="{00000000-0005-0000-0000-000051730000}"/>
    <cellStyle name="40% - Accent4 10 3 4" xfId="14291" xr:uid="{00000000-0005-0000-0000-000052730000}"/>
    <cellStyle name="40% - Accent4 10 3 4 2" xfId="36893" xr:uid="{00000000-0005-0000-0000-000053730000}"/>
    <cellStyle name="40% - Accent4 10 3 5" xfId="25592" xr:uid="{00000000-0005-0000-0000-000054730000}"/>
    <cellStyle name="40% - Accent4 10 4" xfId="4589" xr:uid="{00000000-0005-0000-0000-000055730000}"/>
    <cellStyle name="40% - Accent4 10 4 2" xfId="10239" xr:uid="{00000000-0005-0000-0000-000056730000}"/>
    <cellStyle name="40% - Accent4 10 4 2 2" xfId="21540" xr:uid="{00000000-0005-0000-0000-000057730000}"/>
    <cellStyle name="40% - Accent4 10 4 2 2 2" xfId="44142" xr:uid="{00000000-0005-0000-0000-000058730000}"/>
    <cellStyle name="40% - Accent4 10 4 2 3" xfId="32841" xr:uid="{00000000-0005-0000-0000-000059730000}"/>
    <cellStyle name="40% - Accent4 10 4 3" xfId="15890" xr:uid="{00000000-0005-0000-0000-00005A730000}"/>
    <cellStyle name="40% - Accent4 10 4 3 2" xfId="38492" xr:uid="{00000000-0005-0000-0000-00005B730000}"/>
    <cellStyle name="40% - Accent4 10 4 4" xfId="27191" xr:uid="{00000000-0005-0000-0000-00005C730000}"/>
    <cellStyle name="40% - Accent4 10 5" xfId="6836" xr:uid="{00000000-0005-0000-0000-00005D730000}"/>
    <cellStyle name="40% - Accent4 10 5 2" xfId="18137" xr:uid="{00000000-0005-0000-0000-00005E730000}"/>
    <cellStyle name="40% - Accent4 10 5 2 2" xfId="40739" xr:uid="{00000000-0005-0000-0000-00005F730000}"/>
    <cellStyle name="40% - Accent4 10 5 3" xfId="29438" xr:uid="{00000000-0005-0000-0000-000060730000}"/>
    <cellStyle name="40% - Accent4 10 6" xfId="12487" xr:uid="{00000000-0005-0000-0000-000061730000}"/>
    <cellStyle name="40% - Accent4 10 6 2" xfId="35089" xr:uid="{00000000-0005-0000-0000-000062730000}"/>
    <cellStyle name="40% - Accent4 10 7" xfId="23788" xr:uid="{00000000-0005-0000-0000-000063730000}"/>
    <cellStyle name="40% - Accent4 11" xfId="717" xr:uid="{00000000-0005-0000-0000-000064730000}"/>
    <cellStyle name="40% - Accent4 11 2" xfId="1946" xr:uid="{00000000-0005-0000-0000-000065730000}"/>
    <cellStyle name="40% - Accent4 11 2 2" xfId="3774" xr:uid="{00000000-0005-0000-0000-000066730000}"/>
    <cellStyle name="40% - Accent4 11 2 2 2" xfId="9484" xr:uid="{00000000-0005-0000-0000-000067730000}"/>
    <cellStyle name="40% - Accent4 11 2 2 2 2" xfId="20785" xr:uid="{00000000-0005-0000-0000-000068730000}"/>
    <cellStyle name="40% - Accent4 11 2 2 2 2 2" xfId="43387" xr:uid="{00000000-0005-0000-0000-000069730000}"/>
    <cellStyle name="40% - Accent4 11 2 2 2 3" xfId="32086" xr:uid="{00000000-0005-0000-0000-00006A730000}"/>
    <cellStyle name="40% - Accent4 11 2 2 3" xfId="15135" xr:uid="{00000000-0005-0000-0000-00006B730000}"/>
    <cellStyle name="40% - Accent4 11 2 2 3 2" xfId="37737" xr:uid="{00000000-0005-0000-0000-00006C730000}"/>
    <cellStyle name="40% - Accent4 11 2 2 4" xfId="26436" xr:uid="{00000000-0005-0000-0000-00006D730000}"/>
    <cellStyle name="40% - Accent4 11 2 3" xfId="7802" xr:uid="{00000000-0005-0000-0000-00006E730000}"/>
    <cellStyle name="40% - Accent4 11 2 3 2" xfId="19103" xr:uid="{00000000-0005-0000-0000-00006F730000}"/>
    <cellStyle name="40% - Accent4 11 2 3 2 2" xfId="41705" xr:uid="{00000000-0005-0000-0000-000070730000}"/>
    <cellStyle name="40% - Accent4 11 2 3 3" xfId="30404" xr:uid="{00000000-0005-0000-0000-000071730000}"/>
    <cellStyle name="40% - Accent4 11 2 4" xfId="13453" xr:uid="{00000000-0005-0000-0000-000072730000}"/>
    <cellStyle name="40% - Accent4 11 2 4 2" xfId="36055" xr:uid="{00000000-0005-0000-0000-000073730000}"/>
    <cellStyle name="40% - Accent4 11 2 5" xfId="24754" xr:uid="{00000000-0005-0000-0000-000074730000}"/>
    <cellStyle name="40% - Accent4 11 3" xfId="2184" xr:uid="{00000000-0005-0000-0000-000075730000}"/>
    <cellStyle name="40% - Accent4 11 3 2" xfId="8028" xr:uid="{00000000-0005-0000-0000-000076730000}"/>
    <cellStyle name="40% - Accent4 11 3 2 2" xfId="19329" xr:uid="{00000000-0005-0000-0000-000077730000}"/>
    <cellStyle name="40% - Accent4 11 3 2 2 2" xfId="41931" xr:uid="{00000000-0005-0000-0000-000078730000}"/>
    <cellStyle name="40% - Accent4 11 3 2 3" xfId="30630" xr:uid="{00000000-0005-0000-0000-000079730000}"/>
    <cellStyle name="40% - Accent4 11 3 3" xfId="13679" xr:uid="{00000000-0005-0000-0000-00007A730000}"/>
    <cellStyle name="40% - Accent4 11 3 3 2" xfId="36281" xr:uid="{00000000-0005-0000-0000-00007B730000}"/>
    <cellStyle name="40% - Accent4 11 3 4" xfId="24980" xr:uid="{00000000-0005-0000-0000-00007C730000}"/>
    <cellStyle name="40% - Accent4 11 4" xfId="3980" xr:uid="{00000000-0005-0000-0000-00007D730000}"/>
    <cellStyle name="40% - Accent4 11 4 2" xfId="9630" xr:uid="{00000000-0005-0000-0000-00007E730000}"/>
    <cellStyle name="40% - Accent4 11 4 2 2" xfId="20931" xr:uid="{00000000-0005-0000-0000-00007F730000}"/>
    <cellStyle name="40% - Accent4 11 4 2 2 2" xfId="43533" xr:uid="{00000000-0005-0000-0000-000080730000}"/>
    <cellStyle name="40% - Accent4 11 4 2 3" xfId="32232" xr:uid="{00000000-0005-0000-0000-000081730000}"/>
    <cellStyle name="40% - Accent4 11 4 3" xfId="15281" xr:uid="{00000000-0005-0000-0000-000082730000}"/>
    <cellStyle name="40% - Accent4 11 4 3 2" xfId="37883" xr:uid="{00000000-0005-0000-0000-000083730000}"/>
    <cellStyle name="40% - Accent4 11 4 4" xfId="26582" xr:uid="{00000000-0005-0000-0000-000084730000}"/>
    <cellStyle name="40% - Accent4 11 5" xfId="6776" xr:uid="{00000000-0005-0000-0000-000085730000}"/>
    <cellStyle name="40% - Accent4 11 5 2" xfId="18077" xr:uid="{00000000-0005-0000-0000-000086730000}"/>
    <cellStyle name="40% - Accent4 11 5 2 2" xfId="40679" xr:uid="{00000000-0005-0000-0000-000087730000}"/>
    <cellStyle name="40% - Accent4 11 5 3" xfId="29378" xr:uid="{00000000-0005-0000-0000-000088730000}"/>
    <cellStyle name="40% - Accent4 11 6" xfId="12427" xr:uid="{00000000-0005-0000-0000-000089730000}"/>
    <cellStyle name="40% - Accent4 11 6 2" xfId="35029" xr:uid="{00000000-0005-0000-0000-00008A730000}"/>
    <cellStyle name="40% - Accent4 11 7" xfId="23728" xr:uid="{00000000-0005-0000-0000-00008B730000}"/>
    <cellStyle name="40% - Accent4 12" xfId="726" xr:uid="{00000000-0005-0000-0000-00008C730000}"/>
    <cellStyle name="40% - Accent4 12 2" xfId="3959" xr:uid="{00000000-0005-0000-0000-00008D730000}"/>
    <cellStyle name="40% - Accent4 12 2 2" xfId="9621" xr:uid="{00000000-0005-0000-0000-00008E730000}"/>
    <cellStyle name="40% - Accent4 12 2 2 2" xfId="20922" xr:uid="{00000000-0005-0000-0000-00008F730000}"/>
    <cellStyle name="40% - Accent4 12 2 2 2 2" xfId="43524" xr:uid="{00000000-0005-0000-0000-000090730000}"/>
    <cellStyle name="40% - Accent4 12 2 2 3" xfId="32223" xr:uid="{00000000-0005-0000-0000-000091730000}"/>
    <cellStyle name="40% - Accent4 12 2 3" xfId="15272" xr:uid="{00000000-0005-0000-0000-000092730000}"/>
    <cellStyle name="40% - Accent4 12 2 3 2" xfId="37874" xr:uid="{00000000-0005-0000-0000-000093730000}"/>
    <cellStyle name="40% - Accent4 12 2 4" xfId="26573" xr:uid="{00000000-0005-0000-0000-000094730000}"/>
    <cellStyle name="40% - Accent4 13" xfId="3588" xr:uid="{00000000-0005-0000-0000-000095730000}"/>
    <cellStyle name="40% - Accent4 14" xfId="115" xr:uid="{00000000-0005-0000-0000-000096730000}"/>
    <cellStyle name="40% - Accent4 2" xfId="55" xr:uid="{00000000-0005-0000-0000-000097730000}"/>
    <cellStyle name="40% - Accent4 2 2" xfId="376" xr:uid="{00000000-0005-0000-0000-000098730000}"/>
    <cellStyle name="40% - Accent4 2 2 10" xfId="23482" xr:uid="{00000000-0005-0000-0000-000099730000}"/>
    <cellStyle name="40% - Accent4 2 2 2" xfId="632" xr:uid="{00000000-0005-0000-0000-00009A730000}"/>
    <cellStyle name="40% - Accent4 2 2 2 2" xfId="1342" xr:uid="{00000000-0005-0000-0000-00009B730000}"/>
    <cellStyle name="40% - Accent4 2 2 2 2 2" xfId="1949" xr:uid="{00000000-0005-0000-0000-00009C730000}"/>
    <cellStyle name="40% - Accent4 2 2 2 2 2 2" xfId="3411" xr:uid="{00000000-0005-0000-0000-00009D730000}"/>
    <cellStyle name="40% - Accent4 2 2 2 2 2 2 2" xfId="6383" xr:uid="{00000000-0005-0000-0000-00009E730000}"/>
    <cellStyle name="40% - Accent4 2 2 2 2 2 2 2 2" xfId="12033" xr:uid="{00000000-0005-0000-0000-00009F730000}"/>
    <cellStyle name="40% - Accent4 2 2 2 2 2 2 2 2 2" xfId="23334" xr:uid="{00000000-0005-0000-0000-0000A0730000}"/>
    <cellStyle name="40% - Accent4 2 2 2 2 2 2 2 2 2 2" xfId="45936" xr:uid="{00000000-0005-0000-0000-0000A1730000}"/>
    <cellStyle name="40% - Accent4 2 2 2 2 2 2 2 2 3" xfId="34635" xr:uid="{00000000-0005-0000-0000-0000A2730000}"/>
    <cellStyle name="40% - Accent4 2 2 2 2 2 2 2 3" xfId="17684" xr:uid="{00000000-0005-0000-0000-0000A3730000}"/>
    <cellStyle name="40% - Accent4 2 2 2 2 2 2 2 3 2" xfId="40286" xr:uid="{00000000-0005-0000-0000-0000A4730000}"/>
    <cellStyle name="40% - Accent4 2 2 2 2 2 2 2 4" xfId="28985" xr:uid="{00000000-0005-0000-0000-0000A5730000}"/>
    <cellStyle name="40% - Accent4 2 2 2 2 2 2 3" xfId="9201" xr:uid="{00000000-0005-0000-0000-0000A6730000}"/>
    <cellStyle name="40% - Accent4 2 2 2 2 2 2 3 2" xfId="20502" xr:uid="{00000000-0005-0000-0000-0000A7730000}"/>
    <cellStyle name="40% - Accent4 2 2 2 2 2 2 3 2 2" xfId="43104" xr:uid="{00000000-0005-0000-0000-0000A8730000}"/>
    <cellStyle name="40% - Accent4 2 2 2 2 2 2 3 3" xfId="31803" xr:uid="{00000000-0005-0000-0000-0000A9730000}"/>
    <cellStyle name="40% - Accent4 2 2 2 2 2 2 4" xfId="14852" xr:uid="{00000000-0005-0000-0000-0000AA730000}"/>
    <cellStyle name="40% - Accent4 2 2 2 2 2 2 4 2" xfId="37454" xr:uid="{00000000-0005-0000-0000-0000AB730000}"/>
    <cellStyle name="40% - Accent4 2 2 2 2 2 2 5" xfId="26153" xr:uid="{00000000-0005-0000-0000-0000AC730000}"/>
    <cellStyle name="40% - Accent4 2 2 2 2 2 3" xfId="5149" xr:uid="{00000000-0005-0000-0000-0000AD730000}"/>
    <cellStyle name="40% - Accent4 2 2 2 2 2 3 2" xfId="10799" xr:uid="{00000000-0005-0000-0000-0000AE730000}"/>
    <cellStyle name="40% - Accent4 2 2 2 2 2 3 2 2" xfId="22100" xr:uid="{00000000-0005-0000-0000-0000AF730000}"/>
    <cellStyle name="40% - Accent4 2 2 2 2 2 3 2 2 2" xfId="44702" xr:uid="{00000000-0005-0000-0000-0000B0730000}"/>
    <cellStyle name="40% - Accent4 2 2 2 2 2 3 2 3" xfId="33401" xr:uid="{00000000-0005-0000-0000-0000B1730000}"/>
    <cellStyle name="40% - Accent4 2 2 2 2 2 3 3" xfId="16450" xr:uid="{00000000-0005-0000-0000-0000B2730000}"/>
    <cellStyle name="40% - Accent4 2 2 2 2 2 3 3 2" xfId="39052" xr:uid="{00000000-0005-0000-0000-0000B3730000}"/>
    <cellStyle name="40% - Accent4 2 2 2 2 2 3 4" xfId="27751" xr:uid="{00000000-0005-0000-0000-0000B4730000}"/>
    <cellStyle name="40% - Accent4 2 2 2 2 2 4" xfId="7805" xr:uid="{00000000-0005-0000-0000-0000B5730000}"/>
    <cellStyle name="40% - Accent4 2 2 2 2 2 4 2" xfId="19106" xr:uid="{00000000-0005-0000-0000-0000B6730000}"/>
    <cellStyle name="40% - Accent4 2 2 2 2 2 4 2 2" xfId="41708" xr:uid="{00000000-0005-0000-0000-0000B7730000}"/>
    <cellStyle name="40% - Accent4 2 2 2 2 2 4 3" xfId="30407" xr:uid="{00000000-0005-0000-0000-0000B8730000}"/>
    <cellStyle name="40% - Accent4 2 2 2 2 2 5" xfId="13456" xr:uid="{00000000-0005-0000-0000-0000B9730000}"/>
    <cellStyle name="40% - Accent4 2 2 2 2 2 5 2" xfId="36058" xr:uid="{00000000-0005-0000-0000-0000BA730000}"/>
    <cellStyle name="40% - Accent4 2 2 2 2 2 6" xfId="24757" xr:uid="{00000000-0005-0000-0000-0000BB730000}"/>
    <cellStyle name="40% - Accent4 2 2 2 2 3" xfId="2740" xr:uid="{00000000-0005-0000-0000-0000BC730000}"/>
    <cellStyle name="40% - Accent4 2 2 2 2 3 2" xfId="5759" xr:uid="{00000000-0005-0000-0000-0000BD730000}"/>
    <cellStyle name="40% - Accent4 2 2 2 2 3 2 2" xfId="11409" xr:uid="{00000000-0005-0000-0000-0000BE730000}"/>
    <cellStyle name="40% - Accent4 2 2 2 2 3 2 2 2" xfId="22710" xr:uid="{00000000-0005-0000-0000-0000BF730000}"/>
    <cellStyle name="40% - Accent4 2 2 2 2 3 2 2 2 2" xfId="45312" xr:uid="{00000000-0005-0000-0000-0000C0730000}"/>
    <cellStyle name="40% - Accent4 2 2 2 2 3 2 2 3" xfId="34011" xr:uid="{00000000-0005-0000-0000-0000C1730000}"/>
    <cellStyle name="40% - Accent4 2 2 2 2 3 2 3" xfId="17060" xr:uid="{00000000-0005-0000-0000-0000C2730000}"/>
    <cellStyle name="40% - Accent4 2 2 2 2 3 2 3 2" xfId="39662" xr:uid="{00000000-0005-0000-0000-0000C3730000}"/>
    <cellStyle name="40% - Accent4 2 2 2 2 3 2 4" xfId="28361" xr:uid="{00000000-0005-0000-0000-0000C4730000}"/>
    <cellStyle name="40% - Accent4 2 2 2 2 3 3" xfId="8576" xr:uid="{00000000-0005-0000-0000-0000C5730000}"/>
    <cellStyle name="40% - Accent4 2 2 2 2 3 3 2" xfId="19877" xr:uid="{00000000-0005-0000-0000-0000C6730000}"/>
    <cellStyle name="40% - Accent4 2 2 2 2 3 3 2 2" xfId="42479" xr:uid="{00000000-0005-0000-0000-0000C7730000}"/>
    <cellStyle name="40% - Accent4 2 2 2 2 3 3 3" xfId="31178" xr:uid="{00000000-0005-0000-0000-0000C8730000}"/>
    <cellStyle name="40% - Accent4 2 2 2 2 3 4" xfId="14227" xr:uid="{00000000-0005-0000-0000-0000C9730000}"/>
    <cellStyle name="40% - Accent4 2 2 2 2 3 4 2" xfId="36829" xr:uid="{00000000-0005-0000-0000-0000CA730000}"/>
    <cellStyle name="40% - Accent4 2 2 2 2 3 5" xfId="25528" xr:uid="{00000000-0005-0000-0000-0000CB730000}"/>
    <cellStyle name="40% - Accent4 2 2 2 2 4" xfId="4525" xr:uid="{00000000-0005-0000-0000-0000CC730000}"/>
    <cellStyle name="40% - Accent4 2 2 2 2 4 2" xfId="10175" xr:uid="{00000000-0005-0000-0000-0000CD730000}"/>
    <cellStyle name="40% - Accent4 2 2 2 2 4 2 2" xfId="21476" xr:uid="{00000000-0005-0000-0000-0000CE730000}"/>
    <cellStyle name="40% - Accent4 2 2 2 2 4 2 2 2" xfId="44078" xr:uid="{00000000-0005-0000-0000-0000CF730000}"/>
    <cellStyle name="40% - Accent4 2 2 2 2 4 2 3" xfId="32777" xr:uid="{00000000-0005-0000-0000-0000D0730000}"/>
    <cellStyle name="40% - Accent4 2 2 2 2 4 3" xfId="15826" xr:uid="{00000000-0005-0000-0000-0000D1730000}"/>
    <cellStyle name="40% - Accent4 2 2 2 2 4 3 2" xfId="38428" xr:uid="{00000000-0005-0000-0000-0000D2730000}"/>
    <cellStyle name="40% - Accent4 2 2 2 2 4 4" xfId="27127" xr:uid="{00000000-0005-0000-0000-0000D3730000}"/>
    <cellStyle name="40% - Accent4 2 2 2 2 5" xfId="7321" xr:uid="{00000000-0005-0000-0000-0000D4730000}"/>
    <cellStyle name="40% - Accent4 2 2 2 2 5 2" xfId="18622" xr:uid="{00000000-0005-0000-0000-0000D5730000}"/>
    <cellStyle name="40% - Accent4 2 2 2 2 5 2 2" xfId="41224" xr:uid="{00000000-0005-0000-0000-0000D6730000}"/>
    <cellStyle name="40% - Accent4 2 2 2 2 5 3" xfId="29923" xr:uid="{00000000-0005-0000-0000-0000D7730000}"/>
    <cellStyle name="40% - Accent4 2 2 2 2 6" xfId="12972" xr:uid="{00000000-0005-0000-0000-0000D8730000}"/>
    <cellStyle name="40% - Accent4 2 2 2 2 6 2" xfId="35574" xr:uid="{00000000-0005-0000-0000-0000D9730000}"/>
    <cellStyle name="40% - Accent4 2 2 2 2 7" xfId="24273" xr:uid="{00000000-0005-0000-0000-0000DA730000}"/>
    <cellStyle name="40% - Accent4 2 2 2 3" xfId="1040" xr:uid="{00000000-0005-0000-0000-0000DB730000}"/>
    <cellStyle name="40% - Accent4 2 2 2 3 2" xfId="3103" xr:uid="{00000000-0005-0000-0000-0000DC730000}"/>
    <cellStyle name="40% - Accent4 2 2 2 3 2 2" xfId="6075" xr:uid="{00000000-0005-0000-0000-0000DD730000}"/>
    <cellStyle name="40% - Accent4 2 2 2 3 2 2 2" xfId="11725" xr:uid="{00000000-0005-0000-0000-0000DE730000}"/>
    <cellStyle name="40% - Accent4 2 2 2 3 2 2 2 2" xfId="23026" xr:uid="{00000000-0005-0000-0000-0000DF730000}"/>
    <cellStyle name="40% - Accent4 2 2 2 3 2 2 2 2 2" xfId="45628" xr:uid="{00000000-0005-0000-0000-0000E0730000}"/>
    <cellStyle name="40% - Accent4 2 2 2 3 2 2 2 3" xfId="34327" xr:uid="{00000000-0005-0000-0000-0000E1730000}"/>
    <cellStyle name="40% - Accent4 2 2 2 3 2 2 3" xfId="17376" xr:uid="{00000000-0005-0000-0000-0000E2730000}"/>
    <cellStyle name="40% - Accent4 2 2 2 3 2 2 3 2" xfId="39978" xr:uid="{00000000-0005-0000-0000-0000E3730000}"/>
    <cellStyle name="40% - Accent4 2 2 2 3 2 2 4" xfId="28677" xr:uid="{00000000-0005-0000-0000-0000E4730000}"/>
    <cellStyle name="40% - Accent4 2 2 2 3 2 3" xfId="8893" xr:uid="{00000000-0005-0000-0000-0000E5730000}"/>
    <cellStyle name="40% - Accent4 2 2 2 3 2 3 2" xfId="20194" xr:uid="{00000000-0005-0000-0000-0000E6730000}"/>
    <cellStyle name="40% - Accent4 2 2 2 3 2 3 2 2" xfId="42796" xr:uid="{00000000-0005-0000-0000-0000E7730000}"/>
    <cellStyle name="40% - Accent4 2 2 2 3 2 3 3" xfId="31495" xr:uid="{00000000-0005-0000-0000-0000E8730000}"/>
    <cellStyle name="40% - Accent4 2 2 2 3 2 4" xfId="14544" xr:uid="{00000000-0005-0000-0000-0000E9730000}"/>
    <cellStyle name="40% - Accent4 2 2 2 3 2 4 2" xfId="37146" xr:uid="{00000000-0005-0000-0000-0000EA730000}"/>
    <cellStyle name="40% - Accent4 2 2 2 3 2 5" xfId="25845" xr:uid="{00000000-0005-0000-0000-0000EB730000}"/>
    <cellStyle name="40% - Accent4 2 2 2 3 3" xfId="4841" xr:uid="{00000000-0005-0000-0000-0000EC730000}"/>
    <cellStyle name="40% - Accent4 2 2 2 3 3 2" xfId="10491" xr:uid="{00000000-0005-0000-0000-0000ED730000}"/>
    <cellStyle name="40% - Accent4 2 2 2 3 3 2 2" xfId="21792" xr:uid="{00000000-0005-0000-0000-0000EE730000}"/>
    <cellStyle name="40% - Accent4 2 2 2 3 3 2 2 2" xfId="44394" xr:uid="{00000000-0005-0000-0000-0000EF730000}"/>
    <cellStyle name="40% - Accent4 2 2 2 3 3 2 3" xfId="33093" xr:uid="{00000000-0005-0000-0000-0000F0730000}"/>
    <cellStyle name="40% - Accent4 2 2 2 3 3 3" xfId="16142" xr:uid="{00000000-0005-0000-0000-0000F1730000}"/>
    <cellStyle name="40% - Accent4 2 2 2 3 3 3 2" xfId="38744" xr:uid="{00000000-0005-0000-0000-0000F2730000}"/>
    <cellStyle name="40% - Accent4 2 2 2 3 3 4" xfId="27443" xr:uid="{00000000-0005-0000-0000-0000F3730000}"/>
    <cellStyle name="40% - Accent4 2 2 2 3 4" xfId="7028" xr:uid="{00000000-0005-0000-0000-0000F4730000}"/>
    <cellStyle name="40% - Accent4 2 2 2 3 4 2" xfId="18329" xr:uid="{00000000-0005-0000-0000-0000F5730000}"/>
    <cellStyle name="40% - Accent4 2 2 2 3 4 2 2" xfId="40931" xr:uid="{00000000-0005-0000-0000-0000F6730000}"/>
    <cellStyle name="40% - Accent4 2 2 2 3 4 3" xfId="29630" xr:uid="{00000000-0005-0000-0000-0000F7730000}"/>
    <cellStyle name="40% - Accent4 2 2 2 3 5" xfId="12679" xr:uid="{00000000-0005-0000-0000-0000F8730000}"/>
    <cellStyle name="40% - Accent4 2 2 2 3 5 2" xfId="35281" xr:uid="{00000000-0005-0000-0000-0000F9730000}"/>
    <cellStyle name="40% - Accent4 2 2 2 3 6" xfId="23980" xr:uid="{00000000-0005-0000-0000-0000FA730000}"/>
    <cellStyle name="40% - Accent4 2 2 2 4" xfId="1948" xr:uid="{00000000-0005-0000-0000-0000FB730000}"/>
    <cellStyle name="40% - Accent4 2 2 2 4 2" xfId="3776" xr:uid="{00000000-0005-0000-0000-0000FC730000}"/>
    <cellStyle name="40% - Accent4 2 2 2 4 2 2" xfId="9486" xr:uid="{00000000-0005-0000-0000-0000FD730000}"/>
    <cellStyle name="40% - Accent4 2 2 2 4 2 2 2" xfId="20787" xr:uid="{00000000-0005-0000-0000-0000FE730000}"/>
    <cellStyle name="40% - Accent4 2 2 2 4 2 2 2 2" xfId="43389" xr:uid="{00000000-0005-0000-0000-0000FF730000}"/>
    <cellStyle name="40% - Accent4 2 2 2 4 2 2 3" xfId="32088" xr:uid="{00000000-0005-0000-0000-000000740000}"/>
    <cellStyle name="40% - Accent4 2 2 2 4 2 3" xfId="15137" xr:uid="{00000000-0005-0000-0000-000001740000}"/>
    <cellStyle name="40% - Accent4 2 2 2 4 2 3 2" xfId="37739" xr:uid="{00000000-0005-0000-0000-000002740000}"/>
    <cellStyle name="40% - Accent4 2 2 2 4 2 4" xfId="26438" xr:uid="{00000000-0005-0000-0000-000003740000}"/>
    <cellStyle name="40% - Accent4 2 2 2 4 3" xfId="5451" xr:uid="{00000000-0005-0000-0000-000004740000}"/>
    <cellStyle name="40% - Accent4 2 2 2 4 3 2" xfId="11101" xr:uid="{00000000-0005-0000-0000-000005740000}"/>
    <cellStyle name="40% - Accent4 2 2 2 4 3 2 2" xfId="22402" xr:uid="{00000000-0005-0000-0000-000006740000}"/>
    <cellStyle name="40% - Accent4 2 2 2 4 3 2 2 2" xfId="45004" xr:uid="{00000000-0005-0000-0000-000007740000}"/>
    <cellStyle name="40% - Accent4 2 2 2 4 3 2 3" xfId="33703" xr:uid="{00000000-0005-0000-0000-000008740000}"/>
    <cellStyle name="40% - Accent4 2 2 2 4 3 3" xfId="16752" xr:uid="{00000000-0005-0000-0000-000009740000}"/>
    <cellStyle name="40% - Accent4 2 2 2 4 3 3 2" xfId="39354" xr:uid="{00000000-0005-0000-0000-00000A740000}"/>
    <cellStyle name="40% - Accent4 2 2 2 4 3 4" xfId="28053" xr:uid="{00000000-0005-0000-0000-00000B740000}"/>
    <cellStyle name="40% - Accent4 2 2 2 4 4" xfId="7804" xr:uid="{00000000-0005-0000-0000-00000C740000}"/>
    <cellStyle name="40% - Accent4 2 2 2 4 4 2" xfId="19105" xr:uid="{00000000-0005-0000-0000-00000D740000}"/>
    <cellStyle name="40% - Accent4 2 2 2 4 4 2 2" xfId="41707" xr:uid="{00000000-0005-0000-0000-00000E740000}"/>
    <cellStyle name="40% - Accent4 2 2 2 4 4 3" xfId="30406" xr:uid="{00000000-0005-0000-0000-00000F740000}"/>
    <cellStyle name="40% - Accent4 2 2 2 4 5" xfId="13455" xr:uid="{00000000-0005-0000-0000-000010740000}"/>
    <cellStyle name="40% - Accent4 2 2 2 4 5 2" xfId="36057" xr:uid="{00000000-0005-0000-0000-000011740000}"/>
    <cellStyle name="40% - Accent4 2 2 2 4 6" xfId="24756" xr:uid="{00000000-0005-0000-0000-000012740000}"/>
    <cellStyle name="40% - Accent4 2 2 2 5" xfId="2432" xr:uid="{00000000-0005-0000-0000-000013740000}"/>
    <cellStyle name="40% - Accent4 2 2 2 5 2" xfId="8268" xr:uid="{00000000-0005-0000-0000-000014740000}"/>
    <cellStyle name="40% - Accent4 2 2 2 5 2 2" xfId="19569" xr:uid="{00000000-0005-0000-0000-000015740000}"/>
    <cellStyle name="40% - Accent4 2 2 2 5 2 2 2" xfId="42171" xr:uid="{00000000-0005-0000-0000-000016740000}"/>
    <cellStyle name="40% - Accent4 2 2 2 5 2 3" xfId="30870" xr:uid="{00000000-0005-0000-0000-000017740000}"/>
    <cellStyle name="40% - Accent4 2 2 2 5 3" xfId="13919" xr:uid="{00000000-0005-0000-0000-000018740000}"/>
    <cellStyle name="40% - Accent4 2 2 2 5 3 2" xfId="36521" xr:uid="{00000000-0005-0000-0000-000019740000}"/>
    <cellStyle name="40% - Accent4 2 2 2 5 4" xfId="25220" xr:uid="{00000000-0005-0000-0000-00001A740000}"/>
    <cellStyle name="40% - Accent4 2 2 2 6" xfId="4217" xr:uid="{00000000-0005-0000-0000-00001B740000}"/>
    <cellStyle name="40% - Accent4 2 2 2 6 2" xfId="9867" xr:uid="{00000000-0005-0000-0000-00001C740000}"/>
    <cellStyle name="40% - Accent4 2 2 2 6 2 2" xfId="21168" xr:uid="{00000000-0005-0000-0000-00001D740000}"/>
    <cellStyle name="40% - Accent4 2 2 2 6 2 2 2" xfId="43770" xr:uid="{00000000-0005-0000-0000-00001E740000}"/>
    <cellStyle name="40% - Accent4 2 2 2 6 2 3" xfId="32469" xr:uid="{00000000-0005-0000-0000-00001F740000}"/>
    <cellStyle name="40% - Accent4 2 2 2 6 3" xfId="15518" xr:uid="{00000000-0005-0000-0000-000020740000}"/>
    <cellStyle name="40% - Accent4 2 2 2 6 3 2" xfId="38120" xr:uid="{00000000-0005-0000-0000-000021740000}"/>
    <cellStyle name="40% - Accent4 2 2 2 6 4" xfId="26819" xr:uid="{00000000-0005-0000-0000-000022740000}"/>
    <cellStyle name="40% - Accent4 2 2 2 7" xfId="6697" xr:uid="{00000000-0005-0000-0000-000023740000}"/>
    <cellStyle name="40% - Accent4 2 2 2 7 2" xfId="17998" xr:uid="{00000000-0005-0000-0000-000024740000}"/>
    <cellStyle name="40% - Accent4 2 2 2 7 2 2" xfId="40600" xr:uid="{00000000-0005-0000-0000-000025740000}"/>
    <cellStyle name="40% - Accent4 2 2 2 7 3" xfId="29299" xr:uid="{00000000-0005-0000-0000-000026740000}"/>
    <cellStyle name="40% - Accent4 2 2 2 8" xfId="12348" xr:uid="{00000000-0005-0000-0000-000027740000}"/>
    <cellStyle name="40% - Accent4 2 2 2 8 2" xfId="34950" xr:uid="{00000000-0005-0000-0000-000028740000}"/>
    <cellStyle name="40% - Accent4 2 2 2 9" xfId="23649" xr:uid="{00000000-0005-0000-0000-000029740000}"/>
    <cellStyle name="40% - Accent4 2 2 3" xfId="1204" xr:uid="{00000000-0005-0000-0000-00002A740000}"/>
    <cellStyle name="40% - Accent4 2 2 3 2" xfId="1950" xr:uid="{00000000-0005-0000-0000-00002B740000}"/>
    <cellStyle name="40% - Accent4 2 2 3 2 2" xfId="3272" xr:uid="{00000000-0005-0000-0000-00002C740000}"/>
    <cellStyle name="40% - Accent4 2 2 3 2 2 2" xfId="6244" xr:uid="{00000000-0005-0000-0000-00002D740000}"/>
    <cellStyle name="40% - Accent4 2 2 3 2 2 2 2" xfId="11894" xr:uid="{00000000-0005-0000-0000-00002E740000}"/>
    <cellStyle name="40% - Accent4 2 2 3 2 2 2 2 2" xfId="23195" xr:uid="{00000000-0005-0000-0000-00002F740000}"/>
    <cellStyle name="40% - Accent4 2 2 3 2 2 2 2 2 2" xfId="45797" xr:uid="{00000000-0005-0000-0000-000030740000}"/>
    <cellStyle name="40% - Accent4 2 2 3 2 2 2 2 3" xfId="34496" xr:uid="{00000000-0005-0000-0000-000031740000}"/>
    <cellStyle name="40% - Accent4 2 2 3 2 2 2 3" xfId="17545" xr:uid="{00000000-0005-0000-0000-000032740000}"/>
    <cellStyle name="40% - Accent4 2 2 3 2 2 2 3 2" xfId="40147" xr:uid="{00000000-0005-0000-0000-000033740000}"/>
    <cellStyle name="40% - Accent4 2 2 3 2 2 2 4" xfId="28846" xr:uid="{00000000-0005-0000-0000-000034740000}"/>
    <cellStyle name="40% - Accent4 2 2 3 2 2 3" xfId="9062" xr:uid="{00000000-0005-0000-0000-000035740000}"/>
    <cellStyle name="40% - Accent4 2 2 3 2 2 3 2" xfId="20363" xr:uid="{00000000-0005-0000-0000-000036740000}"/>
    <cellStyle name="40% - Accent4 2 2 3 2 2 3 2 2" xfId="42965" xr:uid="{00000000-0005-0000-0000-000037740000}"/>
    <cellStyle name="40% - Accent4 2 2 3 2 2 3 3" xfId="31664" xr:uid="{00000000-0005-0000-0000-000038740000}"/>
    <cellStyle name="40% - Accent4 2 2 3 2 2 4" xfId="14713" xr:uid="{00000000-0005-0000-0000-000039740000}"/>
    <cellStyle name="40% - Accent4 2 2 3 2 2 4 2" xfId="37315" xr:uid="{00000000-0005-0000-0000-00003A740000}"/>
    <cellStyle name="40% - Accent4 2 2 3 2 2 5" xfId="26014" xr:uid="{00000000-0005-0000-0000-00003B740000}"/>
    <cellStyle name="40% - Accent4 2 2 3 2 3" xfId="5010" xr:uid="{00000000-0005-0000-0000-00003C740000}"/>
    <cellStyle name="40% - Accent4 2 2 3 2 3 2" xfId="10660" xr:uid="{00000000-0005-0000-0000-00003D740000}"/>
    <cellStyle name="40% - Accent4 2 2 3 2 3 2 2" xfId="21961" xr:uid="{00000000-0005-0000-0000-00003E740000}"/>
    <cellStyle name="40% - Accent4 2 2 3 2 3 2 2 2" xfId="44563" xr:uid="{00000000-0005-0000-0000-00003F740000}"/>
    <cellStyle name="40% - Accent4 2 2 3 2 3 2 3" xfId="33262" xr:uid="{00000000-0005-0000-0000-000040740000}"/>
    <cellStyle name="40% - Accent4 2 2 3 2 3 3" xfId="16311" xr:uid="{00000000-0005-0000-0000-000041740000}"/>
    <cellStyle name="40% - Accent4 2 2 3 2 3 3 2" xfId="38913" xr:uid="{00000000-0005-0000-0000-000042740000}"/>
    <cellStyle name="40% - Accent4 2 2 3 2 3 4" xfId="27612" xr:uid="{00000000-0005-0000-0000-000043740000}"/>
    <cellStyle name="40% - Accent4 2 2 3 2 4" xfId="7806" xr:uid="{00000000-0005-0000-0000-000044740000}"/>
    <cellStyle name="40% - Accent4 2 2 3 2 4 2" xfId="19107" xr:uid="{00000000-0005-0000-0000-000045740000}"/>
    <cellStyle name="40% - Accent4 2 2 3 2 4 2 2" xfId="41709" xr:uid="{00000000-0005-0000-0000-000046740000}"/>
    <cellStyle name="40% - Accent4 2 2 3 2 4 3" xfId="30408" xr:uid="{00000000-0005-0000-0000-000047740000}"/>
    <cellStyle name="40% - Accent4 2 2 3 2 5" xfId="13457" xr:uid="{00000000-0005-0000-0000-000048740000}"/>
    <cellStyle name="40% - Accent4 2 2 3 2 5 2" xfId="36059" xr:uid="{00000000-0005-0000-0000-000049740000}"/>
    <cellStyle name="40% - Accent4 2 2 3 2 6" xfId="24758" xr:uid="{00000000-0005-0000-0000-00004A740000}"/>
    <cellStyle name="40% - Accent4 2 2 3 3" xfId="2601" xr:uid="{00000000-0005-0000-0000-00004B740000}"/>
    <cellStyle name="40% - Accent4 2 2 3 3 2" xfId="5620" xr:uid="{00000000-0005-0000-0000-00004C740000}"/>
    <cellStyle name="40% - Accent4 2 2 3 3 2 2" xfId="11270" xr:uid="{00000000-0005-0000-0000-00004D740000}"/>
    <cellStyle name="40% - Accent4 2 2 3 3 2 2 2" xfId="22571" xr:uid="{00000000-0005-0000-0000-00004E740000}"/>
    <cellStyle name="40% - Accent4 2 2 3 3 2 2 2 2" xfId="45173" xr:uid="{00000000-0005-0000-0000-00004F740000}"/>
    <cellStyle name="40% - Accent4 2 2 3 3 2 2 3" xfId="33872" xr:uid="{00000000-0005-0000-0000-000050740000}"/>
    <cellStyle name="40% - Accent4 2 2 3 3 2 3" xfId="16921" xr:uid="{00000000-0005-0000-0000-000051740000}"/>
    <cellStyle name="40% - Accent4 2 2 3 3 2 3 2" xfId="39523" xr:uid="{00000000-0005-0000-0000-000052740000}"/>
    <cellStyle name="40% - Accent4 2 2 3 3 2 4" xfId="28222" xr:uid="{00000000-0005-0000-0000-000053740000}"/>
    <cellStyle name="40% - Accent4 2 2 3 3 3" xfId="8437" xr:uid="{00000000-0005-0000-0000-000054740000}"/>
    <cellStyle name="40% - Accent4 2 2 3 3 3 2" xfId="19738" xr:uid="{00000000-0005-0000-0000-000055740000}"/>
    <cellStyle name="40% - Accent4 2 2 3 3 3 2 2" xfId="42340" xr:uid="{00000000-0005-0000-0000-000056740000}"/>
    <cellStyle name="40% - Accent4 2 2 3 3 3 3" xfId="31039" xr:uid="{00000000-0005-0000-0000-000057740000}"/>
    <cellStyle name="40% - Accent4 2 2 3 3 4" xfId="14088" xr:uid="{00000000-0005-0000-0000-000058740000}"/>
    <cellStyle name="40% - Accent4 2 2 3 3 4 2" xfId="36690" xr:uid="{00000000-0005-0000-0000-000059740000}"/>
    <cellStyle name="40% - Accent4 2 2 3 3 5" xfId="25389" xr:uid="{00000000-0005-0000-0000-00005A740000}"/>
    <cellStyle name="40% - Accent4 2 2 3 4" xfId="4386" xr:uid="{00000000-0005-0000-0000-00005B740000}"/>
    <cellStyle name="40% - Accent4 2 2 3 4 2" xfId="10036" xr:uid="{00000000-0005-0000-0000-00005C740000}"/>
    <cellStyle name="40% - Accent4 2 2 3 4 2 2" xfId="21337" xr:uid="{00000000-0005-0000-0000-00005D740000}"/>
    <cellStyle name="40% - Accent4 2 2 3 4 2 2 2" xfId="43939" xr:uid="{00000000-0005-0000-0000-00005E740000}"/>
    <cellStyle name="40% - Accent4 2 2 3 4 2 3" xfId="32638" xr:uid="{00000000-0005-0000-0000-00005F740000}"/>
    <cellStyle name="40% - Accent4 2 2 3 4 3" xfId="15687" xr:uid="{00000000-0005-0000-0000-000060740000}"/>
    <cellStyle name="40% - Accent4 2 2 3 4 3 2" xfId="38289" xr:uid="{00000000-0005-0000-0000-000061740000}"/>
    <cellStyle name="40% - Accent4 2 2 3 4 4" xfId="26988" xr:uid="{00000000-0005-0000-0000-000062740000}"/>
    <cellStyle name="40% - Accent4 2 2 3 5" xfId="7183" xr:uid="{00000000-0005-0000-0000-000063740000}"/>
    <cellStyle name="40% - Accent4 2 2 3 5 2" xfId="18484" xr:uid="{00000000-0005-0000-0000-000064740000}"/>
    <cellStyle name="40% - Accent4 2 2 3 5 2 2" xfId="41086" xr:uid="{00000000-0005-0000-0000-000065740000}"/>
    <cellStyle name="40% - Accent4 2 2 3 5 3" xfId="29785" xr:uid="{00000000-0005-0000-0000-000066740000}"/>
    <cellStyle name="40% - Accent4 2 2 3 6" xfId="12834" xr:uid="{00000000-0005-0000-0000-000067740000}"/>
    <cellStyle name="40% - Accent4 2 2 3 6 2" xfId="35436" xr:uid="{00000000-0005-0000-0000-000068740000}"/>
    <cellStyle name="40% - Accent4 2 2 3 7" xfId="24135" xr:uid="{00000000-0005-0000-0000-000069740000}"/>
    <cellStyle name="40% - Accent4 2 2 4" xfId="894" xr:uid="{00000000-0005-0000-0000-00006A740000}"/>
    <cellStyle name="40% - Accent4 2 2 4 2" xfId="2965" xr:uid="{00000000-0005-0000-0000-00006B740000}"/>
    <cellStyle name="40% - Accent4 2 2 4 2 2" xfId="5937" xr:uid="{00000000-0005-0000-0000-00006C740000}"/>
    <cellStyle name="40% - Accent4 2 2 4 2 2 2" xfId="11587" xr:uid="{00000000-0005-0000-0000-00006D740000}"/>
    <cellStyle name="40% - Accent4 2 2 4 2 2 2 2" xfId="22888" xr:uid="{00000000-0005-0000-0000-00006E740000}"/>
    <cellStyle name="40% - Accent4 2 2 4 2 2 2 2 2" xfId="45490" xr:uid="{00000000-0005-0000-0000-00006F740000}"/>
    <cellStyle name="40% - Accent4 2 2 4 2 2 2 3" xfId="34189" xr:uid="{00000000-0005-0000-0000-000070740000}"/>
    <cellStyle name="40% - Accent4 2 2 4 2 2 3" xfId="17238" xr:uid="{00000000-0005-0000-0000-000071740000}"/>
    <cellStyle name="40% - Accent4 2 2 4 2 2 3 2" xfId="39840" xr:uid="{00000000-0005-0000-0000-000072740000}"/>
    <cellStyle name="40% - Accent4 2 2 4 2 2 4" xfId="28539" xr:uid="{00000000-0005-0000-0000-000073740000}"/>
    <cellStyle name="40% - Accent4 2 2 4 2 3" xfId="8755" xr:uid="{00000000-0005-0000-0000-000074740000}"/>
    <cellStyle name="40% - Accent4 2 2 4 2 3 2" xfId="20056" xr:uid="{00000000-0005-0000-0000-000075740000}"/>
    <cellStyle name="40% - Accent4 2 2 4 2 3 2 2" xfId="42658" xr:uid="{00000000-0005-0000-0000-000076740000}"/>
    <cellStyle name="40% - Accent4 2 2 4 2 3 3" xfId="31357" xr:uid="{00000000-0005-0000-0000-000077740000}"/>
    <cellStyle name="40% - Accent4 2 2 4 2 4" xfId="14406" xr:uid="{00000000-0005-0000-0000-000078740000}"/>
    <cellStyle name="40% - Accent4 2 2 4 2 4 2" xfId="37008" xr:uid="{00000000-0005-0000-0000-000079740000}"/>
    <cellStyle name="40% - Accent4 2 2 4 2 5" xfId="25707" xr:uid="{00000000-0005-0000-0000-00007A740000}"/>
    <cellStyle name="40% - Accent4 2 2 4 3" xfId="4703" xr:uid="{00000000-0005-0000-0000-00007B740000}"/>
    <cellStyle name="40% - Accent4 2 2 4 3 2" xfId="10353" xr:uid="{00000000-0005-0000-0000-00007C740000}"/>
    <cellStyle name="40% - Accent4 2 2 4 3 2 2" xfId="21654" xr:uid="{00000000-0005-0000-0000-00007D740000}"/>
    <cellStyle name="40% - Accent4 2 2 4 3 2 2 2" xfId="44256" xr:uid="{00000000-0005-0000-0000-00007E740000}"/>
    <cellStyle name="40% - Accent4 2 2 4 3 2 3" xfId="32955" xr:uid="{00000000-0005-0000-0000-00007F740000}"/>
    <cellStyle name="40% - Accent4 2 2 4 3 3" xfId="16004" xr:uid="{00000000-0005-0000-0000-000080740000}"/>
    <cellStyle name="40% - Accent4 2 2 4 3 3 2" xfId="38606" xr:uid="{00000000-0005-0000-0000-000081740000}"/>
    <cellStyle name="40% - Accent4 2 2 4 3 4" xfId="27305" xr:uid="{00000000-0005-0000-0000-000082740000}"/>
    <cellStyle name="40% - Accent4 2 2 4 4" xfId="6890" xr:uid="{00000000-0005-0000-0000-000083740000}"/>
    <cellStyle name="40% - Accent4 2 2 4 4 2" xfId="18191" xr:uid="{00000000-0005-0000-0000-000084740000}"/>
    <cellStyle name="40% - Accent4 2 2 4 4 2 2" xfId="40793" xr:uid="{00000000-0005-0000-0000-000085740000}"/>
    <cellStyle name="40% - Accent4 2 2 4 4 3" xfId="29492" xr:uid="{00000000-0005-0000-0000-000086740000}"/>
    <cellStyle name="40% - Accent4 2 2 4 5" xfId="12541" xr:uid="{00000000-0005-0000-0000-000087740000}"/>
    <cellStyle name="40% - Accent4 2 2 4 5 2" xfId="35143" xr:uid="{00000000-0005-0000-0000-000088740000}"/>
    <cellStyle name="40% - Accent4 2 2 4 6" xfId="23842" xr:uid="{00000000-0005-0000-0000-000089740000}"/>
    <cellStyle name="40% - Accent4 2 2 5" xfId="1947" xr:uid="{00000000-0005-0000-0000-00008A740000}"/>
    <cellStyle name="40% - Accent4 2 2 5 2" xfId="3775" xr:uid="{00000000-0005-0000-0000-00008B740000}"/>
    <cellStyle name="40% - Accent4 2 2 5 2 2" xfId="9485" xr:uid="{00000000-0005-0000-0000-00008C740000}"/>
    <cellStyle name="40% - Accent4 2 2 5 2 2 2" xfId="20786" xr:uid="{00000000-0005-0000-0000-00008D740000}"/>
    <cellStyle name="40% - Accent4 2 2 5 2 2 2 2" xfId="43388" xr:uid="{00000000-0005-0000-0000-00008E740000}"/>
    <cellStyle name="40% - Accent4 2 2 5 2 2 3" xfId="32087" xr:uid="{00000000-0005-0000-0000-00008F740000}"/>
    <cellStyle name="40% - Accent4 2 2 5 2 3" xfId="15136" xr:uid="{00000000-0005-0000-0000-000090740000}"/>
    <cellStyle name="40% - Accent4 2 2 5 2 3 2" xfId="37738" xr:uid="{00000000-0005-0000-0000-000091740000}"/>
    <cellStyle name="40% - Accent4 2 2 5 2 4" xfId="26437" xr:uid="{00000000-0005-0000-0000-000092740000}"/>
    <cellStyle name="40% - Accent4 2 2 5 3" xfId="5313" xr:uid="{00000000-0005-0000-0000-000093740000}"/>
    <cellStyle name="40% - Accent4 2 2 5 3 2" xfId="10963" xr:uid="{00000000-0005-0000-0000-000094740000}"/>
    <cellStyle name="40% - Accent4 2 2 5 3 2 2" xfId="22264" xr:uid="{00000000-0005-0000-0000-000095740000}"/>
    <cellStyle name="40% - Accent4 2 2 5 3 2 2 2" xfId="44866" xr:uid="{00000000-0005-0000-0000-000096740000}"/>
    <cellStyle name="40% - Accent4 2 2 5 3 2 3" xfId="33565" xr:uid="{00000000-0005-0000-0000-000097740000}"/>
    <cellStyle name="40% - Accent4 2 2 5 3 3" xfId="16614" xr:uid="{00000000-0005-0000-0000-000098740000}"/>
    <cellStyle name="40% - Accent4 2 2 5 3 3 2" xfId="39216" xr:uid="{00000000-0005-0000-0000-000099740000}"/>
    <cellStyle name="40% - Accent4 2 2 5 3 4" xfId="27915" xr:uid="{00000000-0005-0000-0000-00009A740000}"/>
    <cellStyle name="40% - Accent4 2 2 5 4" xfId="7803" xr:uid="{00000000-0005-0000-0000-00009B740000}"/>
    <cellStyle name="40% - Accent4 2 2 5 4 2" xfId="19104" xr:uid="{00000000-0005-0000-0000-00009C740000}"/>
    <cellStyle name="40% - Accent4 2 2 5 4 2 2" xfId="41706" xr:uid="{00000000-0005-0000-0000-00009D740000}"/>
    <cellStyle name="40% - Accent4 2 2 5 4 3" xfId="30405" xr:uid="{00000000-0005-0000-0000-00009E740000}"/>
    <cellStyle name="40% - Accent4 2 2 5 5" xfId="13454" xr:uid="{00000000-0005-0000-0000-00009F740000}"/>
    <cellStyle name="40% - Accent4 2 2 5 5 2" xfId="36056" xr:uid="{00000000-0005-0000-0000-0000A0740000}"/>
    <cellStyle name="40% - Accent4 2 2 5 6" xfId="24755" xr:uid="{00000000-0005-0000-0000-0000A1740000}"/>
    <cellStyle name="40% - Accent4 2 2 6" xfId="2292" xr:uid="{00000000-0005-0000-0000-0000A2740000}"/>
    <cellStyle name="40% - Accent4 2 2 6 2" xfId="8128" xr:uid="{00000000-0005-0000-0000-0000A3740000}"/>
    <cellStyle name="40% - Accent4 2 2 6 2 2" xfId="19429" xr:uid="{00000000-0005-0000-0000-0000A4740000}"/>
    <cellStyle name="40% - Accent4 2 2 6 2 2 2" xfId="42031" xr:uid="{00000000-0005-0000-0000-0000A5740000}"/>
    <cellStyle name="40% - Accent4 2 2 6 2 3" xfId="30730" xr:uid="{00000000-0005-0000-0000-0000A6740000}"/>
    <cellStyle name="40% - Accent4 2 2 6 3" xfId="13779" xr:uid="{00000000-0005-0000-0000-0000A7740000}"/>
    <cellStyle name="40% - Accent4 2 2 6 3 2" xfId="36381" xr:uid="{00000000-0005-0000-0000-0000A8740000}"/>
    <cellStyle name="40% - Accent4 2 2 6 4" xfId="25080" xr:uid="{00000000-0005-0000-0000-0000A9740000}"/>
    <cellStyle name="40% - Accent4 2 2 7" xfId="4079" xr:uid="{00000000-0005-0000-0000-0000AA740000}"/>
    <cellStyle name="40% - Accent4 2 2 7 2" xfId="9729" xr:uid="{00000000-0005-0000-0000-0000AB740000}"/>
    <cellStyle name="40% - Accent4 2 2 7 2 2" xfId="21030" xr:uid="{00000000-0005-0000-0000-0000AC740000}"/>
    <cellStyle name="40% - Accent4 2 2 7 2 2 2" xfId="43632" xr:uid="{00000000-0005-0000-0000-0000AD740000}"/>
    <cellStyle name="40% - Accent4 2 2 7 2 3" xfId="32331" xr:uid="{00000000-0005-0000-0000-0000AE740000}"/>
    <cellStyle name="40% - Accent4 2 2 7 3" xfId="15380" xr:uid="{00000000-0005-0000-0000-0000AF740000}"/>
    <cellStyle name="40% - Accent4 2 2 7 3 2" xfId="37982" xr:uid="{00000000-0005-0000-0000-0000B0740000}"/>
    <cellStyle name="40% - Accent4 2 2 7 4" xfId="26681" xr:uid="{00000000-0005-0000-0000-0000B1740000}"/>
    <cellStyle name="40% - Accent4 2 2 8" xfId="6530" xr:uid="{00000000-0005-0000-0000-0000B2740000}"/>
    <cellStyle name="40% - Accent4 2 2 8 2" xfId="17831" xr:uid="{00000000-0005-0000-0000-0000B3740000}"/>
    <cellStyle name="40% - Accent4 2 2 8 2 2" xfId="40433" xr:uid="{00000000-0005-0000-0000-0000B4740000}"/>
    <cellStyle name="40% - Accent4 2 2 8 3" xfId="29132" xr:uid="{00000000-0005-0000-0000-0000B5740000}"/>
    <cellStyle name="40% - Accent4 2 2 9" xfId="12181" xr:uid="{00000000-0005-0000-0000-0000B6740000}"/>
    <cellStyle name="40% - Accent4 2 2 9 2" xfId="34783" xr:uid="{00000000-0005-0000-0000-0000B7740000}"/>
    <cellStyle name="40% - Accent4 2 3" xfId="2822" xr:uid="{00000000-0005-0000-0000-0000B8740000}"/>
    <cellStyle name="40% - Accent4 2 3 2" xfId="3923" xr:uid="{00000000-0005-0000-0000-0000B9740000}"/>
    <cellStyle name="40% - Accent4 2 3 2 2" xfId="5837" xr:uid="{00000000-0005-0000-0000-0000BA740000}"/>
    <cellStyle name="40% - Accent4 2 3 2 2 2" xfId="11487" xr:uid="{00000000-0005-0000-0000-0000BB740000}"/>
    <cellStyle name="40% - Accent4 2 3 2 2 2 2" xfId="22788" xr:uid="{00000000-0005-0000-0000-0000BC740000}"/>
    <cellStyle name="40% - Accent4 2 3 2 2 2 2 2" xfId="45390" xr:uid="{00000000-0005-0000-0000-0000BD740000}"/>
    <cellStyle name="40% - Accent4 2 3 2 2 2 3" xfId="34089" xr:uid="{00000000-0005-0000-0000-0000BE740000}"/>
    <cellStyle name="40% - Accent4 2 3 2 2 3" xfId="17138" xr:uid="{00000000-0005-0000-0000-0000BF740000}"/>
    <cellStyle name="40% - Accent4 2 3 2 2 3 2" xfId="39740" xr:uid="{00000000-0005-0000-0000-0000C0740000}"/>
    <cellStyle name="40% - Accent4 2 3 2 2 4" xfId="28439" xr:uid="{00000000-0005-0000-0000-0000C1740000}"/>
    <cellStyle name="40% - Accent4 2 3 2 3" xfId="9610" xr:uid="{00000000-0005-0000-0000-0000C2740000}"/>
    <cellStyle name="40% - Accent4 2 3 2 3 2" xfId="20911" xr:uid="{00000000-0005-0000-0000-0000C3740000}"/>
    <cellStyle name="40% - Accent4 2 3 2 3 2 2" xfId="43513" xr:uid="{00000000-0005-0000-0000-0000C4740000}"/>
    <cellStyle name="40% - Accent4 2 3 2 3 3" xfId="32212" xr:uid="{00000000-0005-0000-0000-0000C5740000}"/>
    <cellStyle name="40% - Accent4 2 3 2 4" xfId="15261" xr:uid="{00000000-0005-0000-0000-0000C6740000}"/>
    <cellStyle name="40% - Accent4 2 3 2 4 2" xfId="37863" xr:uid="{00000000-0005-0000-0000-0000C7740000}"/>
    <cellStyle name="40% - Accent4 2 3 2 5" xfId="26562" xr:uid="{00000000-0005-0000-0000-0000C8740000}"/>
    <cellStyle name="40% - Accent4 2 3 3" xfId="4603" xr:uid="{00000000-0005-0000-0000-0000C9740000}"/>
    <cellStyle name="40% - Accent4 2 3 3 2" xfId="10253" xr:uid="{00000000-0005-0000-0000-0000CA740000}"/>
    <cellStyle name="40% - Accent4 2 3 3 2 2" xfId="21554" xr:uid="{00000000-0005-0000-0000-0000CB740000}"/>
    <cellStyle name="40% - Accent4 2 3 3 2 2 2" xfId="44156" xr:uid="{00000000-0005-0000-0000-0000CC740000}"/>
    <cellStyle name="40% - Accent4 2 3 3 2 3" xfId="32855" xr:uid="{00000000-0005-0000-0000-0000CD740000}"/>
    <cellStyle name="40% - Accent4 2 3 3 3" xfId="15904" xr:uid="{00000000-0005-0000-0000-0000CE740000}"/>
    <cellStyle name="40% - Accent4 2 3 3 3 2" xfId="38506" xr:uid="{00000000-0005-0000-0000-0000CF740000}"/>
    <cellStyle name="40% - Accent4 2 3 3 4" xfId="27205" xr:uid="{00000000-0005-0000-0000-0000D0740000}"/>
    <cellStyle name="40% - Accent4 2 3 4" xfId="8655" xr:uid="{00000000-0005-0000-0000-0000D1740000}"/>
    <cellStyle name="40% - Accent4 2 3 4 2" xfId="19956" xr:uid="{00000000-0005-0000-0000-0000D2740000}"/>
    <cellStyle name="40% - Accent4 2 3 4 2 2" xfId="42558" xr:uid="{00000000-0005-0000-0000-0000D3740000}"/>
    <cellStyle name="40% - Accent4 2 3 4 3" xfId="31257" xr:uid="{00000000-0005-0000-0000-0000D4740000}"/>
    <cellStyle name="40% - Accent4 2 3 5" xfId="14306" xr:uid="{00000000-0005-0000-0000-0000D5740000}"/>
    <cellStyle name="40% - Accent4 2 3 5 2" xfId="36908" xr:uid="{00000000-0005-0000-0000-0000D6740000}"/>
    <cellStyle name="40% - Accent4 2 3 6" xfId="25607" xr:uid="{00000000-0005-0000-0000-0000D7740000}"/>
    <cellStyle name="40% - Accent4 2 4" xfId="2833" xr:uid="{00000000-0005-0000-0000-0000D8740000}"/>
    <cellStyle name="40% - Accent4 2 5" xfId="3943" xr:uid="{00000000-0005-0000-0000-0000D9740000}"/>
    <cellStyle name="40% - Accent4 2 5 2" xfId="9615" xr:uid="{00000000-0005-0000-0000-0000DA740000}"/>
    <cellStyle name="40% - Accent4 2 5 2 2" xfId="20916" xr:uid="{00000000-0005-0000-0000-0000DB740000}"/>
    <cellStyle name="40% - Accent4 2 5 2 2 2" xfId="43518" xr:uid="{00000000-0005-0000-0000-0000DC740000}"/>
    <cellStyle name="40% - Accent4 2 5 2 3" xfId="32217" xr:uid="{00000000-0005-0000-0000-0000DD740000}"/>
    <cellStyle name="40% - Accent4 2 5 3" xfId="15266" xr:uid="{00000000-0005-0000-0000-0000DE740000}"/>
    <cellStyle name="40% - Accent4 2 5 3 2" xfId="37868" xr:uid="{00000000-0005-0000-0000-0000DF740000}"/>
    <cellStyle name="40% - Accent4 2 5 4" xfId="26567" xr:uid="{00000000-0005-0000-0000-0000E0740000}"/>
    <cellStyle name="40% - Accent4 2 6" xfId="3570" xr:uid="{00000000-0005-0000-0000-0000E1740000}"/>
    <cellStyle name="40% - Accent4 2 7" xfId="153" xr:uid="{00000000-0005-0000-0000-0000E2740000}"/>
    <cellStyle name="40% - Accent4 3" xfId="223" xr:uid="{00000000-0005-0000-0000-0000E3740000}"/>
    <cellStyle name="40% - Accent4 3 2" xfId="350" xr:uid="{00000000-0005-0000-0000-0000E4740000}"/>
    <cellStyle name="40% - Accent4 3 2 10" xfId="23460" xr:uid="{00000000-0005-0000-0000-0000E5740000}"/>
    <cellStyle name="40% - Accent4 3 2 2" xfId="610" xr:uid="{00000000-0005-0000-0000-0000E6740000}"/>
    <cellStyle name="40% - Accent4 3 2 2 2" xfId="1320" xr:uid="{00000000-0005-0000-0000-0000E7740000}"/>
    <cellStyle name="40% - Accent4 3 2 2 2 2" xfId="1953" xr:uid="{00000000-0005-0000-0000-0000E8740000}"/>
    <cellStyle name="40% - Accent4 3 2 2 2 2 2" xfId="3389" xr:uid="{00000000-0005-0000-0000-0000E9740000}"/>
    <cellStyle name="40% - Accent4 3 2 2 2 2 2 2" xfId="6361" xr:uid="{00000000-0005-0000-0000-0000EA740000}"/>
    <cellStyle name="40% - Accent4 3 2 2 2 2 2 2 2" xfId="12011" xr:uid="{00000000-0005-0000-0000-0000EB740000}"/>
    <cellStyle name="40% - Accent4 3 2 2 2 2 2 2 2 2" xfId="23312" xr:uid="{00000000-0005-0000-0000-0000EC740000}"/>
    <cellStyle name="40% - Accent4 3 2 2 2 2 2 2 2 2 2" xfId="45914" xr:uid="{00000000-0005-0000-0000-0000ED740000}"/>
    <cellStyle name="40% - Accent4 3 2 2 2 2 2 2 2 3" xfId="34613" xr:uid="{00000000-0005-0000-0000-0000EE740000}"/>
    <cellStyle name="40% - Accent4 3 2 2 2 2 2 2 3" xfId="17662" xr:uid="{00000000-0005-0000-0000-0000EF740000}"/>
    <cellStyle name="40% - Accent4 3 2 2 2 2 2 2 3 2" xfId="40264" xr:uid="{00000000-0005-0000-0000-0000F0740000}"/>
    <cellStyle name="40% - Accent4 3 2 2 2 2 2 2 4" xfId="28963" xr:uid="{00000000-0005-0000-0000-0000F1740000}"/>
    <cellStyle name="40% - Accent4 3 2 2 2 2 2 3" xfId="9179" xr:uid="{00000000-0005-0000-0000-0000F2740000}"/>
    <cellStyle name="40% - Accent4 3 2 2 2 2 2 3 2" xfId="20480" xr:uid="{00000000-0005-0000-0000-0000F3740000}"/>
    <cellStyle name="40% - Accent4 3 2 2 2 2 2 3 2 2" xfId="43082" xr:uid="{00000000-0005-0000-0000-0000F4740000}"/>
    <cellStyle name="40% - Accent4 3 2 2 2 2 2 3 3" xfId="31781" xr:uid="{00000000-0005-0000-0000-0000F5740000}"/>
    <cellStyle name="40% - Accent4 3 2 2 2 2 2 4" xfId="14830" xr:uid="{00000000-0005-0000-0000-0000F6740000}"/>
    <cellStyle name="40% - Accent4 3 2 2 2 2 2 4 2" xfId="37432" xr:uid="{00000000-0005-0000-0000-0000F7740000}"/>
    <cellStyle name="40% - Accent4 3 2 2 2 2 2 5" xfId="26131" xr:uid="{00000000-0005-0000-0000-0000F8740000}"/>
    <cellStyle name="40% - Accent4 3 2 2 2 2 3" xfId="5127" xr:uid="{00000000-0005-0000-0000-0000F9740000}"/>
    <cellStyle name="40% - Accent4 3 2 2 2 2 3 2" xfId="10777" xr:uid="{00000000-0005-0000-0000-0000FA740000}"/>
    <cellStyle name="40% - Accent4 3 2 2 2 2 3 2 2" xfId="22078" xr:uid="{00000000-0005-0000-0000-0000FB740000}"/>
    <cellStyle name="40% - Accent4 3 2 2 2 2 3 2 2 2" xfId="44680" xr:uid="{00000000-0005-0000-0000-0000FC740000}"/>
    <cellStyle name="40% - Accent4 3 2 2 2 2 3 2 3" xfId="33379" xr:uid="{00000000-0005-0000-0000-0000FD740000}"/>
    <cellStyle name="40% - Accent4 3 2 2 2 2 3 3" xfId="16428" xr:uid="{00000000-0005-0000-0000-0000FE740000}"/>
    <cellStyle name="40% - Accent4 3 2 2 2 2 3 3 2" xfId="39030" xr:uid="{00000000-0005-0000-0000-0000FF740000}"/>
    <cellStyle name="40% - Accent4 3 2 2 2 2 3 4" xfId="27729" xr:uid="{00000000-0005-0000-0000-000000750000}"/>
    <cellStyle name="40% - Accent4 3 2 2 2 2 4" xfId="7809" xr:uid="{00000000-0005-0000-0000-000001750000}"/>
    <cellStyle name="40% - Accent4 3 2 2 2 2 4 2" xfId="19110" xr:uid="{00000000-0005-0000-0000-000002750000}"/>
    <cellStyle name="40% - Accent4 3 2 2 2 2 4 2 2" xfId="41712" xr:uid="{00000000-0005-0000-0000-000003750000}"/>
    <cellStyle name="40% - Accent4 3 2 2 2 2 4 3" xfId="30411" xr:uid="{00000000-0005-0000-0000-000004750000}"/>
    <cellStyle name="40% - Accent4 3 2 2 2 2 5" xfId="13460" xr:uid="{00000000-0005-0000-0000-000005750000}"/>
    <cellStyle name="40% - Accent4 3 2 2 2 2 5 2" xfId="36062" xr:uid="{00000000-0005-0000-0000-000006750000}"/>
    <cellStyle name="40% - Accent4 3 2 2 2 2 6" xfId="24761" xr:uid="{00000000-0005-0000-0000-000007750000}"/>
    <cellStyle name="40% - Accent4 3 2 2 2 3" xfId="2718" xr:uid="{00000000-0005-0000-0000-000008750000}"/>
    <cellStyle name="40% - Accent4 3 2 2 2 3 2" xfId="5737" xr:uid="{00000000-0005-0000-0000-000009750000}"/>
    <cellStyle name="40% - Accent4 3 2 2 2 3 2 2" xfId="11387" xr:uid="{00000000-0005-0000-0000-00000A750000}"/>
    <cellStyle name="40% - Accent4 3 2 2 2 3 2 2 2" xfId="22688" xr:uid="{00000000-0005-0000-0000-00000B750000}"/>
    <cellStyle name="40% - Accent4 3 2 2 2 3 2 2 2 2" xfId="45290" xr:uid="{00000000-0005-0000-0000-00000C750000}"/>
    <cellStyle name="40% - Accent4 3 2 2 2 3 2 2 3" xfId="33989" xr:uid="{00000000-0005-0000-0000-00000D750000}"/>
    <cellStyle name="40% - Accent4 3 2 2 2 3 2 3" xfId="17038" xr:uid="{00000000-0005-0000-0000-00000E750000}"/>
    <cellStyle name="40% - Accent4 3 2 2 2 3 2 3 2" xfId="39640" xr:uid="{00000000-0005-0000-0000-00000F750000}"/>
    <cellStyle name="40% - Accent4 3 2 2 2 3 2 4" xfId="28339" xr:uid="{00000000-0005-0000-0000-000010750000}"/>
    <cellStyle name="40% - Accent4 3 2 2 2 3 3" xfId="8554" xr:uid="{00000000-0005-0000-0000-000011750000}"/>
    <cellStyle name="40% - Accent4 3 2 2 2 3 3 2" xfId="19855" xr:uid="{00000000-0005-0000-0000-000012750000}"/>
    <cellStyle name="40% - Accent4 3 2 2 2 3 3 2 2" xfId="42457" xr:uid="{00000000-0005-0000-0000-000013750000}"/>
    <cellStyle name="40% - Accent4 3 2 2 2 3 3 3" xfId="31156" xr:uid="{00000000-0005-0000-0000-000014750000}"/>
    <cellStyle name="40% - Accent4 3 2 2 2 3 4" xfId="14205" xr:uid="{00000000-0005-0000-0000-000015750000}"/>
    <cellStyle name="40% - Accent4 3 2 2 2 3 4 2" xfId="36807" xr:uid="{00000000-0005-0000-0000-000016750000}"/>
    <cellStyle name="40% - Accent4 3 2 2 2 3 5" xfId="25506" xr:uid="{00000000-0005-0000-0000-000017750000}"/>
    <cellStyle name="40% - Accent4 3 2 2 2 4" xfId="4503" xr:uid="{00000000-0005-0000-0000-000018750000}"/>
    <cellStyle name="40% - Accent4 3 2 2 2 4 2" xfId="10153" xr:uid="{00000000-0005-0000-0000-000019750000}"/>
    <cellStyle name="40% - Accent4 3 2 2 2 4 2 2" xfId="21454" xr:uid="{00000000-0005-0000-0000-00001A750000}"/>
    <cellStyle name="40% - Accent4 3 2 2 2 4 2 2 2" xfId="44056" xr:uid="{00000000-0005-0000-0000-00001B750000}"/>
    <cellStyle name="40% - Accent4 3 2 2 2 4 2 3" xfId="32755" xr:uid="{00000000-0005-0000-0000-00001C750000}"/>
    <cellStyle name="40% - Accent4 3 2 2 2 4 3" xfId="15804" xr:uid="{00000000-0005-0000-0000-00001D750000}"/>
    <cellStyle name="40% - Accent4 3 2 2 2 4 3 2" xfId="38406" xr:uid="{00000000-0005-0000-0000-00001E750000}"/>
    <cellStyle name="40% - Accent4 3 2 2 2 4 4" xfId="27105" xr:uid="{00000000-0005-0000-0000-00001F750000}"/>
    <cellStyle name="40% - Accent4 3 2 2 2 5" xfId="7299" xr:uid="{00000000-0005-0000-0000-000020750000}"/>
    <cellStyle name="40% - Accent4 3 2 2 2 5 2" xfId="18600" xr:uid="{00000000-0005-0000-0000-000021750000}"/>
    <cellStyle name="40% - Accent4 3 2 2 2 5 2 2" xfId="41202" xr:uid="{00000000-0005-0000-0000-000022750000}"/>
    <cellStyle name="40% - Accent4 3 2 2 2 5 3" xfId="29901" xr:uid="{00000000-0005-0000-0000-000023750000}"/>
    <cellStyle name="40% - Accent4 3 2 2 2 6" xfId="12950" xr:uid="{00000000-0005-0000-0000-000024750000}"/>
    <cellStyle name="40% - Accent4 3 2 2 2 6 2" xfId="35552" xr:uid="{00000000-0005-0000-0000-000025750000}"/>
    <cellStyle name="40% - Accent4 3 2 2 2 7" xfId="24251" xr:uid="{00000000-0005-0000-0000-000026750000}"/>
    <cellStyle name="40% - Accent4 3 2 2 3" xfId="1018" xr:uid="{00000000-0005-0000-0000-000027750000}"/>
    <cellStyle name="40% - Accent4 3 2 2 3 2" xfId="3081" xr:uid="{00000000-0005-0000-0000-000028750000}"/>
    <cellStyle name="40% - Accent4 3 2 2 3 2 2" xfId="6053" xr:uid="{00000000-0005-0000-0000-000029750000}"/>
    <cellStyle name="40% - Accent4 3 2 2 3 2 2 2" xfId="11703" xr:uid="{00000000-0005-0000-0000-00002A750000}"/>
    <cellStyle name="40% - Accent4 3 2 2 3 2 2 2 2" xfId="23004" xr:uid="{00000000-0005-0000-0000-00002B750000}"/>
    <cellStyle name="40% - Accent4 3 2 2 3 2 2 2 2 2" xfId="45606" xr:uid="{00000000-0005-0000-0000-00002C750000}"/>
    <cellStyle name="40% - Accent4 3 2 2 3 2 2 2 3" xfId="34305" xr:uid="{00000000-0005-0000-0000-00002D750000}"/>
    <cellStyle name="40% - Accent4 3 2 2 3 2 2 3" xfId="17354" xr:uid="{00000000-0005-0000-0000-00002E750000}"/>
    <cellStyle name="40% - Accent4 3 2 2 3 2 2 3 2" xfId="39956" xr:uid="{00000000-0005-0000-0000-00002F750000}"/>
    <cellStyle name="40% - Accent4 3 2 2 3 2 2 4" xfId="28655" xr:uid="{00000000-0005-0000-0000-000030750000}"/>
    <cellStyle name="40% - Accent4 3 2 2 3 2 3" xfId="8871" xr:uid="{00000000-0005-0000-0000-000031750000}"/>
    <cellStyle name="40% - Accent4 3 2 2 3 2 3 2" xfId="20172" xr:uid="{00000000-0005-0000-0000-000032750000}"/>
    <cellStyle name="40% - Accent4 3 2 2 3 2 3 2 2" xfId="42774" xr:uid="{00000000-0005-0000-0000-000033750000}"/>
    <cellStyle name="40% - Accent4 3 2 2 3 2 3 3" xfId="31473" xr:uid="{00000000-0005-0000-0000-000034750000}"/>
    <cellStyle name="40% - Accent4 3 2 2 3 2 4" xfId="14522" xr:uid="{00000000-0005-0000-0000-000035750000}"/>
    <cellStyle name="40% - Accent4 3 2 2 3 2 4 2" xfId="37124" xr:uid="{00000000-0005-0000-0000-000036750000}"/>
    <cellStyle name="40% - Accent4 3 2 2 3 2 5" xfId="25823" xr:uid="{00000000-0005-0000-0000-000037750000}"/>
    <cellStyle name="40% - Accent4 3 2 2 3 3" xfId="4819" xr:uid="{00000000-0005-0000-0000-000038750000}"/>
    <cellStyle name="40% - Accent4 3 2 2 3 3 2" xfId="10469" xr:uid="{00000000-0005-0000-0000-000039750000}"/>
    <cellStyle name="40% - Accent4 3 2 2 3 3 2 2" xfId="21770" xr:uid="{00000000-0005-0000-0000-00003A750000}"/>
    <cellStyle name="40% - Accent4 3 2 2 3 3 2 2 2" xfId="44372" xr:uid="{00000000-0005-0000-0000-00003B750000}"/>
    <cellStyle name="40% - Accent4 3 2 2 3 3 2 3" xfId="33071" xr:uid="{00000000-0005-0000-0000-00003C750000}"/>
    <cellStyle name="40% - Accent4 3 2 2 3 3 3" xfId="16120" xr:uid="{00000000-0005-0000-0000-00003D750000}"/>
    <cellStyle name="40% - Accent4 3 2 2 3 3 3 2" xfId="38722" xr:uid="{00000000-0005-0000-0000-00003E750000}"/>
    <cellStyle name="40% - Accent4 3 2 2 3 3 4" xfId="27421" xr:uid="{00000000-0005-0000-0000-00003F750000}"/>
    <cellStyle name="40% - Accent4 3 2 2 3 4" xfId="7006" xr:uid="{00000000-0005-0000-0000-000040750000}"/>
    <cellStyle name="40% - Accent4 3 2 2 3 4 2" xfId="18307" xr:uid="{00000000-0005-0000-0000-000041750000}"/>
    <cellStyle name="40% - Accent4 3 2 2 3 4 2 2" xfId="40909" xr:uid="{00000000-0005-0000-0000-000042750000}"/>
    <cellStyle name="40% - Accent4 3 2 2 3 4 3" xfId="29608" xr:uid="{00000000-0005-0000-0000-000043750000}"/>
    <cellStyle name="40% - Accent4 3 2 2 3 5" xfId="12657" xr:uid="{00000000-0005-0000-0000-000044750000}"/>
    <cellStyle name="40% - Accent4 3 2 2 3 5 2" xfId="35259" xr:uid="{00000000-0005-0000-0000-000045750000}"/>
    <cellStyle name="40% - Accent4 3 2 2 3 6" xfId="23958" xr:uid="{00000000-0005-0000-0000-000046750000}"/>
    <cellStyle name="40% - Accent4 3 2 2 4" xfId="1952" xr:uid="{00000000-0005-0000-0000-000047750000}"/>
    <cellStyle name="40% - Accent4 3 2 2 4 2" xfId="3778" xr:uid="{00000000-0005-0000-0000-000048750000}"/>
    <cellStyle name="40% - Accent4 3 2 2 4 2 2" xfId="9488" xr:uid="{00000000-0005-0000-0000-000049750000}"/>
    <cellStyle name="40% - Accent4 3 2 2 4 2 2 2" xfId="20789" xr:uid="{00000000-0005-0000-0000-00004A750000}"/>
    <cellStyle name="40% - Accent4 3 2 2 4 2 2 2 2" xfId="43391" xr:uid="{00000000-0005-0000-0000-00004B750000}"/>
    <cellStyle name="40% - Accent4 3 2 2 4 2 2 3" xfId="32090" xr:uid="{00000000-0005-0000-0000-00004C750000}"/>
    <cellStyle name="40% - Accent4 3 2 2 4 2 3" xfId="15139" xr:uid="{00000000-0005-0000-0000-00004D750000}"/>
    <cellStyle name="40% - Accent4 3 2 2 4 2 3 2" xfId="37741" xr:uid="{00000000-0005-0000-0000-00004E750000}"/>
    <cellStyle name="40% - Accent4 3 2 2 4 2 4" xfId="26440" xr:uid="{00000000-0005-0000-0000-00004F750000}"/>
    <cellStyle name="40% - Accent4 3 2 2 4 3" xfId="5429" xr:uid="{00000000-0005-0000-0000-000050750000}"/>
    <cellStyle name="40% - Accent4 3 2 2 4 3 2" xfId="11079" xr:uid="{00000000-0005-0000-0000-000051750000}"/>
    <cellStyle name="40% - Accent4 3 2 2 4 3 2 2" xfId="22380" xr:uid="{00000000-0005-0000-0000-000052750000}"/>
    <cellStyle name="40% - Accent4 3 2 2 4 3 2 2 2" xfId="44982" xr:uid="{00000000-0005-0000-0000-000053750000}"/>
    <cellStyle name="40% - Accent4 3 2 2 4 3 2 3" xfId="33681" xr:uid="{00000000-0005-0000-0000-000054750000}"/>
    <cellStyle name="40% - Accent4 3 2 2 4 3 3" xfId="16730" xr:uid="{00000000-0005-0000-0000-000055750000}"/>
    <cellStyle name="40% - Accent4 3 2 2 4 3 3 2" xfId="39332" xr:uid="{00000000-0005-0000-0000-000056750000}"/>
    <cellStyle name="40% - Accent4 3 2 2 4 3 4" xfId="28031" xr:uid="{00000000-0005-0000-0000-000057750000}"/>
    <cellStyle name="40% - Accent4 3 2 2 4 4" xfId="7808" xr:uid="{00000000-0005-0000-0000-000058750000}"/>
    <cellStyle name="40% - Accent4 3 2 2 4 4 2" xfId="19109" xr:uid="{00000000-0005-0000-0000-000059750000}"/>
    <cellStyle name="40% - Accent4 3 2 2 4 4 2 2" xfId="41711" xr:uid="{00000000-0005-0000-0000-00005A750000}"/>
    <cellStyle name="40% - Accent4 3 2 2 4 4 3" xfId="30410" xr:uid="{00000000-0005-0000-0000-00005B750000}"/>
    <cellStyle name="40% - Accent4 3 2 2 4 5" xfId="13459" xr:uid="{00000000-0005-0000-0000-00005C750000}"/>
    <cellStyle name="40% - Accent4 3 2 2 4 5 2" xfId="36061" xr:uid="{00000000-0005-0000-0000-00005D750000}"/>
    <cellStyle name="40% - Accent4 3 2 2 4 6" xfId="24760" xr:uid="{00000000-0005-0000-0000-00005E750000}"/>
    <cellStyle name="40% - Accent4 3 2 2 5" xfId="2410" xr:uid="{00000000-0005-0000-0000-00005F750000}"/>
    <cellStyle name="40% - Accent4 3 2 2 5 2" xfId="8246" xr:uid="{00000000-0005-0000-0000-000060750000}"/>
    <cellStyle name="40% - Accent4 3 2 2 5 2 2" xfId="19547" xr:uid="{00000000-0005-0000-0000-000061750000}"/>
    <cellStyle name="40% - Accent4 3 2 2 5 2 2 2" xfId="42149" xr:uid="{00000000-0005-0000-0000-000062750000}"/>
    <cellStyle name="40% - Accent4 3 2 2 5 2 3" xfId="30848" xr:uid="{00000000-0005-0000-0000-000063750000}"/>
    <cellStyle name="40% - Accent4 3 2 2 5 3" xfId="13897" xr:uid="{00000000-0005-0000-0000-000064750000}"/>
    <cellStyle name="40% - Accent4 3 2 2 5 3 2" xfId="36499" xr:uid="{00000000-0005-0000-0000-000065750000}"/>
    <cellStyle name="40% - Accent4 3 2 2 5 4" xfId="25198" xr:uid="{00000000-0005-0000-0000-000066750000}"/>
    <cellStyle name="40% - Accent4 3 2 2 6" xfId="4195" xr:uid="{00000000-0005-0000-0000-000067750000}"/>
    <cellStyle name="40% - Accent4 3 2 2 6 2" xfId="9845" xr:uid="{00000000-0005-0000-0000-000068750000}"/>
    <cellStyle name="40% - Accent4 3 2 2 6 2 2" xfId="21146" xr:uid="{00000000-0005-0000-0000-000069750000}"/>
    <cellStyle name="40% - Accent4 3 2 2 6 2 2 2" xfId="43748" xr:uid="{00000000-0005-0000-0000-00006A750000}"/>
    <cellStyle name="40% - Accent4 3 2 2 6 2 3" xfId="32447" xr:uid="{00000000-0005-0000-0000-00006B750000}"/>
    <cellStyle name="40% - Accent4 3 2 2 6 3" xfId="15496" xr:uid="{00000000-0005-0000-0000-00006C750000}"/>
    <cellStyle name="40% - Accent4 3 2 2 6 3 2" xfId="38098" xr:uid="{00000000-0005-0000-0000-00006D750000}"/>
    <cellStyle name="40% - Accent4 3 2 2 6 4" xfId="26797" xr:uid="{00000000-0005-0000-0000-00006E750000}"/>
    <cellStyle name="40% - Accent4 3 2 2 7" xfId="6675" xr:uid="{00000000-0005-0000-0000-00006F750000}"/>
    <cellStyle name="40% - Accent4 3 2 2 7 2" xfId="17976" xr:uid="{00000000-0005-0000-0000-000070750000}"/>
    <cellStyle name="40% - Accent4 3 2 2 7 2 2" xfId="40578" xr:uid="{00000000-0005-0000-0000-000071750000}"/>
    <cellStyle name="40% - Accent4 3 2 2 7 3" xfId="29277" xr:uid="{00000000-0005-0000-0000-000072750000}"/>
    <cellStyle name="40% - Accent4 3 2 2 8" xfId="12326" xr:uid="{00000000-0005-0000-0000-000073750000}"/>
    <cellStyle name="40% - Accent4 3 2 2 8 2" xfId="34928" xr:uid="{00000000-0005-0000-0000-000074750000}"/>
    <cellStyle name="40% - Accent4 3 2 2 9" xfId="23627" xr:uid="{00000000-0005-0000-0000-000075750000}"/>
    <cellStyle name="40% - Accent4 3 2 3" xfId="1182" xr:uid="{00000000-0005-0000-0000-000076750000}"/>
    <cellStyle name="40% - Accent4 3 2 3 2" xfId="1954" xr:uid="{00000000-0005-0000-0000-000077750000}"/>
    <cellStyle name="40% - Accent4 3 2 3 2 2" xfId="3250" xr:uid="{00000000-0005-0000-0000-000078750000}"/>
    <cellStyle name="40% - Accent4 3 2 3 2 2 2" xfId="6222" xr:uid="{00000000-0005-0000-0000-000079750000}"/>
    <cellStyle name="40% - Accent4 3 2 3 2 2 2 2" xfId="11872" xr:uid="{00000000-0005-0000-0000-00007A750000}"/>
    <cellStyle name="40% - Accent4 3 2 3 2 2 2 2 2" xfId="23173" xr:uid="{00000000-0005-0000-0000-00007B750000}"/>
    <cellStyle name="40% - Accent4 3 2 3 2 2 2 2 2 2" xfId="45775" xr:uid="{00000000-0005-0000-0000-00007C750000}"/>
    <cellStyle name="40% - Accent4 3 2 3 2 2 2 2 3" xfId="34474" xr:uid="{00000000-0005-0000-0000-00007D750000}"/>
    <cellStyle name="40% - Accent4 3 2 3 2 2 2 3" xfId="17523" xr:uid="{00000000-0005-0000-0000-00007E750000}"/>
    <cellStyle name="40% - Accent4 3 2 3 2 2 2 3 2" xfId="40125" xr:uid="{00000000-0005-0000-0000-00007F750000}"/>
    <cellStyle name="40% - Accent4 3 2 3 2 2 2 4" xfId="28824" xr:uid="{00000000-0005-0000-0000-000080750000}"/>
    <cellStyle name="40% - Accent4 3 2 3 2 2 3" xfId="9040" xr:uid="{00000000-0005-0000-0000-000081750000}"/>
    <cellStyle name="40% - Accent4 3 2 3 2 2 3 2" xfId="20341" xr:uid="{00000000-0005-0000-0000-000082750000}"/>
    <cellStyle name="40% - Accent4 3 2 3 2 2 3 2 2" xfId="42943" xr:uid="{00000000-0005-0000-0000-000083750000}"/>
    <cellStyle name="40% - Accent4 3 2 3 2 2 3 3" xfId="31642" xr:uid="{00000000-0005-0000-0000-000084750000}"/>
    <cellStyle name="40% - Accent4 3 2 3 2 2 4" xfId="14691" xr:uid="{00000000-0005-0000-0000-000085750000}"/>
    <cellStyle name="40% - Accent4 3 2 3 2 2 4 2" xfId="37293" xr:uid="{00000000-0005-0000-0000-000086750000}"/>
    <cellStyle name="40% - Accent4 3 2 3 2 2 5" xfId="25992" xr:uid="{00000000-0005-0000-0000-000087750000}"/>
    <cellStyle name="40% - Accent4 3 2 3 2 3" xfId="4988" xr:uid="{00000000-0005-0000-0000-000088750000}"/>
    <cellStyle name="40% - Accent4 3 2 3 2 3 2" xfId="10638" xr:uid="{00000000-0005-0000-0000-000089750000}"/>
    <cellStyle name="40% - Accent4 3 2 3 2 3 2 2" xfId="21939" xr:uid="{00000000-0005-0000-0000-00008A750000}"/>
    <cellStyle name="40% - Accent4 3 2 3 2 3 2 2 2" xfId="44541" xr:uid="{00000000-0005-0000-0000-00008B750000}"/>
    <cellStyle name="40% - Accent4 3 2 3 2 3 2 3" xfId="33240" xr:uid="{00000000-0005-0000-0000-00008C750000}"/>
    <cellStyle name="40% - Accent4 3 2 3 2 3 3" xfId="16289" xr:uid="{00000000-0005-0000-0000-00008D750000}"/>
    <cellStyle name="40% - Accent4 3 2 3 2 3 3 2" xfId="38891" xr:uid="{00000000-0005-0000-0000-00008E750000}"/>
    <cellStyle name="40% - Accent4 3 2 3 2 3 4" xfId="27590" xr:uid="{00000000-0005-0000-0000-00008F750000}"/>
    <cellStyle name="40% - Accent4 3 2 3 2 4" xfId="7810" xr:uid="{00000000-0005-0000-0000-000090750000}"/>
    <cellStyle name="40% - Accent4 3 2 3 2 4 2" xfId="19111" xr:uid="{00000000-0005-0000-0000-000091750000}"/>
    <cellStyle name="40% - Accent4 3 2 3 2 4 2 2" xfId="41713" xr:uid="{00000000-0005-0000-0000-000092750000}"/>
    <cellStyle name="40% - Accent4 3 2 3 2 4 3" xfId="30412" xr:uid="{00000000-0005-0000-0000-000093750000}"/>
    <cellStyle name="40% - Accent4 3 2 3 2 5" xfId="13461" xr:uid="{00000000-0005-0000-0000-000094750000}"/>
    <cellStyle name="40% - Accent4 3 2 3 2 5 2" xfId="36063" xr:uid="{00000000-0005-0000-0000-000095750000}"/>
    <cellStyle name="40% - Accent4 3 2 3 2 6" xfId="24762" xr:uid="{00000000-0005-0000-0000-000096750000}"/>
    <cellStyle name="40% - Accent4 3 2 3 3" xfId="2579" xr:uid="{00000000-0005-0000-0000-000097750000}"/>
    <cellStyle name="40% - Accent4 3 2 3 3 2" xfId="5598" xr:uid="{00000000-0005-0000-0000-000098750000}"/>
    <cellStyle name="40% - Accent4 3 2 3 3 2 2" xfId="11248" xr:uid="{00000000-0005-0000-0000-000099750000}"/>
    <cellStyle name="40% - Accent4 3 2 3 3 2 2 2" xfId="22549" xr:uid="{00000000-0005-0000-0000-00009A750000}"/>
    <cellStyle name="40% - Accent4 3 2 3 3 2 2 2 2" xfId="45151" xr:uid="{00000000-0005-0000-0000-00009B750000}"/>
    <cellStyle name="40% - Accent4 3 2 3 3 2 2 3" xfId="33850" xr:uid="{00000000-0005-0000-0000-00009C750000}"/>
    <cellStyle name="40% - Accent4 3 2 3 3 2 3" xfId="16899" xr:uid="{00000000-0005-0000-0000-00009D750000}"/>
    <cellStyle name="40% - Accent4 3 2 3 3 2 3 2" xfId="39501" xr:uid="{00000000-0005-0000-0000-00009E750000}"/>
    <cellStyle name="40% - Accent4 3 2 3 3 2 4" xfId="28200" xr:uid="{00000000-0005-0000-0000-00009F750000}"/>
    <cellStyle name="40% - Accent4 3 2 3 3 3" xfId="8415" xr:uid="{00000000-0005-0000-0000-0000A0750000}"/>
    <cellStyle name="40% - Accent4 3 2 3 3 3 2" xfId="19716" xr:uid="{00000000-0005-0000-0000-0000A1750000}"/>
    <cellStyle name="40% - Accent4 3 2 3 3 3 2 2" xfId="42318" xr:uid="{00000000-0005-0000-0000-0000A2750000}"/>
    <cellStyle name="40% - Accent4 3 2 3 3 3 3" xfId="31017" xr:uid="{00000000-0005-0000-0000-0000A3750000}"/>
    <cellStyle name="40% - Accent4 3 2 3 3 4" xfId="14066" xr:uid="{00000000-0005-0000-0000-0000A4750000}"/>
    <cellStyle name="40% - Accent4 3 2 3 3 4 2" xfId="36668" xr:uid="{00000000-0005-0000-0000-0000A5750000}"/>
    <cellStyle name="40% - Accent4 3 2 3 3 5" xfId="25367" xr:uid="{00000000-0005-0000-0000-0000A6750000}"/>
    <cellStyle name="40% - Accent4 3 2 3 4" xfId="4364" xr:uid="{00000000-0005-0000-0000-0000A7750000}"/>
    <cellStyle name="40% - Accent4 3 2 3 4 2" xfId="10014" xr:uid="{00000000-0005-0000-0000-0000A8750000}"/>
    <cellStyle name="40% - Accent4 3 2 3 4 2 2" xfId="21315" xr:uid="{00000000-0005-0000-0000-0000A9750000}"/>
    <cellStyle name="40% - Accent4 3 2 3 4 2 2 2" xfId="43917" xr:uid="{00000000-0005-0000-0000-0000AA750000}"/>
    <cellStyle name="40% - Accent4 3 2 3 4 2 3" xfId="32616" xr:uid="{00000000-0005-0000-0000-0000AB750000}"/>
    <cellStyle name="40% - Accent4 3 2 3 4 3" xfId="15665" xr:uid="{00000000-0005-0000-0000-0000AC750000}"/>
    <cellStyle name="40% - Accent4 3 2 3 4 3 2" xfId="38267" xr:uid="{00000000-0005-0000-0000-0000AD750000}"/>
    <cellStyle name="40% - Accent4 3 2 3 4 4" xfId="26966" xr:uid="{00000000-0005-0000-0000-0000AE750000}"/>
    <cellStyle name="40% - Accent4 3 2 3 5" xfId="7161" xr:uid="{00000000-0005-0000-0000-0000AF750000}"/>
    <cellStyle name="40% - Accent4 3 2 3 5 2" xfId="18462" xr:uid="{00000000-0005-0000-0000-0000B0750000}"/>
    <cellStyle name="40% - Accent4 3 2 3 5 2 2" xfId="41064" xr:uid="{00000000-0005-0000-0000-0000B1750000}"/>
    <cellStyle name="40% - Accent4 3 2 3 5 3" xfId="29763" xr:uid="{00000000-0005-0000-0000-0000B2750000}"/>
    <cellStyle name="40% - Accent4 3 2 3 6" xfId="12812" xr:uid="{00000000-0005-0000-0000-0000B3750000}"/>
    <cellStyle name="40% - Accent4 3 2 3 6 2" xfId="35414" xr:uid="{00000000-0005-0000-0000-0000B4750000}"/>
    <cellStyle name="40% - Accent4 3 2 3 7" xfId="24113" xr:uid="{00000000-0005-0000-0000-0000B5750000}"/>
    <cellStyle name="40% - Accent4 3 2 4" xfId="871" xr:uid="{00000000-0005-0000-0000-0000B6750000}"/>
    <cellStyle name="40% - Accent4 3 2 4 2" xfId="2943" xr:uid="{00000000-0005-0000-0000-0000B7750000}"/>
    <cellStyle name="40% - Accent4 3 2 4 2 2" xfId="5915" xr:uid="{00000000-0005-0000-0000-0000B8750000}"/>
    <cellStyle name="40% - Accent4 3 2 4 2 2 2" xfId="11565" xr:uid="{00000000-0005-0000-0000-0000B9750000}"/>
    <cellStyle name="40% - Accent4 3 2 4 2 2 2 2" xfId="22866" xr:uid="{00000000-0005-0000-0000-0000BA750000}"/>
    <cellStyle name="40% - Accent4 3 2 4 2 2 2 2 2" xfId="45468" xr:uid="{00000000-0005-0000-0000-0000BB750000}"/>
    <cellStyle name="40% - Accent4 3 2 4 2 2 2 3" xfId="34167" xr:uid="{00000000-0005-0000-0000-0000BC750000}"/>
    <cellStyle name="40% - Accent4 3 2 4 2 2 3" xfId="17216" xr:uid="{00000000-0005-0000-0000-0000BD750000}"/>
    <cellStyle name="40% - Accent4 3 2 4 2 2 3 2" xfId="39818" xr:uid="{00000000-0005-0000-0000-0000BE750000}"/>
    <cellStyle name="40% - Accent4 3 2 4 2 2 4" xfId="28517" xr:uid="{00000000-0005-0000-0000-0000BF750000}"/>
    <cellStyle name="40% - Accent4 3 2 4 2 3" xfId="8733" xr:uid="{00000000-0005-0000-0000-0000C0750000}"/>
    <cellStyle name="40% - Accent4 3 2 4 2 3 2" xfId="20034" xr:uid="{00000000-0005-0000-0000-0000C1750000}"/>
    <cellStyle name="40% - Accent4 3 2 4 2 3 2 2" xfId="42636" xr:uid="{00000000-0005-0000-0000-0000C2750000}"/>
    <cellStyle name="40% - Accent4 3 2 4 2 3 3" xfId="31335" xr:uid="{00000000-0005-0000-0000-0000C3750000}"/>
    <cellStyle name="40% - Accent4 3 2 4 2 4" xfId="14384" xr:uid="{00000000-0005-0000-0000-0000C4750000}"/>
    <cellStyle name="40% - Accent4 3 2 4 2 4 2" xfId="36986" xr:uid="{00000000-0005-0000-0000-0000C5750000}"/>
    <cellStyle name="40% - Accent4 3 2 4 2 5" xfId="25685" xr:uid="{00000000-0005-0000-0000-0000C6750000}"/>
    <cellStyle name="40% - Accent4 3 2 4 3" xfId="4681" xr:uid="{00000000-0005-0000-0000-0000C7750000}"/>
    <cellStyle name="40% - Accent4 3 2 4 3 2" xfId="10331" xr:uid="{00000000-0005-0000-0000-0000C8750000}"/>
    <cellStyle name="40% - Accent4 3 2 4 3 2 2" xfId="21632" xr:uid="{00000000-0005-0000-0000-0000C9750000}"/>
    <cellStyle name="40% - Accent4 3 2 4 3 2 2 2" xfId="44234" xr:uid="{00000000-0005-0000-0000-0000CA750000}"/>
    <cellStyle name="40% - Accent4 3 2 4 3 2 3" xfId="32933" xr:uid="{00000000-0005-0000-0000-0000CB750000}"/>
    <cellStyle name="40% - Accent4 3 2 4 3 3" xfId="15982" xr:uid="{00000000-0005-0000-0000-0000CC750000}"/>
    <cellStyle name="40% - Accent4 3 2 4 3 3 2" xfId="38584" xr:uid="{00000000-0005-0000-0000-0000CD750000}"/>
    <cellStyle name="40% - Accent4 3 2 4 3 4" xfId="27283" xr:uid="{00000000-0005-0000-0000-0000CE750000}"/>
    <cellStyle name="40% - Accent4 3 2 4 4" xfId="6868" xr:uid="{00000000-0005-0000-0000-0000CF750000}"/>
    <cellStyle name="40% - Accent4 3 2 4 4 2" xfId="18169" xr:uid="{00000000-0005-0000-0000-0000D0750000}"/>
    <cellStyle name="40% - Accent4 3 2 4 4 2 2" xfId="40771" xr:uid="{00000000-0005-0000-0000-0000D1750000}"/>
    <cellStyle name="40% - Accent4 3 2 4 4 3" xfId="29470" xr:uid="{00000000-0005-0000-0000-0000D2750000}"/>
    <cellStyle name="40% - Accent4 3 2 4 5" xfId="12519" xr:uid="{00000000-0005-0000-0000-0000D3750000}"/>
    <cellStyle name="40% - Accent4 3 2 4 5 2" xfId="35121" xr:uid="{00000000-0005-0000-0000-0000D4750000}"/>
    <cellStyle name="40% - Accent4 3 2 4 6" xfId="23820" xr:uid="{00000000-0005-0000-0000-0000D5750000}"/>
    <cellStyle name="40% - Accent4 3 2 5" xfId="1951" xr:uid="{00000000-0005-0000-0000-0000D6750000}"/>
    <cellStyle name="40% - Accent4 3 2 5 2" xfId="3777" xr:uid="{00000000-0005-0000-0000-0000D7750000}"/>
    <cellStyle name="40% - Accent4 3 2 5 2 2" xfId="9487" xr:uid="{00000000-0005-0000-0000-0000D8750000}"/>
    <cellStyle name="40% - Accent4 3 2 5 2 2 2" xfId="20788" xr:uid="{00000000-0005-0000-0000-0000D9750000}"/>
    <cellStyle name="40% - Accent4 3 2 5 2 2 2 2" xfId="43390" xr:uid="{00000000-0005-0000-0000-0000DA750000}"/>
    <cellStyle name="40% - Accent4 3 2 5 2 2 3" xfId="32089" xr:uid="{00000000-0005-0000-0000-0000DB750000}"/>
    <cellStyle name="40% - Accent4 3 2 5 2 3" xfId="15138" xr:uid="{00000000-0005-0000-0000-0000DC750000}"/>
    <cellStyle name="40% - Accent4 3 2 5 2 3 2" xfId="37740" xr:uid="{00000000-0005-0000-0000-0000DD750000}"/>
    <cellStyle name="40% - Accent4 3 2 5 2 4" xfId="26439" xr:uid="{00000000-0005-0000-0000-0000DE750000}"/>
    <cellStyle name="40% - Accent4 3 2 5 3" xfId="5291" xr:uid="{00000000-0005-0000-0000-0000DF750000}"/>
    <cellStyle name="40% - Accent4 3 2 5 3 2" xfId="10941" xr:uid="{00000000-0005-0000-0000-0000E0750000}"/>
    <cellStyle name="40% - Accent4 3 2 5 3 2 2" xfId="22242" xr:uid="{00000000-0005-0000-0000-0000E1750000}"/>
    <cellStyle name="40% - Accent4 3 2 5 3 2 2 2" xfId="44844" xr:uid="{00000000-0005-0000-0000-0000E2750000}"/>
    <cellStyle name="40% - Accent4 3 2 5 3 2 3" xfId="33543" xr:uid="{00000000-0005-0000-0000-0000E3750000}"/>
    <cellStyle name="40% - Accent4 3 2 5 3 3" xfId="16592" xr:uid="{00000000-0005-0000-0000-0000E4750000}"/>
    <cellStyle name="40% - Accent4 3 2 5 3 3 2" xfId="39194" xr:uid="{00000000-0005-0000-0000-0000E5750000}"/>
    <cellStyle name="40% - Accent4 3 2 5 3 4" xfId="27893" xr:uid="{00000000-0005-0000-0000-0000E6750000}"/>
    <cellStyle name="40% - Accent4 3 2 5 4" xfId="7807" xr:uid="{00000000-0005-0000-0000-0000E7750000}"/>
    <cellStyle name="40% - Accent4 3 2 5 4 2" xfId="19108" xr:uid="{00000000-0005-0000-0000-0000E8750000}"/>
    <cellStyle name="40% - Accent4 3 2 5 4 2 2" xfId="41710" xr:uid="{00000000-0005-0000-0000-0000E9750000}"/>
    <cellStyle name="40% - Accent4 3 2 5 4 3" xfId="30409" xr:uid="{00000000-0005-0000-0000-0000EA750000}"/>
    <cellStyle name="40% - Accent4 3 2 5 5" xfId="13458" xr:uid="{00000000-0005-0000-0000-0000EB750000}"/>
    <cellStyle name="40% - Accent4 3 2 5 5 2" xfId="36060" xr:uid="{00000000-0005-0000-0000-0000EC750000}"/>
    <cellStyle name="40% - Accent4 3 2 5 6" xfId="24759" xr:uid="{00000000-0005-0000-0000-0000ED750000}"/>
    <cellStyle name="40% - Accent4 3 2 6" xfId="2269" xr:uid="{00000000-0005-0000-0000-0000EE750000}"/>
    <cellStyle name="40% - Accent4 3 2 6 2" xfId="8105" xr:uid="{00000000-0005-0000-0000-0000EF750000}"/>
    <cellStyle name="40% - Accent4 3 2 6 2 2" xfId="19406" xr:uid="{00000000-0005-0000-0000-0000F0750000}"/>
    <cellStyle name="40% - Accent4 3 2 6 2 2 2" xfId="42008" xr:uid="{00000000-0005-0000-0000-0000F1750000}"/>
    <cellStyle name="40% - Accent4 3 2 6 2 3" xfId="30707" xr:uid="{00000000-0005-0000-0000-0000F2750000}"/>
    <cellStyle name="40% - Accent4 3 2 6 3" xfId="13756" xr:uid="{00000000-0005-0000-0000-0000F3750000}"/>
    <cellStyle name="40% - Accent4 3 2 6 3 2" xfId="36358" xr:uid="{00000000-0005-0000-0000-0000F4750000}"/>
    <cellStyle name="40% - Accent4 3 2 6 4" xfId="25057" xr:uid="{00000000-0005-0000-0000-0000F5750000}"/>
    <cellStyle name="40% - Accent4 3 2 7" xfId="4057" xr:uid="{00000000-0005-0000-0000-0000F6750000}"/>
    <cellStyle name="40% - Accent4 3 2 7 2" xfId="9707" xr:uid="{00000000-0005-0000-0000-0000F7750000}"/>
    <cellStyle name="40% - Accent4 3 2 7 2 2" xfId="21008" xr:uid="{00000000-0005-0000-0000-0000F8750000}"/>
    <cellStyle name="40% - Accent4 3 2 7 2 2 2" xfId="43610" xr:uid="{00000000-0005-0000-0000-0000F9750000}"/>
    <cellStyle name="40% - Accent4 3 2 7 2 3" xfId="32309" xr:uid="{00000000-0005-0000-0000-0000FA750000}"/>
    <cellStyle name="40% - Accent4 3 2 7 3" xfId="15358" xr:uid="{00000000-0005-0000-0000-0000FB750000}"/>
    <cellStyle name="40% - Accent4 3 2 7 3 2" xfId="37960" xr:uid="{00000000-0005-0000-0000-0000FC750000}"/>
    <cellStyle name="40% - Accent4 3 2 7 4" xfId="26659" xr:uid="{00000000-0005-0000-0000-0000FD750000}"/>
    <cellStyle name="40% - Accent4 3 2 8" xfId="6508" xr:uid="{00000000-0005-0000-0000-0000FE750000}"/>
    <cellStyle name="40% - Accent4 3 2 8 2" xfId="17809" xr:uid="{00000000-0005-0000-0000-0000FF750000}"/>
    <cellStyle name="40% - Accent4 3 2 8 2 2" xfId="40411" xr:uid="{00000000-0005-0000-0000-000000760000}"/>
    <cellStyle name="40% - Accent4 3 2 8 3" xfId="29110" xr:uid="{00000000-0005-0000-0000-000001760000}"/>
    <cellStyle name="40% - Accent4 3 2 9" xfId="12159" xr:uid="{00000000-0005-0000-0000-000002760000}"/>
    <cellStyle name="40% - Accent4 3 2 9 2" xfId="34761" xr:uid="{00000000-0005-0000-0000-000003760000}"/>
    <cellStyle name="40% - Accent4 3 3" xfId="414" xr:uid="{00000000-0005-0000-0000-000004760000}"/>
    <cellStyle name="40% - Accent4 3 3 10" xfId="23509" xr:uid="{00000000-0005-0000-0000-000005760000}"/>
    <cellStyle name="40% - Accent4 3 3 2" xfId="659" xr:uid="{00000000-0005-0000-0000-000006760000}"/>
    <cellStyle name="40% - Accent4 3 3 2 2" xfId="1369" xr:uid="{00000000-0005-0000-0000-000007760000}"/>
    <cellStyle name="40% - Accent4 3 3 2 2 2" xfId="1957" xr:uid="{00000000-0005-0000-0000-000008760000}"/>
    <cellStyle name="40% - Accent4 3 3 2 2 2 2" xfId="3438" xr:uid="{00000000-0005-0000-0000-000009760000}"/>
    <cellStyle name="40% - Accent4 3 3 2 2 2 2 2" xfId="6410" xr:uid="{00000000-0005-0000-0000-00000A760000}"/>
    <cellStyle name="40% - Accent4 3 3 2 2 2 2 2 2" xfId="12060" xr:uid="{00000000-0005-0000-0000-00000B760000}"/>
    <cellStyle name="40% - Accent4 3 3 2 2 2 2 2 2 2" xfId="23361" xr:uid="{00000000-0005-0000-0000-00000C760000}"/>
    <cellStyle name="40% - Accent4 3 3 2 2 2 2 2 2 2 2" xfId="45963" xr:uid="{00000000-0005-0000-0000-00000D760000}"/>
    <cellStyle name="40% - Accent4 3 3 2 2 2 2 2 2 3" xfId="34662" xr:uid="{00000000-0005-0000-0000-00000E760000}"/>
    <cellStyle name="40% - Accent4 3 3 2 2 2 2 2 3" xfId="17711" xr:uid="{00000000-0005-0000-0000-00000F760000}"/>
    <cellStyle name="40% - Accent4 3 3 2 2 2 2 2 3 2" xfId="40313" xr:uid="{00000000-0005-0000-0000-000010760000}"/>
    <cellStyle name="40% - Accent4 3 3 2 2 2 2 2 4" xfId="29012" xr:uid="{00000000-0005-0000-0000-000011760000}"/>
    <cellStyle name="40% - Accent4 3 3 2 2 2 2 3" xfId="9228" xr:uid="{00000000-0005-0000-0000-000012760000}"/>
    <cellStyle name="40% - Accent4 3 3 2 2 2 2 3 2" xfId="20529" xr:uid="{00000000-0005-0000-0000-000013760000}"/>
    <cellStyle name="40% - Accent4 3 3 2 2 2 2 3 2 2" xfId="43131" xr:uid="{00000000-0005-0000-0000-000014760000}"/>
    <cellStyle name="40% - Accent4 3 3 2 2 2 2 3 3" xfId="31830" xr:uid="{00000000-0005-0000-0000-000015760000}"/>
    <cellStyle name="40% - Accent4 3 3 2 2 2 2 4" xfId="14879" xr:uid="{00000000-0005-0000-0000-000016760000}"/>
    <cellStyle name="40% - Accent4 3 3 2 2 2 2 4 2" xfId="37481" xr:uid="{00000000-0005-0000-0000-000017760000}"/>
    <cellStyle name="40% - Accent4 3 3 2 2 2 2 5" xfId="26180" xr:uid="{00000000-0005-0000-0000-000018760000}"/>
    <cellStyle name="40% - Accent4 3 3 2 2 2 3" xfId="5176" xr:uid="{00000000-0005-0000-0000-000019760000}"/>
    <cellStyle name="40% - Accent4 3 3 2 2 2 3 2" xfId="10826" xr:uid="{00000000-0005-0000-0000-00001A760000}"/>
    <cellStyle name="40% - Accent4 3 3 2 2 2 3 2 2" xfId="22127" xr:uid="{00000000-0005-0000-0000-00001B760000}"/>
    <cellStyle name="40% - Accent4 3 3 2 2 2 3 2 2 2" xfId="44729" xr:uid="{00000000-0005-0000-0000-00001C760000}"/>
    <cellStyle name="40% - Accent4 3 3 2 2 2 3 2 3" xfId="33428" xr:uid="{00000000-0005-0000-0000-00001D760000}"/>
    <cellStyle name="40% - Accent4 3 3 2 2 2 3 3" xfId="16477" xr:uid="{00000000-0005-0000-0000-00001E760000}"/>
    <cellStyle name="40% - Accent4 3 3 2 2 2 3 3 2" xfId="39079" xr:uid="{00000000-0005-0000-0000-00001F760000}"/>
    <cellStyle name="40% - Accent4 3 3 2 2 2 3 4" xfId="27778" xr:uid="{00000000-0005-0000-0000-000020760000}"/>
    <cellStyle name="40% - Accent4 3 3 2 2 2 4" xfId="7813" xr:uid="{00000000-0005-0000-0000-000021760000}"/>
    <cellStyle name="40% - Accent4 3 3 2 2 2 4 2" xfId="19114" xr:uid="{00000000-0005-0000-0000-000022760000}"/>
    <cellStyle name="40% - Accent4 3 3 2 2 2 4 2 2" xfId="41716" xr:uid="{00000000-0005-0000-0000-000023760000}"/>
    <cellStyle name="40% - Accent4 3 3 2 2 2 4 3" xfId="30415" xr:uid="{00000000-0005-0000-0000-000024760000}"/>
    <cellStyle name="40% - Accent4 3 3 2 2 2 5" xfId="13464" xr:uid="{00000000-0005-0000-0000-000025760000}"/>
    <cellStyle name="40% - Accent4 3 3 2 2 2 5 2" xfId="36066" xr:uid="{00000000-0005-0000-0000-000026760000}"/>
    <cellStyle name="40% - Accent4 3 3 2 2 2 6" xfId="24765" xr:uid="{00000000-0005-0000-0000-000027760000}"/>
    <cellStyle name="40% - Accent4 3 3 2 2 3" xfId="2767" xr:uid="{00000000-0005-0000-0000-000028760000}"/>
    <cellStyle name="40% - Accent4 3 3 2 2 3 2" xfId="5786" xr:uid="{00000000-0005-0000-0000-000029760000}"/>
    <cellStyle name="40% - Accent4 3 3 2 2 3 2 2" xfId="11436" xr:uid="{00000000-0005-0000-0000-00002A760000}"/>
    <cellStyle name="40% - Accent4 3 3 2 2 3 2 2 2" xfId="22737" xr:uid="{00000000-0005-0000-0000-00002B760000}"/>
    <cellStyle name="40% - Accent4 3 3 2 2 3 2 2 2 2" xfId="45339" xr:uid="{00000000-0005-0000-0000-00002C760000}"/>
    <cellStyle name="40% - Accent4 3 3 2 2 3 2 2 3" xfId="34038" xr:uid="{00000000-0005-0000-0000-00002D760000}"/>
    <cellStyle name="40% - Accent4 3 3 2 2 3 2 3" xfId="17087" xr:uid="{00000000-0005-0000-0000-00002E760000}"/>
    <cellStyle name="40% - Accent4 3 3 2 2 3 2 3 2" xfId="39689" xr:uid="{00000000-0005-0000-0000-00002F760000}"/>
    <cellStyle name="40% - Accent4 3 3 2 2 3 2 4" xfId="28388" xr:uid="{00000000-0005-0000-0000-000030760000}"/>
    <cellStyle name="40% - Accent4 3 3 2 2 3 3" xfId="8603" xr:uid="{00000000-0005-0000-0000-000031760000}"/>
    <cellStyle name="40% - Accent4 3 3 2 2 3 3 2" xfId="19904" xr:uid="{00000000-0005-0000-0000-000032760000}"/>
    <cellStyle name="40% - Accent4 3 3 2 2 3 3 2 2" xfId="42506" xr:uid="{00000000-0005-0000-0000-000033760000}"/>
    <cellStyle name="40% - Accent4 3 3 2 2 3 3 3" xfId="31205" xr:uid="{00000000-0005-0000-0000-000034760000}"/>
    <cellStyle name="40% - Accent4 3 3 2 2 3 4" xfId="14254" xr:uid="{00000000-0005-0000-0000-000035760000}"/>
    <cellStyle name="40% - Accent4 3 3 2 2 3 4 2" xfId="36856" xr:uid="{00000000-0005-0000-0000-000036760000}"/>
    <cellStyle name="40% - Accent4 3 3 2 2 3 5" xfId="25555" xr:uid="{00000000-0005-0000-0000-000037760000}"/>
    <cellStyle name="40% - Accent4 3 3 2 2 4" xfId="4552" xr:uid="{00000000-0005-0000-0000-000038760000}"/>
    <cellStyle name="40% - Accent4 3 3 2 2 4 2" xfId="10202" xr:uid="{00000000-0005-0000-0000-000039760000}"/>
    <cellStyle name="40% - Accent4 3 3 2 2 4 2 2" xfId="21503" xr:uid="{00000000-0005-0000-0000-00003A760000}"/>
    <cellStyle name="40% - Accent4 3 3 2 2 4 2 2 2" xfId="44105" xr:uid="{00000000-0005-0000-0000-00003B760000}"/>
    <cellStyle name="40% - Accent4 3 3 2 2 4 2 3" xfId="32804" xr:uid="{00000000-0005-0000-0000-00003C760000}"/>
    <cellStyle name="40% - Accent4 3 3 2 2 4 3" xfId="15853" xr:uid="{00000000-0005-0000-0000-00003D760000}"/>
    <cellStyle name="40% - Accent4 3 3 2 2 4 3 2" xfId="38455" xr:uid="{00000000-0005-0000-0000-00003E760000}"/>
    <cellStyle name="40% - Accent4 3 3 2 2 4 4" xfId="27154" xr:uid="{00000000-0005-0000-0000-00003F760000}"/>
    <cellStyle name="40% - Accent4 3 3 2 2 5" xfId="7348" xr:uid="{00000000-0005-0000-0000-000040760000}"/>
    <cellStyle name="40% - Accent4 3 3 2 2 5 2" xfId="18649" xr:uid="{00000000-0005-0000-0000-000041760000}"/>
    <cellStyle name="40% - Accent4 3 3 2 2 5 2 2" xfId="41251" xr:uid="{00000000-0005-0000-0000-000042760000}"/>
    <cellStyle name="40% - Accent4 3 3 2 2 5 3" xfId="29950" xr:uid="{00000000-0005-0000-0000-000043760000}"/>
    <cellStyle name="40% - Accent4 3 3 2 2 6" xfId="12999" xr:uid="{00000000-0005-0000-0000-000044760000}"/>
    <cellStyle name="40% - Accent4 3 3 2 2 6 2" xfId="35601" xr:uid="{00000000-0005-0000-0000-000045760000}"/>
    <cellStyle name="40% - Accent4 3 3 2 2 7" xfId="24300" xr:uid="{00000000-0005-0000-0000-000046760000}"/>
    <cellStyle name="40% - Accent4 3 3 2 3" xfId="1067" xr:uid="{00000000-0005-0000-0000-000047760000}"/>
    <cellStyle name="40% - Accent4 3 3 2 3 2" xfId="3130" xr:uid="{00000000-0005-0000-0000-000048760000}"/>
    <cellStyle name="40% - Accent4 3 3 2 3 2 2" xfId="6102" xr:uid="{00000000-0005-0000-0000-000049760000}"/>
    <cellStyle name="40% - Accent4 3 3 2 3 2 2 2" xfId="11752" xr:uid="{00000000-0005-0000-0000-00004A760000}"/>
    <cellStyle name="40% - Accent4 3 3 2 3 2 2 2 2" xfId="23053" xr:uid="{00000000-0005-0000-0000-00004B760000}"/>
    <cellStyle name="40% - Accent4 3 3 2 3 2 2 2 2 2" xfId="45655" xr:uid="{00000000-0005-0000-0000-00004C760000}"/>
    <cellStyle name="40% - Accent4 3 3 2 3 2 2 2 3" xfId="34354" xr:uid="{00000000-0005-0000-0000-00004D760000}"/>
    <cellStyle name="40% - Accent4 3 3 2 3 2 2 3" xfId="17403" xr:uid="{00000000-0005-0000-0000-00004E760000}"/>
    <cellStyle name="40% - Accent4 3 3 2 3 2 2 3 2" xfId="40005" xr:uid="{00000000-0005-0000-0000-00004F760000}"/>
    <cellStyle name="40% - Accent4 3 3 2 3 2 2 4" xfId="28704" xr:uid="{00000000-0005-0000-0000-000050760000}"/>
    <cellStyle name="40% - Accent4 3 3 2 3 2 3" xfId="8920" xr:uid="{00000000-0005-0000-0000-000051760000}"/>
    <cellStyle name="40% - Accent4 3 3 2 3 2 3 2" xfId="20221" xr:uid="{00000000-0005-0000-0000-000052760000}"/>
    <cellStyle name="40% - Accent4 3 3 2 3 2 3 2 2" xfId="42823" xr:uid="{00000000-0005-0000-0000-000053760000}"/>
    <cellStyle name="40% - Accent4 3 3 2 3 2 3 3" xfId="31522" xr:uid="{00000000-0005-0000-0000-000054760000}"/>
    <cellStyle name="40% - Accent4 3 3 2 3 2 4" xfId="14571" xr:uid="{00000000-0005-0000-0000-000055760000}"/>
    <cellStyle name="40% - Accent4 3 3 2 3 2 4 2" xfId="37173" xr:uid="{00000000-0005-0000-0000-000056760000}"/>
    <cellStyle name="40% - Accent4 3 3 2 3 2 5" xfId="25872" xr:uid="{00000000-0005-0000-0000-000057760000}"/>
    <cellStyle name="40% - Accent4 3 3 2 3 3" xfId="4868" xr:uid="{00000000-0005-0000-0000-000058760000}"/>
    <cellStyle name="40% - Accent4 3 3 2 3 3 2" xfId="10518" xr:uid="{00000000-0005-0000-0000-000059760000}"/>
    <cellStyle name="40% - Accent4 3 3 2 3 3 2 2" xfId="21819" xr:uid="{00000000-0005-0000-0000-00005A760000}"/>
    <cellStyle name="40% - Accent4 3 3 2 3 3 2 2 2" xfId="44421" xr:uid="{00000000-0005-0000-0000-00005B760000}"/>
    <cellStyle name="40% - Accent4 3 3 2 3 3 2 3" xfId="33120" xr:uid="{00000000-0005-0000-0000-00005C760000}"/>
    <cellStyle name="40% - Accent4 3 3 2 3 3 3" xfId="16169" xr:uid="{00000000-0005-0000-0000-00005D760000}"/>
    <cellStyle name="40% - Accent4 3 3 2 3 3 3 2" xfId="38771" xr:uid="{00000000-0005-0000-0000-00005E760000}"/>
    <cellStyle name="40% - Accent4 3 3 2 3 3 4" xfId="27470" xr:uid="{00000000-0005-0000-0000-00005F760000}"/>
    <cellStyle name="40% - Accent4 3 3 2 3 4" xfId="7055" xr:uid="{00000000-0005-0000-0000-000060760000}"/>
    <cellStyle name="40% - Accent4 3 3 2 3 4 2" xfId="18356" xr:uid="{00000000-0005-0000-0000-000061760000}"/>
    <cellStyle name="40% - Accent4 3 3 2 3 4 2 2" xfId="40958" xr:uid="{00000000-0005-0000-0000-000062760000}"/>
    <cellStyle name="40% - Accent4 3 3 2 3 4 3" xfId="29657" xr:uid="{00000000-0005-0000-0000-000063760000}"/>
    <cellStyle name="40% - Accent4 3 3 2 3 5" xfId="12706" xr:uid="{00000000-0005-0000-0000-000064760000}"/>
    <cellStyle name="40% - Accent4 3 3 2 3 5 2" xfId="35308" xr:uid="{00000000-0005-0000-0000-000065760000}"/>
    <cellStyle name="40% - Accent4 3 3 2 3 6" xfId="24007" xr:uid="{00000000-0005-0000-0000-000066760000}"/>
    <cellStyle name="40% - Accent4 3 3 2 4" xfId="1956" xr:uid="{00000000-0005-0000-0000-000067760000}"/>
    <cellStyle name="40% - Accent4 3 3 2 4 2" xfId="3780" xr:uid="{00000000-0005-0000-0000-000068760000}"/>
    <cellStyle name="40% - Accent4 3 3 2 4 2 2" xfId="9490" xr:uid="{00000000-0005-0000-0000-000069760000}"/>
    <cellStyle name="40% - Accent4 3 3 2 4 2 2 2" xfId="20791" xr:uid="{00000000-0005-0000-0000-00006A760000}"/>
    <cellStyle name="40% - Accent4 3 3 2 4 2 2 2 2" xfId="43393" xr:uid="{00000000-0005-0000-0000-00006B760000}"/>
    <cellStyle name="40% - Accent4 3 3 2 4 2 2 3" xfId="32092" xr:uid="{00000000-0005-0000-0000-00006C760000}"/>
    <cellStyle name="40% - Accent4 3 3 2 4 2 3" xfId="15141" xr:uid="{00000000-0005-0000-0000-00006D760000}"/>
    <cellStyle name="40% - Accent4 3 3 2 4 2 3 2" xfId="37743" xr:uid="{00000000-0005-0000-0000-00006E760000}"/>
    <cellStyle name="40% - Accent4 3 3 2 4 2 4" xfId="26442" xr:uid="{00000000-0005-0000-0000-00006F760000}"/>
    <cellStyle name="40% - Accent4 3 3 2 4 3" xfId="5478" xr:uid="{00000000-0005-0000-0000-000070760000}"/>
    <cellStyle name="40% - Accent4 3 3 2 4 3 2" xfId="11128" xr:uid="{00000000-0005-0000-0000-000071760000}"/>
    <cellStyle name="40% - Accent4 3 3 2 4 3 2 2" xfId="22429" xr:uid="{00000000-0005-0000-0000-000072760000}"/>
    <cellStyle name="40% - Accent4 3 3 2 4 3 2 2 2" xfId="45031" xr:uid="{00000000-0005-0000-0000-000073760000}"/>
    <cellStyle name="40% - Accent4 3 3 2 4 3 2 3" xfId="33730" xr:uid="{00000000-0005-0000-0000-000074760000}"/>
    <cellStyle name="40% - Accent4 3 3 2 4 3 3" xfId="16779" xr:uid="{00000000-0005-0000-0000-000075760000}"/>
    <cellStyle name="40% - Accent4 3 3 2 4 3 3 2" xfId="39381" xr:uid="{00000000-0005-0000-0000-000076760000}"/>
    <cellStyle name="40% - Accent4 3 3 2 4 3 4" xfId="28080" xr:uid="{00000000-0005-0000-0000-000077760000}"/>
    <cellStyle name="40% - Accent4 3 3 2 4 4" xfId="7812" xr:uid="{00000000-0005-0000-0000-000078760000}"/>
    <cellStyle name="40% - Accent4 3 3 2 4 4 2" xfId="19113" xr:uid="{00000000-0005-0000-0000-000079760000}"/>
    <cellStyle name="40% - Accent4 3 3 2 4 4 2 2" xfId="41715" xr:uid="{00000000-0005-0000-0000-00007A760000}"/>
    <cellStyle name="40% - Accent4 3 3 2 4 4 3" xfId="30414" xr:uid="{00000000-0005-0000-0000-00007B760000}"/>
    <cellStyle name="40% - Accent4 3 3 2 4 5" xfId="13463" xr:uid="{00000000-0005-0000-0000-00007C760000}"/>
    <cellStyle name="40% - Accent4 3 3 2 4 5 2" xfId="36065" xr:uid="{00000000-0005-0000-0000-00007D760000}"/>
    <cellStyle name="40% - Accent4 3 3 2 4 6" xfId="24764" xr:uid="{00000000-0005-0000-0000-00007E760000}"/>
    <cellStyle name="40% - Accent4 3 3 2 5" xfId="2459" xr:uid="{00000000-0005-0000-0000-00007F760000}"/>
    <cellStyle name="40% - Accent4 3 3 2 5 2" xfId="8295" xr:uid="{00000000-0005-0000-0000-000080760000}"/>
    <cellStyle name="40% - Accent4 3 3 2 5 2 2" xfId="19596" xr:uid="{00000000-0005-0000-0000-000081760000}"/>
    <cellStyle name="40% - Accent4 3 3 2 5 2 2 2" xfId="42198" xr:uid="{00000000-0005-0000-0000-000082760000}"/>
    <cellStyle name="40% - Accent4 3 3 2 5 2 3" xfId="30897" xr:uid="{00000000-0005-0000-0000-000083760000}"/>
    <cellStyle name="40% - Accent4 3 3 2 5 3" xfId="13946" xr:uid="{00000000-0005-0000-0000-000084760000}"/>
    <cellStyle name="40% - Accent4 3 3 2 5 3 2" xfId="36548" xr:uid="{00000000-0005-0000-0000-000085760000}"/>
    <cellStyle name="40% - Accent4 3 3 2 5 4" xfId="25247" xr:uid="{00000000-0005-0000-0000-000086760000}"/>
    <cellStyle name="40% - Accent4 3 3 2 6" xfId="4244" xr:uid="{00000000-0005-0000-0000-000087760000}"/>
    <cellStyle name="40% - Accent4 3 3 2 6 2" xfId="9894" xr:uid="{00000000-0005-0000-0000-000088760000}"/>
    <cellStyle name="40% - Accent4 3 3 2 6 2 2" xfId="21195" xr:uid="{00000000-0005-0000-0000-000089760000}"/>
    <cellStyle name="40% - Accent4 3 3 2 6 2 2 2" xfId="43797" xr:uid="{00000000-0005-0000-0000-00008A760000}"/>
    <cellStyle name="40% - Accent4 3 3 2 6 2 3" xfId="32496" xr:uid="{00000000-0005-0000-0000-00008B760000}"/>
    <cellStyle name="40% - Accent4 3 3 2 6 3" xfId="15545" xr:uid="{00000000-0005-0000-0000-00008C760000}"/>
    <cellStyle name="40% - Accent4 3 3 2 6 3 2" xfId="38147" xr:uid="{00000000-0005-0000-0000-00008D760000}"/>
    <cellStyle name="40% - Accent4 3 3 2 6 4" xfId="26846" xr:uid="{00000000-0005-0000-0000-00008E760000}"/>
    <cellStyle name="40% - Accent4 3 3 2 7" xfId="6724" xr:uid="{00000000-0005-0000-0000-00008F760000}"/>
    <cellStyle name="40% - Accent4 3 3 2 7 2" xfId="18025" xr:uid="{00000000-0005-0000-0000-000090760000}"/>
    <cellStyle name="40% - Accent4 3 3 2 7 2 2" xfId="40627" xr:uid="{00000000-0005-0000-0000-000091760000}"/>
    <cellStyle name="40% - Accent4 3 3 2 7 3" xfId="29326" xr:uid="{00000000-0005-0000-0000-000092760000}"/>
    <cellStyle name="40% - Accent4 3 3 2 8" xfId="12375" xr:uid="{00000000-0005-0000-0000-000093760000}"/>
    <cellStyle name="40% - Accent4 3 3 2 8 2" xfId="34977" xr:uid="{00000000-0005-0000-0000-000094760000}"/>
    <cellStyle name="40% - Accent4 3 3 2 9" xfId="23676" xr:uid="{00000000-0005-0000-0000-000095760000}"/>
    <cellStyle name="40% - Accent4 3 3 3" xfId="1231" xr:uid="{00000000-0005-0000-0000-000096760000}"/>
    <cellStyle name="40% - Accent4 3 3 3 2" xfId="1958" xr:uid="{00000000-0005-0000-0000-000097760000}"/>
    <cellStyle name="40% - Accent4 3 3 3 2 2" xfId="3299" xr:uid="{00000000-0005-0000-0000-000098760000}"/>
    <cellStyle name="40% - Accent4 3 3 3 2 2 2" xfId="6271" xr:uid="{00000000-0005-0000-0000-000099760000}"/>
    <cellStyle name="40% - Accent4 3 3 3 2 2 2 2" xfId="11921" xr:uid="{00000000-0005-0000-0000-00009A760000}"/>
    <cellStyle name="40% - Accent4 3 3 3 2 2 2 2 2" xfId="23222" xr:uid="{00000000-0005-0000-0000-00009B760000}"/>
    <cellStyle name="40% - Accent4 3 3 3 2 2 2 2 2 2" xfId="45824" xr:uid="{00000000-0005-0000-0000-00009C760000}"/>
    <cellStyle name="40% - Accent4 3 3 3 2 2 2 2 3" xfId="34523" xr:uid="{00000000-0005-0000-0000-00009D760000}"/>
    <cellStyle name="40% - Accent4 3 3 3 2 2 2 3" xfId="17572" xr:uid="{00000000-0005-0000-0000-00009E760000}"/>
    <cellStyle name="40% - Accent4 3 3 3 2 2 2 3 2" xfId="40174" xr:uid="{00000000-0005-0000-0000-00009F760000}"/>
    <cellStyle name="40% - Accent4 3 3 3 2 2 2 4" xfId="28873" xr:uid="{00000000-0005-0000-0000-0000A0760000}"/>
    <cellStyle name="40% - Accent4 3 3 3 2 2 3" xfId="9089" xr:uid="{00000000-0005-0000-0000-0000A1760000}"/>
    <cellStyle name="40% - Accent4 3 3 3 2 2 3 2" xfId="20390" xr:uid="{00000000-0005-0000-0000-0000A2760000}"/>
    <cellStyle name="40% - Accent4 3 3 3 2 2 3 2 2" xfId="42992" xr:uid="{00000000-0005-0000-0000-0000A3760000}"/>
    <cellStyle name="40% - Accent4 3 3 3 2 2 3 3" xfId="31691" xr:uid="{00000000-0005-0000-0000-0000A4760000}"/>
    <cellStyle name="40% - Accent4 3 3 3 2 2 4" xfId="14740" xr:uid="{00000000-0005-0000-0000-0000A5760000}"/>
    <cellStyle name="40% - Accent4 3 3 3 2 2 4 2" xfId="37342" xr:uid="{00000000-0005-0000-0000-0000A6760000}"/>
    <cellStyle name="40% - Accent4 3 3 3 2 2 5" xfId="26041" xr:uid="{00000000-0005-0000-0000-0000A7760000}"/>
    <cellStyle name="40% - Accent4 3 3 3 2 3" xfId="5037" xr:uid="{00000000-0005-0000-0000-0000A8760000}"/>
    <cellStyle name="40% - Accent4 3 3 3 2 3 2" xfId="10687" xr:uid="{00000000-0005-0000-0000-0000A9760000}"/>
    <cellStyle name="40% - Accent4 3 3 3 2 3 2 2" xfId="21988" xr:uid="{00000000-0005-0000-0000-0000AA760000}"/>
    <cellStyle name="40% - Accent4 3 3 3 2 3 2 2 2" xfId="44590" xr:uid="{00000000-0005-0000-0000-0000AB760000}"/>
    <cellStyle name="40% - Accent4 3 3 3 2 3 2 3" xfId="33289" xr:uid="{00000000-0005-0000-0000-0000AC760000}"/>
    <cellStyle name="40% - Accent4 3 3 3 2 3 3" xfId="16338" xr:uid="{00000000-0005-0000-0000-0000AD760000}"/>
    <cellStyle name="40% - Accent4 3 3 3 2 3 3 2" xfId="38940" xr:uid="{00000000-0005-0000-0000-0000AE760000}"/>
    <cellStyle name="40% - Accent4 3 3 3 2 3 4" xfId="27639" xr:uid="{00000000-0005-0000-0000-0000AF760000}"/>
    <cellStyle name="40% - Accent4 3 3 3 2 4" xfId="7814" xr:uid="{00000000-0005-0000-0000-0000B0760000}"/>
    <cellStyle name="40% - Accent4 3 3 3 2 4 2" xfId="19115" xr:uid="{00000000-0005-0000-0000-0000B1760000}"/>
    <cellStyle name="40% - Accent4 3 3 3 2 4 2 2" xfId="41717" xr:uid="{00000000-0005-0000-0000-0000B2760000}"/>
    <cellStyle name="40% - Accent4 3 3 3 2 4 3" xfId="30416" xr:uid="{00000000-0005-0000-0000-0000B3760000}"/>
    <cellStyle name="40% - Accent4 3 3 3 2 5" xfId="13465" xr:uid="{00000000-0005-0000-0000-0000B4760000}"/>
    <cellStyle name="40% - Accent4 3 3 3 2 5 2" xfId="36067" xr:uid="{00000000-0005-0000-0000-0000B5760000}"/>
    <cellStyle name="40% - Accent4 3 3 3 2 6" xfId="24766" xr:uid="{00000000-0005-0000-0000-0000B6760000}"/>
    <cellStyle name="40% - Accent4 3 3 3 3" xfId="2628" xr:uid="{00000000-0005-0000-0000-0000B7760000}"/>
    <cellStyle name="40% - Accent4 3 3 3 3 2" xfId="5647" xr:uid="{00000000-0005-0000-0000-0000B8760000}"/>
    <cellStyle name="40% - Accent4 3 3 3 3 2 2" xfId="11297" xr:uid="{00000000-0005-0000-0000-0000B9760000}"/>
    <cellStyle name="40% - Accent4 3 3 3 3 2 2 2" xfId="22598" xr:uid="{00000000-0005-0000-0000-0000BA760000}"/>
    <cellStyle name="40% - Accent4 3 3 3 3 2 2 2 2" xfId="45200" xr:uid="{00000000-0005-0000-0000-0000BB760000}"/>
    <cellStyle name="40% - Accent4 3 3 3 3 2 2 3" xfId="33899" xr:uid="{00000000-0005-0000-0000-0000BC760000}"/>
    <cellStyle name="40% - Accent4 3 3 3 3 2 3" xfId="16948" xr:uid="{00000000-0005-0000-0000-0000BD760000}"/>
    <cellStyle name="40% - Accent4 3 3 3 3 2 3 2" xfId="39550" xr:uid="{00000000-0005-0000-0000-0000BE760000}"/>
    <cellStyle name="40% - Accent4 3 3 3 3 2 4" xfId="28249" xr:uid="{00000000-0005-0000-0000-0000BF760000}"/>
    <cellStyle name="40% - Accent4 3 3 3 3 3" xfId="8464" xr:uid="{00000000-0005-0000-0000-0000C0760000}"/>
    <cellStyle name="40% - Accent4 3 3 3 3 3 2" xfId="19765" xr:uid="{00000000-0005-0000-0000-0000C1760000}"/>
    <cellStyle name="40% - Accent4 3 3 3 3 3 2 2" xfId="42367" xr:uid="{00000000-0005-0000-0000-0000C2760000}"/>
    <cellStyle name="40% - Accent4 3 3 3 3 3 3" xfId="31066" xr:uid="{00000000-0005-0000-0000-0000C3760000}"/>
    <cellStyle name="40% - Accent4 3 3 3 3 4" xfId="14115" xr:uid="{00000000-0005-0000-0000-0000C4760000}"/>
    <cellStyle name="40% - Accent4 3 3 3 3 4 2" xfId="36717" xr:uid="{00000000-0005-0000-0000-0000C5760000}"/>
    <cellStyle name="40% - Accent4 3 3 3 3 5" xfId="25416" xr:uid="{00000000-0005-0000-0000-0000C6760000}"/>
    <cellStyle name="40% - Accent4 3 3 3 4" xfId="4413" xr:uid="{00000000-0005-0000-0000-0000C7760000}"/>
    <cellStyle name="40% - Accent4 3 3 3 4 2" xfId="10063" xr:uid="{00000000-0005-0000-0000-0000C8760000}"/>
    <cellStyle name="40% - Accent4 3 3 3 4 2 2" xfId="21364" xr:uid="{00000000-0005-0000-0000-0000C9760000}"/>
    <cellStyle name="40% - Accent4 3 3 3 4 2 2 2" xfId="43966" xr:uid="{00000000-0005-0000-0000-0000CA760000}"/>
    <cellStyle name="40% - Accent4 3 3 3 4 2 3" xfId="32665" xr:uid="{00000000-0005-0000-0000-0000CB760000}"/>
    <cellStyle name="40% - Accent4 3 3 3 4 3" xfId="15714" xr:uid="{00000000-0005-0000-0000-0000CC760000}"/>
    <cellStyle name="40% - Accent4 3 3 3 4 3 2" xfId="38316" xr:uid="{00000000-0005-0000-0000-0000CD760000}"/>
    <cellStyle name="40% - Accent4 3 3 3 4 4" xfId="27015" xr:uid="{00000000-0005-0000-0000-0000CE760000}"/>
    <cellStyle name="40% - Accent4 3 3 3 5" xfId="7210" xr:uid="{00000000-0005-0000-0000-0000CF760000}"/>
    <cellStyle name="40% - Accent4 3 3 3 5 2" xfId="18511" xr:uid="{00000000-0005-0000-0000-0000D0760000}"/>
    <cellStyle name="40% - Accent4 3 3 3 5 2 2" xfId="41113" xr:uid="{00000000-0005-0000-0000-0000D1760000}"/>
    <cellStyle name="40% - Accent4 3 3 3 5 3" xfId="29812" xr:uid="{00000000-0005-0000-0000-0000D2760000}"/>
    <cellStyle name="40% - Accent4 3 3 3 6" xfId="12861" xr:uid="{00000000-0005-0000-0000-0000D3760000}"/>
    <cellStyle name="40% - Accent4 3 3 3 6 2" xfId="35463" xr:uid="{00000000-0005-0000-0000-0000D4760000}"/>
    <cellStyle name="40% - Accent4 3 3 3 7" xfId="24162" xr:uid="{00000000-0005-0000-0000-0000D5760000}"/>
    <cellStyle name="40% - Accent4 3 3 4" xfId="922" xr:uid="{00000000-0005-0000-0000-0000D6760000}"/>
    <cellStyle name="40% - Accent4 3 3 4 2" xfId="2992" xr:uid="{00000000-0005-0000-0000-0000D7760000}"/>
    <cellStyle name="40% - Accent4 3 3 4 2 2" xfId="5964" xr:uid="{00000000-0005-0000-0000-0000D8760000}"/>
    <cellStyle name="40% - Accent4 3 3 4 2 2 2" xfId="11614" xr:uid="{00000000-0005-0000-0000-0000D9760000}"/>
    <cellStyle name="40% - Accent4 3 3 4 2 2 2 2" xfId="22915" xr:uid="{00000000-0005-0000-0000-0000DA760000}"/>
    <cellStyle name="40% - Accent4 3 3 4 2 2 2 2 2" xfId="45517" xr:uid="{00000000-0005-0000-0000-0000DB760000}"/>
    <cellStyle name="40% - Accent4 3 3 4 2 2 2 3" xfId="34216" xr:uid="{00000000-0005-0000-0000-0000DC760000}"/>
    <cellStyle name="40% - Accent4 3 3 4 2 2 3" xfId="17265" xr:uid="{00000000-0005-0000-0000-0000DD760000}"/>
    <cellStyle name="40% - Accent4 3 3 4 2 2 3 2" xfId="39867" xr:uid="{00000000-0005-0000-0000-0000DE760000}"/>
    <cellStyle name="40% - Accent4 3 3 4 2 2 4" xfId="28566" xr:uid="{00000000-0005-0000-0000-0000DF760000}"/>
    <cellStyle name="40% - Accent4 3 3 4 2 3" xfId="8782" xr:uid="{00000000-0005-0000-0000-0000E0760000}"/>
    <cellStyle name="40% - Accent4 3 3 4 2 3 2" xfId="20083" xr:uid="{00000000-0005-0000-0000-0000E1760000}"/>
    <cellStyle name="40% - Accent4 3 3 4 2 3 2 2" xfId="42685" xr:uid="{00000000-0005-0000-0000-0000E2760000}"/>
    <cellStyle name="40% - Accent4 3 3 4 2 3 3" xfId="31384" xr:uid="{00000000-0005-0000-0000-0000E3760000}"/>
    <cellStyle name="40% - Accent4 3 3 4 2 4" xfId="14433" xr:uid="{00000000-0005-0000-0000-0000E4760000}"/>
    <cellStyle name="40% - Accent4 3 3 4 2 4 2" xfId="37035" xr:uid="{00000000-0005-0000-0000-0000E5760000}"/>
    <cellStyle name="40% - Accent4 3 3 4 2 5" xfId="25734" xr:uid="{00000000-0005-0000-0000-0000E6760000}"/>
    <cellStyle name="40% - Accent4 3 3 4 3" xfId="4730" xr:uid="{00000000-0005-0000-0000-0000E7760000}"/>
    <cellStyle name="40% - Accent4 3 3 4 3 2" xfId="10380" xr:uid="{00000000-0005-0000-0000-0000E8760000}"/>
    <cellStyle name="40% - Accent4 3 3 4 3 2 2" xfId="21681" xr:uid="{00000000-0005-0000-0000-0000E9760000}"/>
    <cellStyle name="40% - Accent4 3 3 4 3 2 2 2" xfId="44283" xr:uid="{00000000-0005-0000-0000-0000EA760000}"/>
    <cellStyle name="40% - Accent4 3 3 4 3 2 3" xfId="32982" xr:uid="{00000000-0005-0000-0000-0000EB760000}"/>
    <cellStyle name="40% - Accent4 3 3 4 3 3" xfId="16031" xr:uid="{00000000-0005-0000-0000-0000EC760000}"/>
    <cellStyle name="40% - Accent4 3 3 4 3 3 2" xfId="38633" xr:uid="{00000000-0005-0000-0000-0000ED760000}"/>
    <cellStyle name="40% - Accent4 3 3 4 3 4" xfId="27332" xr:uid="{00000000-0005-0000-0000-0000EE760000}"/>
    <cellStyle name="40% - Accent4 3 3 4 4" xfId="6917" xr:uid="{00000000-0005-0000-0000-0000EF760000}"/>
    <cellStyle name="40% - Accent4 3 3 4 4 2" xfId="18218" xr:uid="{00000000-0005-0000-0000-0000F0760000}"/>
    <cellStyle name="40% - Accent4 3 3 4 4 2 2" xfId="40820" xr:uid="{00000000-0005-0000-0000-0000F1760000}"/>
    <cellStyle name="40% - Accent4 3 3 4 4 3" xfId="29519" xr:uid="{00000000-0005-0000-0000-0000F2760000}"/>
    <cellStyle name="40% - Accent4 3 3 4 5" xfId="12568" xr:uid="{00000000-0005-0000-0000-0000F3760000}"/>
    <cellStyle name="40% - Accent4 3 3 4 5 2" xfId="35170" xr:uid="{00000000-0005-0000-0000-0000F4760000}"/>
    <cellStyle name="40% - Accent4 3 3 4 6" xfId="23869" xr:uid="{00000000-0005-0000-0000-0000F5760000}"/>
    <cellStyle name="40% - Accent4 3 3 5" xfId="1955" xr:uid="{00000000-0005-0000-0000-0000F6760000}"/>
    <cellStyle name="40% - Accent4 3 3 5 2" xfId="3779" xr:uid="{00000000-0005-0000-0000-0000F7760000}"/>
    <cellStyle name="40% - Accent4 3 3 5 2 2" xfId="9489" xr:uid="{00000000-0005-0000-0000-0000F8760000}"/>
    <cellStyle name="40% - Accent4 3 3 5 2 2 2" xfId="20790" xr:uid="{00000000-0005-0000-0000-0000F9760000}"/>
    <cellStyle name="40% - Accent4 3 3 5 2 2 2 2" xfId="43392" xr:uid="{00000000-0005-0000-0000-0000FA760000}"/>
    <cellStyle name="40% - Accent4 3 3 5 2 2 3" xfId="32091" xr:uid="{00000000-0005-0000-0000-0000FB760000}"/>
    <cellStyle name="40% - Accent4 3 3 5 2 3" xfId="15140" xr:uid="{00000000-0005-0000-0000-0000FC760000}"/>
    <cellStyle name="40% - Accent4 3 3 5 2 3 2" xfId="37742" xr:uid="{00000000-0005-0000-0000-0000FD760000}"/>
    <cellStyle name="40% - Accent4 3 3 5 2 4" xfId="26441" xr:uid="{00000000-0005-0000-0000-0000FE760000}"/>
    <cellStyle name="40% - Accent4 3 3 5 3" xfId="5340" xr:uid="{00000000-0005-0000-0000-0000FF760000}"/>
    <cellStyle name="40% - Accent4 3 3 5 3 2" xfId="10990" xr:uid="{00000000-0005-0000-0000-000000770000}"/>
    <cellStyle name="40% - Accent4 3 3 5 3 2 2" xfId="22291" xr:uid="{00000000-0005-0000-0000-000001770000}"/>
    <cellStyle name="40% - Accent4 3 3 5 3 2 2 2" xfId="44893" xr:uid="{00000000-0005-0000-0000-000002770000}"/>
    <cellStyle name="40% - Accent4 3 3 5 3 2 3" xfId="33592" xr:uid="{00000000-0005-0000-0000-000003770000}"/>
    <cellStyle name="40% - Accent4 3 3 5 3 3" xfId="16641" xr:uid="{00000000-0005-0000-0000-000004770000}"/>
    <cellStyle name="40% - Accent4 3 3 5 3 3 2" xfId="39243" xr:uid="{00000000-0005-0000-0000-000005770000}"/>
    <cellStyle name="40% - Accent4 3 3 5 3 4" xfId="27942" xr:uid="{00000000-0005-0000-0000-000006770000}"/>
    <cellStyle name="40% - Accent4 3 3 5 4" xfId="7811" xr:uid="{00000000-0005-0000-0000-000007770000}"/>
    <cellStyle name="40% - Accent4 3 3 5 4 2" xfId="19112" xr:uid="{00000000-0005-0000-0000-000008770000}"/>
    <cellStyle name="40% - Accent4 3 3 5 4 2 2" xfId="41714" xr:uid="{00000000-0005-0000-0000-000009770000}"/>
    <cellStyle name="40% - Accent4 3 3 5 4 3" xfId="30413" xr:uid="{00000000-0005-0000-0000-00000A770000}"/>
    <cellStyle name="40% - Accent4 3 3 5 5" xfId="13462" xr:uid="{00000000-0005-0000-0000-00000B770000}"/>
    <cellStyle name="40% - Accent4 3 3 5 5 2" xfId="36064" xr:uid="{00000000-0005-0000-0000-00000C770000}"/>
    <cellStyle name="40% - Accent4 3 3 5 6" xfId="24763" xr:uid="{00000000-0005-0000-0000-00000D770000}"/>
    <cellStyle name="40% - Accent4 3 3 6" xfId="2319" xr:uid="{00000000-0005-0000-0000-00000E770000}"/>
    <cellStyle name="40% - Accent4 3 3 6 2" xfId="8155" xr:uid="{00000000-0005-0000-0000-00000F770000}"/>
    <cellStyle name="40% - Accent4 3 3 6 2 2" xfId="19456" xr:uid="{00000000-0005-0000-0000-000010770000}"/>
    <cellStyle name="40% - Accent4 3 3 6 2 2 2" xfId="42058" xr:uid="{00000000-0005-0000-0000-000011770000}"/>
    <cellStyle name="40% - Accent4 3 3 6 2 3" xfId="30757" xr:uid="{00000000-0005-0000-0000-000012770000}"/>
    <cellStyle name="40% - Accent4 3 3 6 3" xfId="13806" xr:uid="{00000000-0005-0000-0000-000013770000}"/>
    <cellStyle name="40% - Accent4 3 3 6 3 2" xfId="36408" xr:uid="{00000000-0005-0000-0000-000014770000}"/>
    <cellStyle name="40% - Accent4 3 3 6 4" xfId="25107" xr:uid="{00000000-0005-0000-0000-000015770000}"/>
    <cellStyle name="40% - Accent4 3 3 7" xfId="4106" xr:uid="{00000000-0005-0000-0000-000016770000}"/>
    <cellStyle name="40% - Accent4 3 3 7 2" xfId="9756" xr:uid="{00000000-0005-0000-0000-000017770000}"/>
    <cellStyle name="40% - Accent4 3 3 7 2 2" xfId="21057" xr:uid="{00000000-0005-0000-0000-000018770000}"/>
    <cellStyle name="40% - Accent4 3 3 7 2 2 2" xfId="43659" xr:uid="{00000000-0005-0000-0000-000019770000}"/>
    <cellStyle name="40% - Accent4 3 3 7 2 3" xfId="32358" xr:uid="{00000000-0005-0000-0000-00001A770000}"/>
    <cellStyle name="40% - Accent4 3 3 7 3" xfId="15407" xr:uid="{00000000-0005-0000-0000-00001B770000}"/>
    <cellStyle name="40% - Accent4 3 3 7 3 2" xfId="38009" xr:uid="{00000000-0005-0000-0000-00001C770000}"/>
    <cellStyle name="40% - Accent4 3 3 7 4" xfId="26708" xr:uid="{00000000-0005-0000-0000-00001D770000}"/>
    <cellStyle name="40% - Accent4 3 3 8" xfId="6557" xr:uid="{00000000-0005-0000-0000-00001E770000}"/>
    <cellStyle name="40% - Accent4 3 3 8 2" xfId="17858" xr:uid="{00000000-0005-0000-0000-00001F770000}"/>
    <cellStyle name="40% - Accent4 3 3 8 2 2" xfId="40460" xr:uid="{00000000-0005-0000-0000-000020770000}"/>
    <cellStyle name="40% - Accent4 3 3 8 3" xfId="29159" xr:uid="{00000000-0005-0000-0000-000021770000}"/>
    <cellStyle name="40% - Accent4 3 3 9" xfId="12208" xr:uid="{00000000-0005-0000-0000-000022770000}"/>
    <cellStyle name="40% - Accent4 3 3 9 2" xfId="34810" xr:uid="{00000000-0005-0000-0000-000023770000}"/>
    <cellStyle name="40% - Accent4 3 4" xfId="556" xr:uid="{00000000-0005-0000-0000-000024770000}"/>
    <cellStyle name="40% - Accent4 3 4 2" xfId="1135" xr:uid="{00000000-0005-0000-0000-000025770000}"/>
    <cellStyle name="40% - Accent4 3 4 2 2" xfId="1960" xr:uid="{00000000-0005-0000-0000-000026770000}"/>
    <cellStyle name="40% - Accent4 3 4 2 2 2" xfId="3202" xr:uid="{00000000-0005-0000-0000-000027770000}"/>
    <cellStyle name="40% - Accent4 3 4 2 2 2 2" xfId="6174" xr:uid="{00000000-0005-0000-0000-000028770000}"/>
    <cellStyle name="40% - Accent4 3 4 2 2 2 2 2" xfId="11824" xr:uid="{00000000-0005-0000-0000-000029770000}"/>
    <cellStyle name="40% - Accent4 3 4 2 2 2 2 2 2" xfId="23125" xr:uid="{00000000-0005-0000-0000-00002A770000}"/>
    <cellStyle name="40% - Accent4 3 4 2 2 2 2 2 2 2" xfId="45727" xr:uid="{00000000-0005-0000-0000-00002B770000}"/>
    <cellStyle name="40% - Accent4 3 4 2 2 2 2 2 3" xfId="34426" xr:uid="{00000000-0005-0000-0000-00002C770000}"/>
    <cellStyle name="40% - Accent4 3 4 2 2 2 2 3" xfId="17475" xr:uid="{00000000-0005-0000-0000-00002D770000}"/>
    <cellStyle name="40% - Accent4 3 4 2 2 2 2 3 2" xfId="40077" xr:uid="{00000000-0005-0000-0000-00002E770000}"/>
    <cellStyle name="40% - Accent4 3 4 2 2 2 2 4" xfId="28776" xr:uid="{00000000-0005-0000-0000-00002F770000}"/>
    <cellStyle name="40% - Accent4 3 4 2 2 2 3" xfId="8992" xr:uid="{00000000-0005-0000-0000-000030770000}"/>
    <cellStyle name="40% - Accent4 3 4 2 2 2 3 2" xfId="20293" xr:uid="{00000000-0005-0000-0000-000031770000}"/>
    <cellStyle name="40% - Accent4 3 4 2 2 2 3 2 2" xfId="42895" xr:uid="{00000000-0005-0000-0000-000032770000}"/>
    <cellStyle name="40% - Accent4 3 4 2 2 2 3 3" xfId="31594" xr:uid="{00000000-0005-0000-0000-000033770000}"/>
    <cellStyle name="40% - Accent4 3 4 2 2 2 4" xfId="14643" xr:uid="{00000000-0005-0000-0000-000034770000}"/>
    <cellStyle name="40% - Accent4 3 4 2 2 2 4 2" xfId="37245" xr:uid="{00000000-0005-0000-0000-000035770000}"/>
    <cellStyle name="40% - Accent4 3 4 2 2 2 5" xfId="25944" xr:uid="{00000000-0005-0000-0000-000036770000}"/>
    <cellStyle name="40% - Accent4 3 4 2 2 3" xfId="4940" xr:uid="{00000000-0005-0000-0000-000037770000}"/>
    <cellStyle name="40% - Accent4 3 4 2 2 3 2" xfId="10590" xr:uid="{00000000-0005-0000-0000-000038770000}"/>
    <cellStyle name="40% - Accent4 3 4 2 2 3 2 2" xfId="21891" xr:uid="{00000000-0005-0000-0000-000039770000}"/>
    <cellStyle name="40% - Accent4 3 4 2 2 3 2 2 2" xfId="44493" xr:uid="{00000000-0005-0000-0000-00003A770000}"/>
    <cellStyle name="40% - Accent4 3 4 2 2 3 2 3" xfId="33192" xr:uid="{00000000-0005-0000-0000-00003B770000}"/>
    <cellStyle name="40% - Accent4 3 4 2 2 3 3" xfId="16241" xr:uid="{00000000-0005-0000-0000-00003C770000}"/>
    <cellStyle name="40% - Accent4 3 4 2 2 3 3 2" xfId="38843" xr:uid="{00000000-0005-0000-0000-00003D770000}"/>
    <cellStyle name="40% - Accent4 3 4 2 2 3 4" xfId="27542" xr:uid="{00000000-0005-0000-0000-00003E770000}"/>
    <cellStyle name="40% - Accent4 3 4 2 2 4" xfId="7816" xr:uid="{00000000-0005-0000-0000-00003F770000}"/>
    <cellStyle name="40% - Accent4 3 4 2 2 4 2" xfId="19117" xr:uid="{00000000-0005-0000-0000-000040770000}"/>
    <cellStyle name="40% - Accent4 3 4 2 2 4 2 2" xfId="41719" xr:uid="{00000000-0005-0000-0000-000041770000}"/>
    <cellStyle name="40% - Accent4 3 4 2 2 4 3" xfId="30418" xr:uid="{00000000-0005-0000-0000-000042770000}"/>
    <cellStyle name="40% - Accent4 3 4 2 2 5" xfId="13467" xr:uid="{00000000-0005-0000-0000-000043770000}"/>
    <cellStyle name="40% - Accent4 3 4 2 2 5 2" xfId="36069" xr:uid="{00000000-0005-0000-0000-000044770000}"/>
    <cellStyle name="40% - Accent4 3 4 2 2 6" xfId="24768" xr:uid="{00000000-0005-0000-0000-000045770000}"/>
    <cellStyle name="40% - Accent4 3 4 2 3" xfId="2531" xr:uid="{00000000-0005-0000-0000-000046770000}"/>
    <cellStyle name="40% - Accent4 3 4 2 3 2" xfId="5550" xr:uid="{00000000-0005-0000-0000-000047770000}"/>
    <cellStyle name="40% - Accent4 3 4 2 3 2 2" xfId="11200" xr:uid="{00000000-0005-0000-0000-000048770000}"/>
    <cellStyle name="40% - Accent4 3 4 2 3 2 2 2" xfId="22501" xr:uid="{00000000-0005-0000-0000-000049770000}"/>
    <cellStyle name="40% - Accent4 3 4 2 3 2 2 2 2" xfId="45103" xr:uid="{00000000-0005-0000-0000-00004A770000}"/>
    <cellStyle name="40% - Accent4 3 4 2 3 2 2 3" xfId="33802" xr:uid="{00000000-0005-0000-0000-00004B770000}"/>
    <cellStyle name="40% - Accent4 3 4 2 3 2 3" xfId="16851" xr:uid="{00000000-0005-0000-0000-00004C770000}"/>
    <cellStyle name="40% - Accent4 3 4 2 3 2 3 2" xfId="39453" xr:uid="{00000000-0005-0000-0000-00004D770000}"/>
    <cellStyle name="40% - Accent4 3 4 2 3 2 4" xfId="28152" xr:uid="{00000000-0005-0000-0000-00004E770000}"/>
    <cellStyle name="40% - Accent4 3 4 2 3 3" xfId="8367" xr:uid="{00000000-0005-0000-0000-00004F770000}"/>
    <cellStyle name="40% - Accent4 3 4 2 3 3 2" xfId="19668" xr:uid="{00000000-0005-0000-0000-000050770000}"/>
    <cellStyle name="40% - Accent4 3 4 2 3 3 2 2" xfId="42270" xr:uid="{00000000-0005-0000-0000-000051770000}"/>
    <cellStyle name="40% - Accent4 3 4 2 3 3 3" xfId="30969" xr:uid="{00000000-0005-0000-0000-000052770000}"/>
    <cellStyle name="40% - Accent4 3 4 2 3 4" xfId="14018" xr:uid="{00000000-0005-0000-0000-000053770000}"/>
    <cellStyle name="40% - Accent4 3 4 2 3 4 2" xfId="36620" xr:uid="{00000000-0005-0000-0000-000054770000}"/>
    <cellStyle name="40% - Accent4 3 4 2 3 5" xfId="25319" xr:uid="{00000000-0005-0000-0000-000055770000}"/>
    <cellStyle name="40% - Accent4 3 4 2 4" xfId="4316" xr:uid="{00000000-0005-0000-0000-000056770000}"/>
    <cellStyle name="40% - Accent4 3 4 2 4 2" xfId="9966" xr:uid="{00000000-0005-0000-0000-000057770000}"/>
    <cellStyle name="40% - Accent4 3 4 2 4 2 2" xfId="21267" xr:uid="{00000000-0005-0000-0000-000058770000}"/>
    <cellStyle name="40% - Accent4 3 4 2 4 2 2 2" xfId="43869" xr:uid="{00000000-0005-0000-0000-000059770000}"/>
    <cellStyle name="40% - Accent4 3 4 2 4 2 3" xfId="32568" xr:uid="{00000000-0005-0000-0000-00005A770000}"/>
    <cellStyle name="40% - Accent4 3 4 2 4 3" xfId="15617" xr:uid="{00000000-0005-0000-0000-00005B770000}"/>
    <cellStyle name="40% - Accent4 3 4 2 4 3 2" xfId="38219" xr:uid="{00000000-0005-0000-0000-00005C770000}"/>
    <cellStyle name="40% - Accent4 3 4 2 4 4" xfId="26918" xr:uid="{00000000-0005-0000-0000-00005D770000}"/>
    <cellStyle name="40% - Accent4 3 4 2 5" xfId="7114" xr:uid="{00000000-0005-0000-0000-00005E770000}"/>
    <cellStyle name="40% - Accent4 3 4 2 5 2" xfId="18415" xr:uid="{00000000-0005-0000-0000-00005F770000}"/>
    <cellStyle name="40% - Accent4 3 4 2 5 2 2" xfId="41017" xr:uid="{00000000-0005-0000-0000-000060770000}"/>
    <cellStyle name="40% - Accent4 3 4 2 5 3" xfId="29716" xr:uid="{00000000-0005-0000-0000-000061770000}"/>
    <cellStyle name="40% - Accent4 3 4 2 6" xfId="12765" xr:uid="{00000000-0005-0000-0000-000062770000}"/>
    <cellStyle name="40% - Accent4 3 4 2 6 2" xfId="35367" xr:uid="{00000000-0005-0000-0000-000063770000}"/>
    <cellStyle name="40% - Accent4 3 4 2 7" xfId="24066" xr:uid="{00000000-0005-0000-0000-000064770000}"/>
    <cellStyle name="40% - Accent4 3 4 3" xfId="808" xr:uid="{00000000-0005-0000-0000-000065770000}"/>
    <cellStyle name="40% - Accent4 3 4 3 2" xfId="2896" xr:uid="{00000000-0005-0000-0000-000066770000}"/>
    <cellStyle name="40% - Accent4 3 4 3 2 2" xfId="5868" xr:uid="{00000000-0005-0000-0000-000067770000}"/>
    <cellStyle name="40% - Accent4 3 4 3 2 2 2" xfId="11518" xr:uid="{00000000-0005-0000-0000-000068770000}"/>
    <cellStyle name="40% - Accent4 3 4 3 2 2 2 2" xfId="22819" xr:uid="{00000000-0005-0000-0000-000069770000}"/>
    <cellStyle name="40% - Accent4 3 4 3 2 2 2 2 2" xfId="45421" xr:uid="{00000000-0005-0000-0000-00006A770000}"/>
    <cellStyle name="40% - Accent4 3 4 3 2 2 2 3" xfId="34120" xr:uid="{00000000-0005-0000-0000-00006B770000}"/>
    <cellStyle name="40% - Accent4 3 4 3 2 2 3" xfId="17169" xr:uid="{00000000-0005-0000-0000-00006C770000}"/>
    <cellStyle name="40% - Accent4 3 4 3 2 2 3 2" xfId="39771" xr:uid="{00000000-0005-0000-0000-00006D770000}"/>
    <cellStyle name="40% - Accent4 3 4 3 2 2 4" xfId="28470" xr:uid="{00000000-0005-0000-0000-00006E770000}"/>
    <cellStyle name="40% - Accent4 3 4 3 2 3" xfId="8686" xr:uid="{00000000-0005-0000-0000-00006F770000}"/>
    <cellStyle name="40% - Accent4 3 4 3 2 3 2" xfId="19987" xr:uid="{00000000-0005-0000-0000-000070770000}"/>
    <cellStyle name="40% - Accent4 3 4 3 2 3 2 2" xfId="42589" xr:uid="{00000000-0005-0000-0000-000071770000}"/>
    <cellStyle name="40% - Accent4 3 4 3 2 3 3" xfId="31288" xr:uid="{00000000-0005-0000-0000-000072770000}"/>
    <cellStyle name="40% - Accent4 3 4 3 2 4" xfId="14337" xr:uid="{00000000-0005-0000-0000-000073770000}"/>
    <cellStyle name="40% - Accent4 3 4 3 2 4 2" xfId="36939" xr:uid="{00000000-0005-0000-0000-000074770000}"/>
    <cellStyle name="40% - Accent4 3 4 3 2 5" xfId="25638" xr:uid="{00000000-0005-0000-0000-000075770000}"/>
    <cellStyle name="40% - Accent4 3 4 3 3" xfId="4634" xr:uid="{00000000-0005-0000-0000-000076770000}"/>
    <cellStyle name="40% - Accent4 3 4 3 3 2" xfId="10284" xr:uid="{00000000-0005-0000-0000-000077770000}"/>
    <cellStyle name="40% - Accent4 3 4 3 3 2 2" xfId="21585" xr:uid="{00000000-0005-0000-0000-000078770000}"/>
    <cellStyle name="40% - Accent4 3 4 3 3 2 2 2" xfId="44187" xr:uid="{00000000-0005-0000-0000-000079770000}"/>
    <cellStyle name="40% - Accent4 3 4 3 3 2 3" xfId="32886" xr:uid="{00000000-0005-0000-0000-00007A770000}"/>
    <cellStyle name="40% - Accent4 3 4 3 3 3" xfId="15935" xr:uid="{00000000-0005-0000-0000-00007B770000}"/>
    <cellStyle name="40% - Accent4 3 4 3 3 3 2" xfId="38537" xr:uid="{00000000-0005-0000-0000-00007C770000}"/>
    <cellStyle name="40% - Accent4 3 4 3 3 4" xfId="27236" xr:uid="{00000000-0005-0000-0000-00007D770000}"/>
    <cellStyle name="40% - Accent4 3 4 3 4" xfId="6817" xr:uid="{00000000-0005-0000-0000-00007E770000}"/>
    <cellStyle name="40% - Accent4 3 4 3 4 2" xfId="18118" xr:uid="{00000000-0005-0000-0000-00007F770000}"/>
    <cellStyle name="40% - Accent4 3 4 3 4 2 2" xfId="40720" xr:uid="{00000000-0005-0000-0000-000080770000}"/>
    <cellStyle name="40% - Accent4 3 4 3 4 3" xfId="29419" xr:uid="{00000000-0005-0000-0000-000081770000}"/>
    <cellStyle name="40% - Accent4 3 4 3 5" xfId="12468" xr:uid="{00000000-0005-0000-0000-000082770000}"/>
    <cellStyle name="40% - Accent4 3 4 3 5 2" xfId="35070" xr:uid="{00000000-0005-0000-0000-000083770000}"/>
    <cellStyle name="40% - Accent4 3 4 3 6" xfId="23769" xr:uid="{00000000-0005-0000-0000-000084770000}"/>
    <cellStyle name="40% - Accent4 3 4 4" xfId="1959" xr:uid="{00000000-0005-0000-0000-000085770000}"/>
    <cellStyle name="40% - Accent4 3 4 4 2" xfId="3781" xr:uid="{00000000-0005-0000-0000-000086770000}"/>
    <cellStyle name="40% - Accent4 3 4 4 2 2" xfId="9491" xr:uid="{00000000-0005-0000-0000-000087770000}"/>
    <cellStyle name="40% - Accent4 3 4 4 2 2 2" xfId="20792" xr:uid="{00000000-0005-0000-0000-000088770000}"/>
    <cellStyle name="40% - Accent4 3 4 4 2 2 2 2" xfId="43394" xr:uid="{00000000-0005-0000-0000-000089770000}"/>
    <cellStyle name="40% - Accent4 3 4 4 2 2 3" xfId="32093" xr:uid="{00000000-0005-0000-0000-00008A770000}"/>
    <cellStyle name="40% - Accent4 3 4 4 2 3" xfId="15142" xr:uid="{00000000-0005-0000-0000-00008B770000}"/>
    <cellStyle name="40% - Accent4 3 4 4 2 3 2" xfId="37744" xr:uid="{00000000-0005-0000-0000-00008C770000}"/>
    <cellStyle name="40% - Accent4 3 4 4 2 4" xfId="26443" xr:uid="{00000000-0005-0000-0000-00008D770000}"/>
    <cellStyle name="40% - Accent4 3 4 4 3" xfId="5244" xr:uid="{00000000-0005-0000-0000-00008E770000}"/>
    <cellStyle name="40% - Accent4 3 4 4 3 2" xfId="10894" xr:uid="{00000000-0005-0000-0000-00008F770000}"/>
    <cellStyle name="40% - Accent4 3 4 4 3 2 2" xfId="22195" xr:uid="{00000000-0005-0000-0000-000090770000}"/>
    <cellStyle name="40% - Accent4 3 4 4 3 2 2 2" xfId="44797" xr:uid="{00000000-0005-0000-0000-000091770000}"/>
    <cellStyle name="40% - Accent4 3 4 4 3 2 3" xfId="33496" xr:uid="{00000000-0005-0000-0000-000092770000}"/>
    <cellStyle name="40% - Accent4 3 4 4 3 3" xfId="16545" xr:uid="{00000000-0005-0000-0000-000093770000}"/>
    <cellStyle name="40% - Accent4 3 4 4 3 3 2" xfId="39147" xr:uid="{00000000-0005-0000-0000-000094770000}"/>
    <cellStyle name="40% - Accent4 3 4 4 3 4" xfId="27846" xr:uid="{00000000-0005-0000-0000-000095770000}"/>
    <cellStyle name="40% - Accent4 3 4 4 4" xfId="7815" xr:uid="{00000000-0005-0000-0000-000096770000}"/>
    <cellStyle name="40% - Accent4 3 4 4 4 2" xfId="19116" xr:uid="{00000000-0005-0000-0000-000097770000}"/>
    <cellStyle name="40% - Accent4 3 4 4 4 2 2" xfId="41718" xr:uid="{00000000-0005-0000-0000-000098770000}"/>
    <cellStyle name="40% - Accent4 3 4 4 4 3" xfId="30417" xr:uid="{00000000-0005-0000-0000-000099770000}"/>
    <cellStyle name="40% - Accent4 3 4 4 5" xfId="13466" xr:uid="{00000000-0005-0000-0000-00009A770000}"/>
    <cellStyle name="40% - Accent4 3 4 4 5 2" xfId="36068" xr:uid="{00000000-0005-0000-0000-00009B770000}"/>
    <cellStyle name="40% - Accent4 3 4 4 6" xfId="24767" xr:uid="{00000000-0005-0000-0000-00009C770000}"/>
    <cellStyle name="40% - Accent4 3 4 5" xfId="2216" xr:uid="{00000000-0005-0000-0000-00009D770000}"/>
    <cellStyle name="40% - Accent4 3 4 5 2" xfId="8058" xr:uid="{00000000-0005-0000-0000-00009E770000}"/>
    <cellStyle name="40% - Accent4 3 4 5 2 2" xfId="19359" xr:uid="{00000000-0005-0000-0000-00009F770000}"/>
    <cellStyle name="40% - Accent4 3 4 5 2 2 2" xfId="41961" xr:uid="{00000000-0005-0000-0000-0000A0770000}"/>
    <cellStyle name="40% - Accent4 3 4 5 2 3" xfId="30660" xr:uid="{00000000-0005-0000-0000-0000A1770000}"/>
    <cellStyle name="40% - Accent4 3 4 5 3" xfId="13709" xr:uid="{00000000-0005-0000-0000-0000A2770000}"/>
    <cellStyle name="40% - Accent4 3 4 5 3 2" xfId="36311" xr:uid="{00000000-0005-0000-0000-0000A3770000}"/>
    <cellStyle name="40% - Accent4 3 4 5 4" xfId="25010" xr:uid="{00000000-0005-0000-0000-0000A4770000}"/>
    <cellStyle name="40% - Accent4 3 4 6" xfId="4010" xr:uid="{00000000-0005-0000-0000-0000A5770000}"/>
    <cellStyle name="40% - Accent4 3 4 6 2" xfId="9660" xr:uid="{00000000-0005-0000-0000-0000A6770000}"/>
    <cellStyle name="40% - Accent4 3 4 6 2 2" xfId="20961" xr:uid="{00000000-0005-0000-0000-0000A7770000}"/>
    <cellStyle name="40% - Accent4 3 4 6 2 2 2" xfId="43563" xr:uid="{00000000-0005-0000-0000-0000A8770000}"/>
    <cellStyle name="40% - Accent4 3 4 6 2 3" xfId="32262" xr:uid="{00000000-0005-0000-0000-0000A9770000}"/>
    <cellStyle name="40% - Accent4 3 4 6 3" xfId="15311" xr:uid="{00000000-0005-0000-0000-0000AA770000}"/>
    <cellStyle name="40% - Accent4 3 4 6 3 2" xfId="37913" xr:uid="{00000000-0005-0000-0000-0000AB770000}"/>
    <cellStyle name="40% - Accent4 3 4 6 4" xfId="26612" xr:uid="{00000000-0005-0000-0000-0000AC770000}"/>
    <cellStyle name="40% - Accent4 3 4 7" xfId="6628" xr:uid="{00000000-0005-0000-0000-0000AD770000}"/>
    <cellStyle name="40% - Accent4 3 4 7 2" xfId="17929" xr:uid="{00000000-0005-0000-0000-0000AE770000}"/>
    <cellStyle name="40% - Accent4 3 4 7 2 2" xfId="40531" xr:uid="{00000000-0005-0000-0000-0000AF770000}"/>
    <cellStyle name="40% - Accent4 3 4 7 3" xfId="29230" xr:uid="{00000000-0005-0000-0000-0000B0770000}"/>
    <cellStyle name="40% - Accent4 3 4 8" xfId="12279" xr:uid="{00000000-0005-0000-0000-0000B1770000}"/>
    <cellStyle name="40% - Accent4 3 4 8 2" xfId="34881" xr:uid="{00000000-0005-0000-0000-0000B2770000}"/>
    <cellStyle name="40% - Accent4 3 4 9" xfId="23580" xr:uid="{00000000-0005-0000-0000-0000B3770000}"/>
    <cellStyle name="40% - Accent4 3 5" xfId="458" xr:uid="{00000000-0005-0000-0000-0000B4770000}"/>
    <cellStyle name="40% - Accent4 3 6" xfId="727" xr:uid="{00000000-0005-0000-0000-0000B5770000}"/>
    <cellStyle name="40% - Accent4 3 7" xfId="6461" xr:uid="{00000000-0005-0000-0000-0000B6770000}"/>
    <cellStyle name="40% - Accent4 3 7 2" xfId="17762" xr:uid="{00000000-0005-0000-0000-0000B7770000}"/>
    <cellStyle name="40% - Accent4 3 7 2 2" xfId="40364" xr:uid="{00000000-0005-0000-0000-0000B8770000}"/>
    <cellStyle name="40% - Accent4 3 7 3" xfId="29063" xr:uid="{00000000-0005-0000-0000-0000B9770000}"/>
    <cellStyle name="40% - Accent4 3 8" xfId="12112" xr:uid="{00000000-0005-0000-0000-0000BA770000}"/>
    <cellStyle name="40% - Accent4 3 8 2" xfId="34714" xr:uid="{00000000-0005-0000-0000-0000BB770000}"/>
    <cellStyle name="40% - Accent4 3 9" xfId="23413" xr:uid="{00000000-0005-0000-0000-0000BC770000}"/>
    <cellStyle name="40% - Accent4 4" xfId="243" xr:uid="{00000000-0005-0000-0000-0000BD770000}"/>
    <cellStyle name="40% - Accent4 4 10" xfId="3996" xr:uid="{00000000-0005-0000-0000-0000BE770000}"/>
    <cellStyle name="40% - Accent4 4 10 2" xfId="9646" xr:uid="{00000000-0005-0000-0000-0000BF770000}"/>
    <cellStyle name="40% - Accent4 4 10 2 2" xfId="20947" xr:uid="{00000000-0005-0000-0000-0000C0770000}"/>
    <cellStyle name="40% - Accent4 4 10 2 2 2" xfId="43549" xr:uid="{00000000-0005-0000-0000-0000C1770000}"/>
    <cellStyle name="40% - Accent4 4 10 2 3" xfId="32248" xr:uid="{00000000-0005-0000-0000-0000C2770000}"/>
    <cellStyle name="40% - Accent4 4 10 3" xfId="15297" xr:uid="{00000000-0005-0000-0000-0000C3770000}"/>
    <cellStyle name="40% - Accent4 4 10 3 2" xfId="37899" xr:uid="{00000000-0005-0000-0000-0000C4770000}"/>
    <cellStyle name="40% - Accent4 4 10 4" xfId="26598" xr:uid="{00000000-0005-0000-0000-0000C5770000}"/>
    <cellStyle name="40% - Accent4 4 11" xfId="6475" xr:uid="{00000000-0005-0000-0000-0000C6770000}"/>
    <cellStyle name="40% - Accent4 4 11 2" xfId="17776" xr:uid="{00000000-0005-0000-0000-0000C7770000}"/>
    <cellStyle name="40% - Accent4 4 11 2 2" xfId="40378" xr:uid="{00000000-0005-0000-0000-0000C8770000}"/>
    <cellStyle name="40% - Accent4 4 11 3" xfId="29077" xr:uid="{00000000-0005-0000-0000-0000C9770000}"/>
    <cellStyle name="40% - Accent4 4 12" xfId="12126" xr:uid="{00000000-0005-0000-0000-0000CA770000}"/>
    <cellStyle name="40% - Accent4 4 12 2" xfId="34728" xr:uid="{00000000-0005-0000-0000-0000CB770000}"/>
    <cellStyle name="40% - Accent4 4 13" xfId="23427" xr:uid="{00000000-0005-0000-0000-0000CC770000}"/>
    <cellStyle name="40% - Accent4 4 2" xfId="366" xr:uid="{00000000-0005-0000-0000-0000CD770000}"/>
    <cellStyle name="40% - Accent4 4 2 10" xfId="23474" xr:uid="{00000000-0005-0000-0000-0000CE770000}"/>
    <cellStyle name="40% - Accent4 4 2 2" xfId="624" xr:uid="{00000000-0005-0000-0000-0000CF770000}"/>
    <cellStyle name="40% - Accent4 4 2 2 2" xfId="1334" xr:uid="{00000000-0005-0000-0000-0000D0770000}"/>
    <cellStyle name="40% - Accent4 4 2 2 2 2" xfId="1964" xr:uid="{00000000-0005-0000-0000-0000D1770000}"/>
    <cellStyle name="40% - Accent4 4 2 2 2 2 2" xfId="3403" xr:uid="{00000000-0005-0000-0000-0000D2770000}"/>
    <cellStyle name="40% - Accent4 4 2 2 2 2 2 2" xfId="6375" xr:uid="{00000000-0005-0000-0000-0000D3770000}"/>
    <cellStyle name="40% - Accent4 4 2 2 2 2 2 2 2" xfId="12025" xr:uid="{00000000-0005-0000-0000-0000D4770000}"/>
    <cellStyle name="40% - Accent4 4 2 2 2 2 2 2 2 2" xfId="23326" xr:uid="{00000000-0005-0000-0000-0000D5770000}"/>
    <cellStyle name="40% - Accent4 4 2 2 2 2 2 2 2 2 2" xfId="45928" xr:uid="{00000000-0005-0000-0000-0000D6770000}"/>
    <cellStyle name="40% - Accent4 4 2 2 2 2 2 2 2 3" xfId="34627" xr:uid="{00000000-0005-0000-0000-0000D7770000}"/>
    <cellStyle name="40% - Accent4 4 2 2 2 2 2 2 3" xfId="17676" xr:uid="{00000000-0005-0000-0000-0000D8770000}"/>
    <cellStyle name="40% - Accent4 4 2 2 2 2 2 2 3 2" xfId="40278" xr:uid="{00000000-0005-0000-0000-0000D9770000}"/>
    <cellStyle name="40% - Accent4 4 2 2 2 2 2 2 4" xfId="28977" xr:uid="{00000000-0005-0000-0000-0000DA770000}"/>
    <cellStyle name="40% - Accent4 4 2 2 2 2 2 3" xfId="9193" xr:uid="{00000000-0005-0000-0000-0000DB770000}"/>
    <cellStyle name="40% - Accent4 4 2 2 2 2 2 3 2" xfId="20494" xr:uid="{00000000-0005-0000-0000-0000DC770000}"/>
    <cellStyle name="40% - Accent4 4 2 2 2 2 2 3 2 2" xfId="43096" xr:uid="{00000000-0005-0000-0000-0000DD770000}"/>
    <cellStyle name="40% - Accent4 4 2 2 2 2 2 3 3" xfId="31795" xr:uid="{00000000-0005-0000-0000-0000DE770000}"/>
    <cellStyle name="40% - Accent4 4 2 2 2 2 2 4" xfId="14844" xr:uid="{00000000-0005-0000-0000-0000DF770000}"/>
    <cellStyle name="40% - Accent4 4 2 2 2 2 2 4 2" xfId="37446" xr:uid="{00000000-0005-0000-0000-0000E0770000}"/>
    <cellStyle name="40% - Accent4 4 2 2 2 2 2 5" xfId="26145" xr:uid="{00000000-0005-0000-0000-0000E1770000}"/>
    <cellStyle name="40% - Accent4 4 2 2 2 2 3" xfId="5141" xr:uid="{00000000-0005-0000-0000-0000E2770000}"/>
    <cellStyle name="40% - Accent4 4 2 2 2 2 3 2" xfId="10791" xr:uid="{00000000-0005-0000-0000-0000E3770000}"/>
    <cellStyle name="40% - Accent4 4 2 2 2 2 3 2 2" xfId="22092" xr:uid="{00000000-0005-0000-0000-0000E4770000}"/>
    <cellStyle name="40% - Accent4 4 2 2 2 2 3 2 2 2" xfId="44694" xr:uid="{00000000-0005-0000-0000-0000E5770000}"/>
    <cellStyle name="40% - Accent4 4 2 2 2 2 3 2 3" xfId="33393" xr:uid="{00000000-0005-0000-0000-0000E6770000}"/>
    <cellStyle name="40% - Accent4 4 2 2 2 2 3 3" xfId="16442" xr:uid="{00000000-0005-0000-0000-0000E7770000}"/>
    <cellStyle name="40% - Accent4 4 2 2 2 2 3 3 2" xfId="39044" xr:uid="{00000000-0005-0000-0000-0000E8770000}"/>
    <cellStyle name="40% - Accent4 4 2 2 2 2 3 4" xfId="27743" xr:uid="{00000000-0005-0000-0000-0000E9770000}"/>
    <cellStyle name="40% - Accent4 4 2 2 2 2 4" xfId="7820" xr:uid="{00000000-0005-0000-0000-0000EA770000}"/>
    <cellStyle name="40% - Accent4 4 2 2 2 2 4 2" xfId="19121" xr:uid="{00000000-0005-0000-0000-0000EB770000}"/>
    <cellStyle name="40% - Accent4 4 2 2 2 2 4 2 2" xfId="41723" xr:uid="{00000000-0005-0000-0000-0000EC770000}"/>
    <cellStyle name="40% - Accent4 4 2 2 2 2 4 3" xfId="30422" xr:uid="{00000000-0005-0000-0000-0000ED770000}"/>
    <cellStyle name="40% - Accent4 4 2 2 2 2 5" xfId="13471" xr:uid="{00000000-0005-0000-0000-0000EE770000}"/>
    <cellStyle name="40% - Accent4 4 2 2 2 2 5 2" xfId="36073" xr:uid="{00000000-0005-0000-0000-0000EF770000}"/>
    <cellStyle name="40% - Accent4 4 2 2 2 2 6" xfId="24772" xr:uid="{00000000-0005-0000-0000-0000F0770000}"/>
    <cellStyle name="40% - Accent4 4 2 2 2 3" xfId="2732" xr:uid="{00000000-0005-0000-0000-0000F1770000}"/>
    <cellStyle name="40% - Accent4 4 2 2 2 3 2" xfId="5751" xr:uid="{00000000-0005-0000-0000-0000F2770000}"/>
    <cellStyle name="40% - Accent4 4 2 2 2 3 2 2" xfId="11401" xr:uid="{00000000-0005-0000-0000-0000F3770000}"/>
    <cellStyle name="40% - Accent4 4 2 2 2 3 2 2 2" xfId="22702" xr:uid="{00000000-0005-0000-0000-0000F4770000}"/>
    <cellStyle name="40% - Accent4 4 2 2 2 3 2 2 2 2" xfId="45304" xr:uid="{00000000-0005-0000-0000-0000F5770000}"/>
    <cellStyle name="40% - Accent4 4 2 2 2 3 2 2 3" xfId="34003" xr:uid="{00000000-0005-0000-0000-0000F6770000}"/>
    <cellStyle name="40% - Accent4 4 2 2 2 3 2 3" xfId="17052" xr:uid="{00000000-0005-0000-0000-0000F7770000}"/>
    <cellStyle name="40% - Accent4 4 2 2 2 3 2 3 2" xfId="39654" xr:uid="{00000000-0005-0000-0000-0000F8770000}"/>
    <cellStyle name="40% - Accent4 4 2 2 2 3 2 4" xfId="28353" xr:uid="{00000000-0005-0000-0000-0000F9770000}"/>
    <cellStyle name="40% - Accent4 4 2 2 2 3 3" xfId="8568" xr:uid="{00000000-0005-0000-0000-0000FA770000}"/>
    <cellStyle name="40% - Accent4 4 2 2 2 3 3 2" xfId="19869" xr:uid="{00000000-0005-0000-0000-0000FB770000}"/>
    <cellStyle name="40% - Accent4 4 2 2 2 3 3 2 2" xfId="42471" xr:uid="{00000000-0005-0000-0000-0000FC770000}"/>
    <cellStyle name="40% - Accent4 4 2 2 2 3 3 3" xfId="31170" xr:uid="{00000000-0005-0000-0000-0000FD770000}"/>
    <cellStyle name="40% - Accent4 4 2 2 2 3 4" xfId="14219" xr:uid="{00000000-0005-0000-0000-0000FE770000}"/>
    <cellStyle name="40% - Accent4 4 2 2 2 3 4 2" xfId="36821" xr:uid="{00000000-0005-0000-0000-0000FF770000}"/>
    <cellStyle name="40% - Accent4 4 2 2 2 3 5" xfId="25520" xr:uid="{00000000-0005-0000-0000-000000780000}"/>
    <cellStyle name="40% - Accent4 4 2 2 2 4" xfId="4517" xr:uid="{00000000-0005-0000-0000-000001780000}"/>
    <cellStyle name="40% - Accent4 4 2 2 2 4 2" xfId="10167" xr:uid="{00000000-0005-0000-0000-000002780000}"/>
    <cellStyle name="40% - Accent4 4 2 2 2 4 2 2" xfId="21468" xr:uid="{00000000-0005-0000-0000-000003780000}"/>
    <cellStyle name="40% - Accent4 4 2 2 2 4 2 2 2" xfId="44070" xr:uid="{00000000-0005-0000-0000-000004780000}"/>
    <cellStyle name="40% - Accent4 4 2 2 2 4 2 3" xfId="32769" xr:uid="{00000000-0005-0000-0000-000005780000}"/>
    <cellStyle name="40% - Accent4 4 2 2 2 4 3" xfId="15818" xr:uid="{00000000-0005-0000-0000-000006780000}"/>
    <cellStyle name="40% - Accent4 4 2 2 2 4 3 2" xfId="38420" xr:uid="{00000000-0005-0000-0000-000007780000}"/>
    <cellStyle name="40% - Accent4 4 2 2 2 4 4" xfId="27119" xr:uid="{00000000-0005-0000-0000-000008780000}"/>
    <cellStyle name="40% - Accent4 4 2 2 2 5" xfId="7313" xr:uid="{00000000-0005-0000-0000-000009780000}"/>
    <cellStyle name="40% - Accent4 4 2 2 2 5 2" xfId="18614" xr:uid="{00000000-0005-0000-0000-00000A780000}"/>
    <cellStyle name="40% - Accent4 4 2 2 2 5 2 2" xfId="41216" xr:uid="{00000000-0005-0000-0000-00000B780000}"/>
    <cellStyle name="40% - Accent4 4 2 2 2 5 3" xfId="29915" xr:uid="{00000000-0005-0000-0000-00000C780000}"/>
    <cellStyle name="40% - Accent4 4 2 2 2 6" xfId="12964" xr:uid="{00000000-0005-0000-0000-00000D780000}"/>
    <cellStyle name="40% - Accent4 4 2 2 2 6 2" xfId="35566" xr:uid="{00000000-0005-0000-0000-00000E780000}"/>
    <cellStyle name="40% - Accent4 4 2 2 2 7" xfId="24265" xr:uid="{00000000-0005-0000-0000-00000F780000}"/>
    <cellStyle name="40% - Accent4 4 2 2 3" xfId="1032" xr:uid="{00000000-0005-0000-0000-000010780000}"/>
    <cellStyle name="40% - Accent4 4 2 2 3 2" xfId="3095" xr:uid="{00000000-0005-0000-0000-000011780000}"/>
    <cellStyle name="40% - Accent4 4 2 2 3 2 2" xfId="6067" xr:uid="{00000000-0005-0000-0000-000012780000}"/>
    <cellStyle name="40% - Accent4 4 2 2 3 2 2 2" xfId="11717" xr:uid="{00000000-0005-0000-0000-000013780000}"/>
    <cellStyle name="40% - Accent4 4 2 2 3 2 2 2 2" xfId="23018" xr:uid="{00000000-0005-0000-0000-000014780000}"/>
    <cellStyle name="40% - Accent4 4 2 2 3 2 2 2 2 2" xfId="45620" xr:uid="{00000000-0005-0000-0000-000015780000}"/>
    <cellStyle name="40% - Accent4 4 2 2 3 2 2 2 3" xfId="34319" xr:uid="{00000000-0005-0000-0000-000016780000}"/>
    <cellStyle name="40% - Accent4 4 2 2 3 2 2 3" xfId="17368" xr:uid="{00000000-0005-0000-0000-000017780000}"/>
    <cellStyle name="40% - Accent4 4 2 2 3 2 2 3 2" xfId="39970" xr:uid="{00000000-0005-0000-0000-000018780000}"/>
    <cellStyle name="40% - Accent4 4 2 2 3 2 2 4" xfId="28669" xr:uid="{00000000-0005-0000-0000-000019780000}"/>
    <cellStyle name="40% - Accent4 4 2 2 3 2 3" xfId="8885" xr:uid="{00000000-0005-0000-0000-00001A780000}"/>
    <cellStyle name="40% - Accent4 4 2 2 3 2 3 2" xfId="20186" xr:uid="{00000000-0005-0000-0000-00001B780000}"/>
    <cellStyle name="40% - Accent4 4 2 2 3 2 3 2 2" xfId="42788" xr:uid="{00000000-0005-0000-0000-00001C780000}"/>
    <cellStyle name="40% - Accent4 4 2 2 3 2 3 3" xfId="31487" xr:uid="{00000000-0005-0000-0000-00001D780000}"/>
    <cellStyle name="40% - Accent4 4 2 2 3 2 4" xfId="14536" xr:uid="{00000000-0005-0000-0000-00001E780000}"/>
    <cellStyle name="40% - Accent4 4 2 2 3 2 4 2" xfId="37138" xr:uid="{00000000-0005-0000-0000-00001F780000}"/>
    <cellStyle name="40% - Accent4 4 2 2 3 2 5" xfId="25837" xr:uid="{00000000-0005-0000-0000-000020780000}"/>
    <cellStyle name="40% - Accent4 4 2 2 3 3" xfId="4833" xr:uid="{00000000-0005-0000-0000-000021780000}"/>
    <cellStyle name="40% - Accent4 4 2 2 3 3 2" xfId="10483" xr:uid="{00000000-0005-0000-0000-000022780000}"/>
    <cellStyle name="40% - Accent4 4 2 2 3 3 2 2" xfId="21784" xr:uid="{00000000-0005-0000-0000-000023780000}"/>
    <cellStyle name="40% - Accent4 4 2 2 3 3 2 2 2" xfId="44386" xr:uid="{00000000-0005-0000-0000-000024780000}"/>
    <cellStyle name="40% - Accent4 4 2 2 3 3 2 3" xfId="33085" xr:uid="{00000000-0005-0000-0000-000025780000}"/>
    <cellStyle name="40% - Accent4 4 2 2 3 3 3" xfId="16134" xr:uid="{00000000-0005-0000-0000-000026780000}"/>
    <cellStyle name="40% - Accent4 4 2 2 3 3 3 2" xfId="38736" xr:uid="{00000000-0005-0000-0000-000027780000}"/>
    <cellStyle name="40% - Accent4 4 2 2 3 3 4" xfId="27435" xr:uid="{00000000-0005-0000-0000-000028780000}"/>
    <cellStyle name="40% - Accent4 4 2 2 3 4" xfId="7020" xr:uid="{00000000-0005-0000-0000-000029780000}"/>
    <cellStyle name="40% - Accent4 4 2 2 3 4 2" xfId="18321" xr:uid="{00000000-0005-0000-0000-00002A780000}"/>
    <cellStyle name="40% - Accent4 4 2 2 3 4 2 2" xfId="40923" xr:uid="{00000000-0005-0000-0000-00002B780000}"/>
    <cellStyle name="40% - Accent4 4 2 2 3 4 3" xfId="29622" xr:uid="{00000000-0005-0000-0000-00002C780000}"/>
    <cellStyle name="40% - Accent4 4 2 2 3 5" xfId="12671" xr:uid="{00000000-0005-0000-0000-00002D780000}"/>
    <cellStyle name="40% - Accent4 4 2 2 3 5 2" xfId="35273" xr:uid="{00000000-0005-0000-0000-00002E780000}"/>
    <cellStyle name="40% - Accent4 4 2 2 3 6" xfId="23972" xr:uid="{00000000-0005-0000-0000-00002F780000}"/>
    <cellStyle name="40% - Accent4 4 2 2 4" xfId="1963" xr:uid="{00000000-0005-0000-0000-000030780000}"/>
    <cellStyle name="40% - Accent4 4 2 2 4 2" xfId="3784" xr:uid="{00000000-0005-0000-0000-000031780000}"/>
    <cellStyle name="40% - Accent4 4 2 2 4 2 2" xfId="9494" xr:uid="{00000000-0005-0000-0000-000032780000}"/>
    <cellStyle name="40% - Accent4 4 2 2 4 2 2 2" xfId="20795" xr:uid="{00000000-0005-0000-0000-000033780000}"/>
    <cellStyle name="40% - Accent4 4 2 2 4 2 2 2 2" xfId="43397" xr:uid="{00000000-0005-0000-0000-000034780000}"/>
    <cellStyle name="40% - Accent4 4 2 2 4 2 2 3" xfId="32096" xr:uid="{00000000-0005-0000-0000-000035780000}"/>
    <cellStyle name="40% - Accent4 4 2 2 4 2 3" xfId="15145" xr:uid="{00000000-0005-0000-0000-000036780000}"/>
    <cellStyle name="40% - Accent4 4 2 2 4 2 3 2" xfId="37747" xr:uid="{00000000-0005-0000-0000-000037780000}"/>
    <cellStyle name="40% - Accent4 4 2 2 4 2 4" xfId="26446" xr:uid="{00000000-0005-0000-0000-000038780000}"/>
    <cellStyle name="40% - Accent4 4 2 2 4 3" xfId="5443" xr:uid="{00000000-0005-0000-0000-000039780000}"/>
    <cellStyle name="40% - Accent4 4 2 2 4 3 2" xfId="11093" xr:uid="{00000000-0005-0000-0000-00003A780000}"/>
    <cellStyle name="40% - Accent4 4 2 2 4 3 2 2" xfId="22394" xr:uid="{00000000-0005-0000-0000-00003B780000}"/>
    <cellStyle name="40% - Accent4 4 2 2 4 3 2 2 2" xfId="44996" xr:uid="{00000000-0005-0000-0000-00003C780000}"/>
    <cellStyle name="40% - Accent4 4 2 2 4 3 2 3" xfId="33695" xr:uid="{00000000-0005-0000-0000-00003D780000}"/>
    <cellStyle name="40% - Accent4 4 2 2 4 3 3" xfId="16744" xr:uid="{00000000-0005-0000-0000-00003E780000}"/>
    <cellStyle name="40% - Accent4 4 2 2 4 3 3 2" xfId="39346" xr:uid="{00000000-0005-0000-0000-00003F780000}"/>
    <cellStyle name="40% - Accent4 4 2 2 4 3 4" xfId="28045" xr:uid="{00000000-0005-0000-0000-000040780000}"/>
    <cellStyle name="40% - Accent4 4 2 2 4 4" xfId="7819" xr:uid="{00000000-0005-0000-0000-000041780000}"/>
    <cellStyle name="40% - Accent4 4 2 2 4 4 2" xfId="19120" xr:uid="{00000000-0005-0000-0000-000042780000}"/>
    <cellStyle name="40% - Accent4 4 2 2 4 4 2 2" xfId="41722" xr:uid="{00000000-0005-0000-0000-000043780000}"/>
    <cellStyle name="40% - Accent4 4 2 2 4 4 3" xfId="30421" xr:uid="{00000000-0005-0000-0000-000044780000}"/>
    <cellStyle name="40% - Accent4 4 2 2 4 5" xfId="13470" xr:uid="{00000000-0005-0000-0000-000045780000}"/>
    <cellStyle name="40% - Accent4 4 2 2 4 5 2" xfId="36072" xr:uid="{00000000-0005-0000-0000-000046780000}"/>
    <cellStyle name="40% - Accent4 4 2 2 4 6" xfId="24771" xr:uid="{00000000-0005-0000-0000-000047780000}"/>
    <cellStyle name="40% - Accent4 4 2 2 5" xfId="2424" xr:uid="{00000000-0005-0000-0000-000048780000}"/>
    <cellStyle name="40% - Accent4 4 2 2 5 2" xfId="8260" xr:uid="{00000000-0005-0000-0000-000049780000}"/>
    <cellStyle name="40% - Accent4 4 2 2 5 2 2" xfId="19561" xr:uid="{00000000-0005-0000-0000-00004A780000}"/>
    <cellStyle name="40% - Accent4 4 2 2 5 2 2 2" xfId="42163" xr:uid="{00000000-0005-0000-0000-00004B780000}"/>
    <cellStyle name="40% - Accent4 4 2 2 5 2 3" xfId="30862" xr:uid="{00000000-0005-0000-0000-00004C780000}"/>
    <cellStyle name="40% - Accent4 4 2 2 5 3" xfId="13911" xr:uid="{00000000-0005-0000-0000-00004D780000}"/>
    <cellStyle name="40% - Accent4 4 2 2 5 3 2" xfId="36513" xr:uid="{00000000-0005-0000-0000-00004E780000}"/>
    <cellStyle name="40% - Accent4 4 2 2 5 4" xfId="25212" xr:uid="{00000000-0005-0000-0000-00004F780000}"/>
    <cellStyle name="40% - Accent4 4 2 2 6" xfId="4209" xr:uid="{00000000-0005-0000-0000-000050780000}"/>
    <cellStyle name="40% - Accent4 4 2 2 6 2" xfId="9859" xr:uid="{00000000-0005-0000-0000-000051780000}"/>
    <cellStyle name="40% - Accent4 4 2 2 6 2 2" xfId="21160" xr:uid="{00000000-0005-0000-0000-000052780000}"/>
    <cellStyle name="40% - Accent4 4 2 2 6 2 2 2" xfId="43762" xr:uid="{00000000-0005-0000-0000-000053780000}"/>
    <cellStyle name="40% - Accent4 4 2 2 6 2 3" xfId="32461" xr:uid="{00000000-0005-0000-0000-000054780000}"/>
    <cellStyle name="40% - Accent4 4 2 2 6 3" xfId="15510" xr:uid="{00000000-0005-0000-0000-000055780000}"/>
    <cellStyle name="40% - Accent4 4 2 2 6 3 2" xfId="38112" xr:uid="{00000000-0005-0000-0000-000056780000}"/>
    <cellStyle name="40% - Accent4 4 2 2 6 4" xfId="26811" xr:uid="{00000000-0005-0000-0000-000057780000}"/>
    <cellStyle name="40% - Accent4 4 2 2 7" xfId="6689" xr:uid="{00000000-0005-0000-0000-000058780000}"/>
    <cellStyle name="40% - Accent4 4 2 2 7 2" xfId="17990" xr:uid="{00000000-0005-0000-0000-000059780000}"/>
    <cellStyle name="40% - Accent4 4 2 2 7 2 2" xfId="40592" xr:uid="{00000000-0005-0000-0000-00005A780000}"/>
    <cellStyle name="40% - Accent4 4 2 2 7 3" xfId="29291" xr:uid="{00000000-0005-0000-0000-00005B780000}"/>
    <cellStyle name="40% - Accent4 4 2 2 8" xfId="12340" xr:uid="{00000000-0005-0000-0000-00005C780000}"/>
    <cellStyle name="40% - Accent4 4 2 2 8 2" xfId="34942" xr:uid="{00000000-0005-0000-0000-00005D780000}"/>
    <cellStyle name="40% - Accent4 4 2 2 9" xfId="23641" xr:uid="{00000000-0005-0000-0000-00005E780000}"/>
    <cellStyle name="40% - Accent4 4 2 3" xfId="1196" xr:uid="{00000000-0005-0000-0000-00005F780000}"/>
    <cellStyle name="40% - Accent4 4 2 3 2" xfId="1965" xr:uid="{00000000-0005-0000-0000-000060780000}"/>
    <cellStyle name="40% - Accent4 4 2 3 2 2" xfId="3264" xr:uid="{00000000-0005-0000-0000-000061780000}"/>
    <cellStyle name="40% - Accent4 4 2 3 2 2 2" xfId="6236" xr:uid="{00000000-0005-0000-0000-000062780000}"/>
    <cellStyle name="40% - Accent4 4 2 3 2 2 2 2" xfId="11886" xr:uid="{00000000-0005-0000-0000-000063780000}"/>
    <cellStyle name="40% - Accent4 4 2 3 2 2 2 2 2" xfId="23187" xr:uid="{00000000-0005-0000-0000-000064780000}"/>
    <cellStyle name="40% - Accent4 4 2 3 2 2 2 2 2 2" xfId="45789" xr:uid="{00000000-0005-0000-0000-000065780000}"/>
    <cellStyle name="40% - Accent4 4 2 3 2 2 2 2 3" xfId="34488" xr:uid="{00000000-0005-0000-0000-000066780000}"/>
    <cellStyle name="40% - Accent4 4 2 3 2 2 2 3" xfId="17537" xr:uid="{00000000-0005-0000-0000-000067780000}"/>
    <cellStyle name="40% - Accent4 4 2 3 2 2 2 3 2" xfId="40139" xr:uid="{00000000-0005-0000-0000-000068780000}"/>
    <cellStyle name="40% - Accent4 4 2 3 2 2 2 4" xfId="28838" xr:uid="{00000000-0005-0000-0000-000069780000}"/>
    <cellStyle name="40% - Accent4 4 2 3 2 2 3" xfId="9054" xr:uid="{00000000-0005-0000-0000-00006A780000}"/>
    <cellStyle name="40% - Accent4 4 2 3 2 2 3 2" xfId="20355" xr:uid="{00000000-0005-0000-0000-00006B780000}"/>
    <cellStyle name="40% - Accent4 4 2 3 2 2 3 2 2" xfId="42957" xr:uid="{00000000-0005-0000-0000-00006C780000}"/>
    <cellStyle name="40% - Accent4 4 2 3 2 2 3 3" xfId="31656" xr:uid="{00000000-0005-0000-0000-00006D780000}"/>
    <cellStyle name="40% - Accent4 4 2 3 2 2 4" xfId="14705" xr:uid="{00000000-0005-0000-0000-00006E780000}"/>
    <cellStyle name="40% - Accent4 4 2 3 2 2 4 2" xfId="37307" xr:uid="{00000000-0005-0000-0000-00006F780000}"/>
    <cellStyle name="40% - Accent4 4 2 3 2 2 5" xfId="26006" xr:uid="{00000000-0005-0000-0000-000070780000}"/>
    <cellStyle name="40% - Accent4 4 2 3 2 3" xfId="5002" xr:uid="{00000000-0005-0000-0000-000071780000}"/>
    <cellStyle name="40% - Accent4 4 2 3 2 3 2" xfId="10652" xr:uid="{00000000-0005-0000-0000-000072780000}"/>
    <cellStyle name="40% - Accent4 4 2 3 2 3 2 2" xfId="21953" xr:uid="{00000000-0005-0000-0000-000073780000}"/>
    <cellStyle name="40% - Accent4 4 2 3 2 3 2 2 2" xfId="44555" xr:uid="{00000000-0005-0000-0000-000074780000}"/>
    <cellStyle name="40% - Accent4 4 2 3 2 3 2 3" xfId="33254" xr:uid="{00000000-0005-0000-0000-000075780000}"/>
    <cellStyle name="40% - Accent4 4 2 3 2 3 3" xfId="16303" xr:uid="{00000000-0005-0000-0000-000076780000}"/>
    <cellStyle name="40% - Accent4 4 2 3 2 3 3 2" xfId="38905" xr:uid="{00000000-0005-0000-0000-000077780000}"/>
    <cellStyle name="40% - Accent4 4 2 3 2 3 4" xfId="27604" xr:uid="{00000000-0005-0000-0000-000078780000}"/>
    <cellStyle name="40% - Accent4 4 2 3 2 4" xfId="7821" xr:uid="{00000000-0005-0000-0000-000079780000}"/>
    <cellStyle name="40% - Accent4 4 2 3 2 4 2" xfId="19122" xr:uid="{00000000-0005-0000-0000-00007A780000}"/>
    <cellStyle name="40% - Accent4 4 2 3 2 4 2 2" xfId="41724" xr:uid="{00000000-0005-0000-0000-00007B780000}"/>
    <cellStyle name="40% - Accent4 4 2 3 2 4 3" xfId="30423" xr:uid="{00000000-0005-0000-0000-00007C780000}"/>
    <cellStyle name="40% - Accent4 4 2 3 2 5" xfId="13472" xr:uid="{00000000-0005-0000-0000-00007D780000}"/>
    <cellStyle name="40% - Accent4 4 2 3 2 5 2" xfId="36074" xr:uid="{00000000-0005-0000-0000-00007E780000}"/>
    <cellStyle name="40% - Accent4 4 2 3 2 6" xfId="24773" xr:uid="{00000000-0005-0000-0000-00007F780000}"/>
    <cellStyle name="40% - Accent4 4 2 3 3" xfId="2593" xr:uid="{00000000-0005-0000-0000-000080780000}"/>
    <cellStyle name="40% - Accent4 4 2 3 3 2" xfId="5612" xr:uid="{00000000-0005-0000-0000-000081780000}"/>
    <cellStyle name="40% - Accent4 4 2 3 3 2 2" xfId="11262" xr:uid="{00000000-0005-0000-0000-000082780000}"/>
    <cellStyle name="40% - Accent4 4 2 3 3 2 2 2" xfId="22563" xr:uid="{00000000-0005-0000-0000-000083780000}"/>
    <cellStyle name="40% - Accent4 4 2 3 3 2 2 2 2" xfId="45165" xr:uid="{00000000-0005-0000-0000-000084780000}"/>
    <cellStyle name="40% - Accent4 4 2 3 3 2 2 3" xfId="33864" xr:uid="{00000000-0005-0000-0000-000085780000}"/>
    <cellStyle name="40% - Accent4 4 2 3 3 2 3" xfId="16913" xr:uid="{00000000-0005-0000-0000-000086780000}"/>
    <cellStyle name="40% - Accent4 4 2 3 3 2 3 2" xfId="39515" xr:uid="{00000000-0005-0000-0000-000087780000}"/>
    <cellStyle name="40% - Accent4 4 2 3 3 2 4" xfId="28214" xr:uid="{00000000-0005-0000-0000-000088780000}"/>
    <cellStyle name="40% - Accent4 4 2 3 3 3" xfId="8429" xr:uid="{00000000-0005-0000-0000-000089780000}"/>
    <cellStyle name="40% - Accent4 4 2 3 3 3 2" xfId="19730" xr:uid="{00000000-0005-0000-0000-00008A780000}"/>
    <cellStyle name="40% - Accent4 4 2 3 3 3 2 2" xfId="42332" xr:uid="{00000000-0005-0000-0000-00008B780000}"/>
    <cellStyle name="40% - Accent4 4 2 3 3 3 3" xfId="31031" xr:uid="{00000000-0005-0000-0000-00008C780000}"/>
    <cellStyle name="40% - Accent4 4 2 3 3 4" xfId="14080" xr:uid="{00000000-0005-0000-0000-00008D780000}"/>
    <cellStyle name="40% - Accent4 4 2 3 3 4 2" xfId="36682" xr:uid="{00000000-0005-0000-0000-00008E780000}"/>
    <cellStyle name="40% - Accent4 4 2 3 3 5" xfId="25381" xr:uid="{00000000-0005-0000-0000-00008F780000}"/>
    <cellStyle name="40% - Accent4 4 2 3 4" xfId="4378" xr:uid="{00000000-0005-0000-0000-000090780000}"/>
    <cellStyle name="40% - Accent4 4 2 3 4 2" xfId="10028" xr:uid="{00000000-0005-0000-0000-000091780000}"/>
    <cellStyle name="40% - Accent4 4 2 3 4 2 2" xfId="21329" xr:uid="{00000000-0005-0000-0000-000092780000}"/>
    <cellStyle name="40% - Accent4 4 2 3 4 2 2 2" xfId="43931" xr:uid="{00000000-0005-0000-0000-000093780000}"/>
    <cellStyle name="40% - Accent4 4 2 3 4 2 3" xfId="32630" xr:uid="{00000000-0005-0000-0000-000094780000}"/>
    <cellStyle name="40% - Accent4 4 2 3 4 3" xfId="15679" xr:uid="{00000000-0005-0000-0000-000095780000}"/>
    <cellStyle name="40% - Accent4 4 2 3 4 3 2" xfId="38281" xr:uid="{00000000-0005-0000-0000-000096780000}"/>
    <cellStyle name="40% - Accent4 4 2 3 4 4" xfId="26980" xr:uid="{00000000-0005-0000-0000-000097780000}"/>
    <cellStyle name="40% - Accent4 4 2 3 5" xfId="7175" xr:uid="{00000000-0005-0000-0000-000098780000}"/>
    <cellStyle name="40% - Accent4 4 2 3 5 2" xfId="18476" xr:uid="{00000000-0005-0000-0000-000099780000}"/>
    <cellStyle name="40% - Accent4 4 2 3 5 2 2" xfId="41078" xr:uid="{00000000-0005-0000-0000-00009A780000}"/>
    <cellStyle name="40% - Accent4 4 2 3 5 3" xfId="29777" xr:uid="{00000000-0005-0000-0000-00009B780000}"/>
    <cellStyle name="40% - Accent4 4 2 3 6" xfId="12826" xr:uid="{00000000-0005-0000-0000-00009C780000}"/>
    <cellStyle name="40% - Accent4 4 2 3 6 2" xfId="35428" xr:uid="{00000000-0005-0000-0000-00009D780000}"/>
    <cellStyle name="40% - Accent4 4 2 3 7" xfId="24127" xr:uid="{00000000-0005-0000-0000-00009E780000}"/>
    <cellStyle name="40% - Accent4 4 2 4" xfId="886" xr:uid="{00000000-0005-0000-0000-00009F780000}"/>
    <cellStyle name="40% - Accent4 4 2 4 2" xfId="2957" xr:uid="{00000000-0005-0000-0000-0000A0780000}"/>
    <cellStyle name="40% - Accent4 4 2 4 2 2" xfId="5929" xr:uid="{00000000-0005-0000-0000-0000A1780000}"/>
    <cellStyle name="40% - Accent4 4 2 4 2 2 2" xfId="11579" xr:uid="{00000000-0005-0000-0000-0000A2780000}"/>
    <cellStyle name="40% - Accent4 4 2 4 2 2 2 2" xfId="22880" xr:uid="{00000000-0005-0000-0000-0000A3780000}"/>
    <cellStyle name="40% - Accent4 4 2 4 2 2 2 2 2" xfId="45482" xr:uid="{00000000-0005-0000-0000-0000A4780000}"/>
    <cellStyle name="40% - Accent4 4 2 4 2 2 2 3" xfId="34181" xr:uid="{00000000-0005-0000-0000-0000A5780000}"/>
    <cellStyle name="40% - Accent4 4 2 4 2 2 3" xfId="17230" xr:uid="{00000000-0005-0000-0000-0000A6780000}"/>
    <cellStyle name="40% - Accent4 4 2 4 2 2 3 2" xfId="39832" xr:uid="{00000000-0005-0000-0000-0000A7780000}"/>
    <cellStyle name="40% - Accent4 4 2 4 2 2 4" xfId="28531" xr:uid="{00000000-0005-0000-0000-0000A8780000}"/>
    <cellStyle name="40% - Accent4 4 2 4 2 3" xfId="8747" xr:uid="{00000000-0005-0000-0000-0000A9780000}"/>
    <cellStyle name="40% - Accent4 4 2 4 2 3 2" xfId="20048" xr:uid="{00000000-0005-0000-0000-0000AA780000}"/>
    <cellStyle name="40% - Accent4 4 2 4 2 3 2 2" xfId="42650" xr:uid="{00000000-0005-0000-0000-0000AB780000}"/>
    <cellStyle name="40% - Accent4 4 2 4 2 3 3" xfId="31349" xr:uid="{00000000-0005-0000-0000-0000AC780000}"/>
    <cellStyle name="40% - Accent4 4 2 4 2 4" xfId="14398" xr:uid="{00000000-0005-0000-0000-0000AD780000}"/>
    <cellStyle name="40% - Accent4 4 2 4 2 4 2" xfId="37000" xr:uid="{00000000-0005-0000-0000-0000AE780000}"/>
    <cellStyle name="40% - Accent4 4 2 4 2 5" xfId="25699" xr:uid="{00000000-0005-0000-0000-0000AF780000}"/>
    <cellStyle name="40% - Accent4 4 2 4 3" xfId="4695" xr:uid="{00000000-0005-0000-0000-0000B0780000}"/>
    <cellStyle name="40% - Accent4 4 2 4 3 2" xfId="10345" xr:uid="{00000000-0005-0000-0000-0000B1780000}"/>
    <cellStyle name="40% - Accent4 4 2 4 3 2 2" xfId="21646" xr:uid="{00000000-0005-0000-0000-0000B2780000}"/>
    <cellStyle name="40% - Accent4 4 2 4 3 2 2 2" xfId="44248" xr:uid="{00000000-0005-0000-0000-0000B3780000}"/>
    <cellStyle name="40% - Accent4 4 2 4 3 2 3" xfId="32947" xr:uid="{00000000-0005-0000-0000-0000B4780000}"/>
    <cellStyle name="40% - Accent4 4 2 4 3 3" xfId="15996" xr:uid="{00000000-0005-0000-0000-0000B5780000}"/>
    <cellStyle name="40% - Accent4 4 2 4 3 3 2" xfId="38598" xr:uid="{00000000-0005-0000-0000-0000B6780000}"/>
    <cellStyle name="40% - Accent4 4 2 4 3 4" xfId="27297" xr:uid="{00000000-0005-0000-0000-0000B7780000}"/>
    <cellStyle name="40% - Accent4 4 2 4 4" xfId="6882" xr:uid="{00000000-0005-0000-0000-0000B8780000}"/>
    <cellStyle name="40% - Accent4 4 2 4 4 2" xfId="18183" xr:uid="{00000000-0005-0000-0000-0000B9780000}"/>
    <cellStyle name="40% - Accent4 4 2 4 4 2 2" xfId="40785" xr:uid="{00000000-0005-0000-0000-0000BA780000}"/>
    <cellStyle name="40% - Accent4 4 2 4 4 3" xfId="29484" xr:uid="{00000000-0005-0000-0000-0000BB780000}"/>
    <cellStyle name="40% - Accent4 4 2 4 5" xfId="12533" xr:uid="{00000000-0005-0000-0000-0000BC780000}"/>
    <cellStyle name="40% - Accent4 4 2 4 5 2" xfId="35135" xr:uid="{00000000-0005-0000-0000-0000BD780000}"/>
    <cellStyle name="40% - Accent4 4 2 4 6" xfId="23834" xr:uid="{00000000-0005-0000-0000-0000BE780000}"/>
    <cellStyle name="40% - Accent4 4 2 5" xfId="1962" xr:uid="{00000000-0005-0000-0000-0000BF780000}"/>
    <cellStyle name="40% - Accent4 4 2 5 2" xfId="3783" xr:uid="{00000000-0005-0000-0000-0000C0780000}"/>
    <cellStyle name="40% - Accent4 4 2 5 2 2" xfId="9493" xr:uid="{00000000-0005-0000-0000-0000C1780000}"/>
    <cellStyle name="40% - Accent4 4 2 5 2 2 2" xfId="20794" xr:uid="{00000000-0005-0000-0000-0000C2780000}"/>
    <cellStyle name="40% - Accent4 4 2 5 2 2 2 2" xfId="43396" xr:uid="{00000000-0005-0000-0000-0000C3780000}"/>
    <cellStyle name="40% - Accent4 4 2 5 2 2 3" xfId="32095" xr:uid="{00000000-0005-0000-0000-0000C4780000}"/>
    <cellStyle name="40% - Accent4 4 2 5 2 3" xfId="15144" xr:uid="{00000000-0005-0000-0000-0000C5780000}"/>
    <cellStyle name="40% - Accent4 4 2 5 2 3 2" xfId="37746" xr:uid="{00000000-0005-0000-0000-0000C6780000}"/>
    <cellStyle name="40% - Accent4 4 2 5 2 4" xfId="26445" xr:uid="{00000000-0005-0000-0000-0000C7780000}"/>
    <cellStyle name="40% - Accent4 4 2 5 3" xfId="5305" xr:uid="{00000000-0005-0000-0000-0000C8780000}"/>
    <cellStyle name="40% - Accent4 4 2 5 3 2" xfId="10955" xr:uid="{00000000-0005-0000-0000-0000C9780000}"/>
    <cellStyle name="40% - Accent4 4 2 5 3 2 2" xfId="22256" xr:uid="{00000000-0005-0000-0000-0000CA780000}"/>
    <cellStyle name="40% - Accent4 4 2 5 3 2 2 2" xfId="44858" xr:uid="{00000000-0005-0000-0000-0000CB780000}"/>
    <cellStyle name="40% - Accent4 4 2 5 3 2 3" xfId="33557" xr:uid="{00000000-0005-0000-0000-0000CC780000}"/>
    <cellStyle name="40% - Accent4 4 2 5 3 3" xfId="16606" xr:uid="{00000000-0005-0000-0000-0000CD780000}"/>
    <cellStyle name="40% - Accent4 4 2 5 3 3 2" xfId="39208" xr:uid="{00000000-0005-0000-0000-0000CE780000}"/>
    <cellStyle name="40% - Accent4 4 2 5 3 4" xfId="27907" xr:uid="{00000000-0005-0000-0000-0000CF780000}"/>
    <cellStyle name="40% - Accent4 4 2 5 4" xfId="7818" xr:uid="{00000000-0005-0000-0000-0000D0780000}"/>
    <cellStyle name="40% - Accent4 4 2 5 4 2" xfId="19119" xr:uid="{00000000-0005-0000-0000-0000D1780000}"/>
    <cellStyle name="40% - Accent4 4 2 5 4 2 2" xfId="41721" xr:uid="{00000000-0005-0000-0000-0000D2780000}"/>
    <cellStyle name="40% - Accent4 4 2 5 4 3" xfId="30420" xr:uid="{00000000-0005-0000-0000-0000D3780000}"/>
    <cellStyle name="40% - Accent4 4 2 5 5" xfId="13469" xr:uid="{00000000-0005-0000-0000-0000D4780000}"/>
    <cellStyle name="40% - Accent4 4 2 5 5 2" xfId="36071" xr:uid="{00000000-0005-0000-0000-0000D5780000}"/>
    <cellStyle name="40% - Accent4 4 2 5 6" xfId="24770" xr:uid="{00000000-0005-0000-0000-0000D6780000}"/>
    <cellStyle name="40% - Accent4 4 2 6" xfId="2284" xr:uid="{00000000-0005-0000-0000-0000D7780000}"/>
    <cellStyle name="40% - Accent4 4 2 6 2" xfId="8120" xr:uid="{00000000-0005-0000-0000-0000D8780000}"/>
    <cellStyle name="40% - Accent4 4 2 6 2 2" xfId="19421" xr:uid="{00000000-0005-0000-0000-0000D9780000}"/>
    <cellStyle name="40% - Accent4 4 2 6 2 2 2" xfId="42023" xr:uid="{00000000-0005-0000-0000-0000DA780000}"/>
    <cellStyle name="40% - Accent4 4 2 6 2 3" xfId="30722" xr:uid="{00000000-0005-0000-0000-0000DB780000}"/>
    <cellStyle name="40% - Accent4 4 2 6 3" xfId="13771" xr:uid="{00000000-0005-0000-0000-0000DC780000}"/>
    <cellStyle name="40% - Accent4 4 2 6 3 2" xfId="36373" xr:uid="{00000000-0005-0000-0000-0000DD780000}"/>
    <cellStyle name="40% - Accent4 4 2 6 4" xfId="25072" xr:uid="{00000000-0005-0000-0000-0000DE780000}"/>
    <cellStyle name="40% - Accent4 4 2 7" xfId="4071" xr:uid="{00000000-0005-0000-0000-0000DF780000}"/>
    <cellStyle name="40% - Accent4 4 2 7 2" xfId="9721" xr:uid="{00000000-0005-0000-0000-0000E0780000}"/>
    <cellStyle name="40% - Accent4 4 2 7 2 2" xfId="21022" xr:uid="{00000000-0005-0000-0000-0000E1780000}"/>
    <cellStyle name="40% - Accent4 4 2 7 2 2 2" xfId="43624" xr:uid="{00000000-0005-0000-0000-0000E2780000}"/>
    <cellStyle name="40% - Accent4 4 2 7 2 3" xfId="32323" xr:uid="{00000000-0005-0000-0000-0000E3780000}"/>
    <cellStyle name="40% - Accent4 4 2 7 3" xfId="15372" xr:uid="{00000000-0005-0000-0000-0000E4780000}"/>
    <cellStyle name="40% - Accent4 4 2 7 3 2" xfId="37974" xr:uid="{00000000-0005-0000-0000-0000E5780000}"/>
    <cellStyle name="40% - Accent4 4 2 7 4" xfId="26673" xr:uid="{00000000-0005-0000-0000-0000E6780000}"/>
    <cellStyle name="40% - Accent4 4 2 8" xfId="6522" xr:uid="{00000000-0005-0000-0000-0000E7780000}"/>
    <cellStyle name="40% - Accent4 4 2 8 2" xfId="17823" xr:uid="{00000000-0005-0000-0000-0000E8780000}"/>
    <cellStyle name="40% - Accent4 4 2 8 2 2" xfId="40425" xr:uid="{00000000-0005-0000-0000-0000E9780000}"/>
    <cellStyle name="40% - Accent4 4 2 8 3" xfId="29124" xr:uid="{00000000-0005-0000-0000-0000EA780000}"/>
    <cellStyle name="40% - Accent4 4 2 9" xfId="12173" xr:uid="{00000000-0005-0000-0000-0000EB780000}"/>
    <cellStyle name="40% - Accent4 4 2 9 2" xfId="34775" xr:uid="{00000000-0005-0000-0000-0000EC780000}"/>
    <cellStyle name="40% - Accent4 4 3" xfId="428" xr:uid="{00000000-0005-0000-0000-0000ED780000}"/>
    <cellStyle name="40% - Accent4 4 3 10" xfId="23523" xr:uid="{00000000-0005-0000-0000-0000EE780000}"/>
    <cellStyle name="40% - Accent4 4 3 2" xfId="673" xr:uid="{00000000-0005-0000-0000-0000EF780000}"/>
    <cellStyle name="40% - Accent4 4 3 2 2" xfId="1383" xr:uid="{00000000-0005-0000-0000-0000F0780000}"/>
    <cellStyle name="40% - Accent4 4 3 2 2 2" xfId="1968" xr:uid="{00000000-0005-0000-0000-0000F1780000}"/>
    <cellStyle name="40% - Accent4 4 3 2 2 2 2" xfId="3452" xr:uid="{00000000-0005-0000-0000-0000F2780000}"/>
    <cellStyle name="40% - Accent4 4 3 2 2 2 2 2" xfId="6424" xr:uid="{00000000-0005-0000-0000-0000F3780000}"/>
    <cellStyle name="40% - Accent4 4 3 2 2 2 2 2 2" xfId="12074" xr:uid="{00000000-0005-0000-0000-0000F4780000}"/>
    <cellStyle name="40% - Accent4 4 3 2 2 2 2 2 2 2" xfId="23375" xr:uid="{00000000-0005-0000-0000-0000F5780000}"/>
    <cellStyle name="40% - Accent4 4 3 2 2 2 2 2 2 2 2" xfId="45977" xr:uid="{00000000-0005-0000-0000-0000F6780000}"/>
    <cellStyle name="40% - Accent4 4 3 2 2 2 2 2 2 3" xfId="34676" xr:uid="{00000000-0005-0000-0000-0000F7780000}"/>
    <cellStyle name="40% - Accent4 4 3 2 2 2 2 2 3" xfId="17725" xr:uid="{00000000-0005-0000-0000-0000F8780000}"/>
    <cellStyle name="40% - Accent4 4 3 2 2 2 2 2 3 2" xfId="40327" xr:uid="{00000000-0005-0000-0000-0000F9780000}"/>
    <cellStyle name="40% - Accent4 4 3 2 2 2 2 2 4" xfId="29026" xr:uid="{00000000-0005-0000-0000-0000FA780000}"/>
    <cellStyle name="40% - Accent4 4 3 2 2 2 2 3" xfId="9242" xr:uid="{00000000-0005-0000-0000-0000FB780000}"/>
    <cellStyle name="40% - Accent4 4 3 2 2 2 2 3 2" xfId="20543" xr:uid="{00000000-0005-0000-0000-0000FC780000}"/>
    <cellStyle name="40% - Accent4 4 3 2 2 2 2 3 2 2" xfId="43145" xr:uid="{00000000-0005-0000-0000-0000FD780000}"/>
    <cellStyle name="40% - Accent4 4 3 2 2 2 2 3 3" xfId="31844" xr:uid="{00000000-0005-0000-0000-0000FE780000}"/>
    <cellStyle name="40% - Accent4 4 3 2 2 2 2 4" xfId="14893" xr:uid="{00000000-0005-0000-0000-0000FF780000}"/>
    <cellStyle name="40% - Accent4 4 3 2 2 2 2 4 2" xfId="37495" xr:uid="{00000000-0005-0000-0000-000000790000}"/>
    <cellStyle name="40% - Accent4 4 3 2 2 2 2 5" xfId="26194" xr:uid="{00000000-0005-0000-0000-000001790000}"/>
    <cellStyle name="40% - Accent4 4 3 2 2 2 3" xfId="5190" xr:uid="{00000000-0005-0000-0000-000002790000}"/>
    <cellStyle name="40% - Accent4 4 3 2 2 2 3 2" xfId="10840" xr:uid="{00000000-0005-0000-0000-000003790000}"/>
    <cellStyle name="40% - Accent4 4 3 2 2 2 3 2 2" xfId="22141" xr:uid="{00000000-0005-0000-0000-000004790000}"/>
    <cellStyle name="40% - Accent4 4 3 2 2 2 3 2 2 2" xfId="44743" xr:uid="{00000000-0005-0000-0000-000005790000}"/>
    <cellStyle name="40% - Accent4 4 3 2 2 2 3 2 3" xfId="33442" xr:uid="{00000000-0005-0000-0000-000006790000}"/>
    <cellStyle name="40% - Accent4 4 3 2 2 2 3 3" xfId="16491" xr:uid="{00000000-0005-0000-0000-000007790000}"/>
    <cellStyle name="40% - Accent4 4 3 2 2 2 3 3 2" xfId="39093" xr:uid="{00000000-0005-0000-0000-000008790000}"/>
    <cellStyle name="40% - Accent4 4 3 2 2 2 3 4" xfId="27792" xr:uid="{00000000-0005-0000-0000-000009790000}"/>
    <cellStyle name="40% - Accent4 4 3 2 2 2 4" xfId="7824" xr:uid="{00000000-0005-0000-0000-00000A790000}"/>
    <cellStyle name="40% - Accent4 4 3 2 2 2 4 2" xfId="19125" xr:uid="{00000000-0005-0000-0000-00000B790000}"/>
    <cellStyle name="40% - Accent4 4 3 2 2 2 4 2 2" xfId="41727" xr:uid="{00000000-0005-0000-0000-00000C790000}"/>
    <cellStyle name="40% - Accent4 4 3 2 2 2 4 3" xfId="30426" xr:uid="{00000000-0005-0000-0000-00000D790000}"/>
    <cellStyle name="40% - Accent4 4 3 2 2 2 5" xfId="13475" xr:uid="{00000000-0005-0000-0000-00000E790000}"/>
    <cellStyle name="40% - Accent4 4 3 2 2 2 5 2" xfId="36077" xr:uid="{00000000-0005-0000-0000-00000F790000}"/>
    <cellStyle name="40% - Accent4 4 3 2 2 2 6" xfId="24776" xr:uid="{00000000-0005-0000-0000-000010790000}"/>
    <cellStyle name="40% - Accent4 4 3 2 2 3" xfId="2781" xr:uid="{00000000-0005-0000-0000-000011790000}"/>
    <cellStyle name="40% - Accent4 4 3 2 2 3 2" xfId="5800" xr:uid="{00000000-0005-0000-0000-000012790000}"/>
    <cellStyle name="40% - Accent4 4 3 2 2 3 2 2" xfId="11450" xr:uid="{00000000-0005-0000-0000-000013790000}"/>
    <cellStyle name="40% - Accent4 4 3 2 2 3 2 2 2" xfId="22751" xr:uid="{00000000-0005-0000-0000-000014790000}"/>
    <cellStyle name="40% - Accent4 4 3 2 2 3 2 2 2 2" xfId="45353" xr:uid="{00000000-0005-0000-0000-000015790000}"/>
    <cellStyle name="40% - Accent4 4 3 2 2 3 2 2 3" xfId="34052" xr:uid="{00000000-0005-0000-0000-000016790000}"/>
    <cellStyle name="40% - Accent4 4 3 2 2 3 2 3" xfId="17101" xr:uid="{00000000-0005-0000-0000-000017790000}"/>
    <cellStyle name="40% - Accent4 4 3 2 2 3 2 3 2" xfId="39703" xr:uid="{00000000-0005-0000-0000-000018790000}"/>
    <cellStyle name="40% - Accent4 4 3 2 2 3 2 4" xfId="28402" xr:uid="{00000000-0005-0000-0000-000019790000}"/>
    <cellStyle name="40% - Accent4 4 3 2 2 3 3" xfId="8617" xr:uid="{00000000-0005-0000-0000-00001A790000}"/>
    <cellStyle name="40% - Accent4 4 3 2 2 3 3 2" xfId="19918" xr:uid="{00000000-0005-0000-0000-00001B790000}"/>
    <cellStyle name="40% - Accent4 4 3 2 2 3 3 2 2" xfId="42520" xr:uid="{00000000-0005-0000-0000-00001C790000}"/>
    <cellStyle name="40% - Accent4 4 3 2 2 3 3 3" xfId="31219" xr:uid="{00000000-0005-0000-0000-00001D790000}"/>
    <cellStyle name="40% - Accent4 4 3 2 2 3 4" xfId="14268" xr:uid="{00000000-0005-0000-0000-00001E790000}"/>
    <cellStyle name="40% - Accent4 4 3 2 2 3 4 2" xfId="36870" xr:uid="{00000000-0005-0000-0000-00001F790000}"/>
    <cellStyle name="40% - Accent4 4 3 2 2 3 5" xfId="25569" xr:uid="{00000000-0005-0000-0000-000020790000}"/>
    <cellStyle name="40% - Accent4 4 3 2 2 4" xfId="4566" xr:uid="{00000000-0005-0000-0000-000021790000}"/>
    <cellStyle name="40% - Accent4 4 3 2 2 4 2" xfId="10216" xr:uid="{00000000-0005-0000-0000-000022790000}"/>
    <cellStyle name="40% - Accent4 4 3 2 2 4 2 2" xfId="21517" xr:uid="{00000000-0005-0000-0000-000023790000}"/>
    <cellStyle name="40% - Accent4 4 3 2 2 4 2 2 2" xfId="44119" xr:uid="{00000000-0005-0000-0000-000024790000}"/>
    <cellStyle name="40% - Accent4 4 3 2 2 4 2 3" xfId="32818" xr:uid="{00000000-0005-0000-0000-000025790000}"/>
    <cellStyle name="40% - Accent4 4 3 2 2 4 3" xfId="15867" xr:uid="{00000000-0005-0000-0000-000026790000}"/>
    <cellStyle name="40% - Accent4 4 3 2 2 4 3 2" xfId="38469" xr:uid="{00000000-0005-0000-0000-000027790000}"/>
    <cellStyle name="40% - Accent4 4 3 2 2 4 4" xfId="27168" xr:uid="{00000000-0005-0000-0000-000028790000}"/>
    <cellStyle name="40% - Accent4 4 3 2 2 5" xfId="7362" xr:uid="{00000000-0005-0000-0000-000029790000}"/>
    <cellStyle name="40% - Accent4 4 3 2 2 5 2" xfId="18663" xr:uid="{00000000-0005-0000-0000-00002A790000}"/>
    <cellStyle name="40% - Accent4 4 3 2 2 5 2 2" xfId="41265" xr:uid="{00000000-0005-0000-0000-00002B790000}"/>
    <cellStyle name="40% - Accent4 4 3 2 2 5 3" xfId="29964" xr:uid="{00000000-0005-0000-0000-00002C790000}"/>
    <cellStyle name="40% - Accent4 4 3 2 2 6" xfId="13013" xr:uid="{00000000-0005-0000-0000-00002D790000}"/>
    <cellStyle name="40% - Accent4 4 3 2 2 6 2" xfId="35615" xr:uid="{00000000-0005-0000-0000-00002E790000}"/>
    <cellStyle name="40% - Accent4 4 3 2 2 7" xfId="24314" xr:uid="{00000000-0005-0000-0000-00002F790000}"/>
    <cellStyle name="40% - Accent4 4 3 2 3" xfId="1081" xr:uid="{00000000-0005-0000-0000-000030790000}"/>
    <cellStyle name="40% - Accent4 4 3 2 3 2" xfId="3144" xr:uid="{00000000-0005-0000-0000-000031790000}"/>
    <cellStyle name="40% - Accent4 4 3 2 3 2 2" xfId="6116" xr:uid="{00000000-0005-0000-0000-000032790000}"/>
    <cellStyle name="40% - Accent4 4 3 2 3 2 2 2" xfId="11766" xr:uid="{00000000-0005-0000-0000-000033790000}"/>
    <cellStyle name="40% - Accent4 4 3 2 3 2 2 2 2" xfId="23067" xr:uid="{00000000-0005-0000-0000-000034790000}"/>
    <cellStyle name="40% - Accent4 4 3 2 3 2 2 2 2 2" xfId="45669" xr:uid="{00000000-0005-0000-0000-000035790000}"/>
    <cellStyle name="40% - Accent4 4 3 2 3 2 2 2 3" xfId="34368" xr:uid="{00000000-0005-0000-0000-000036790000}"/>
    <cellStyle name="40% - Accent4 4 3 2 3 2 2 3" xfId="17417" xr:uid="{00000000-0005-0000-0000-000037790000}"/>
    <cellStyle name="40% - Accent4 4 3 2 3 2 2 3 2" xfId="40019" xr:uid="{00000000-0005-0000-0000-000038790000}"/>
    <cellStyle name="40% - Accent4 4 3 2 3 2 2 4" xfId="28718" xr:uid="{00000000-0005-0000-0000-000039790000}"/>
    <cellStyle name="40% - Accent4 4 3 2 3 2 3" xfId="8934" xr:uid="{00000000-0005-0000-0000-00003A790000}"/>
    <cellStyle name="40% - Accent4 4 3 2 3 2 3 2" xfId="20235" xr:uid="{00000000-0005-0000-0000-00003B790000}"/>
    <cellStyle name="40% - Accent4 4 3 2 3 2 3 2 2" xfId="42837" xr:uid="{00000000-0005-0000-0000-00003C790000}"/>
    <cellStyle name="40% - Accent4 4 3 2 3 2 3 3" xfId="31536" xr:uid="{00000000-0005-0000-0000-00003D790000}"/>
    <cellStyle name="40% - Accent4 4 3 2 3 2 4" xfId="14585" xr:uid="{00000000-0005-0000-0000-00003E790000}"/>
    <cellStyle name="40% - Accent4 4 3 2 3 2 4 2" xfId="37187" xr:uid="{00000000-0005-0000-0000-00003F790000}"/>
    <cellStyle name="40% - Accent4 4 3 2 3 2 5" xfId="25886" xr:uid="{00000000-0005-0000-0000-000040790000}"/>
    <cellStyle name="40% - Accent4 4 3 2 3 3" xfId="4882" xr:uid="{00000000-0005-0000-0000-000041790000}"/>
    <cellStyle name="40% - Accent4 4 3 2 3 3 2" xfId="10532" xr:uid="{00000000-0005-0000-0000-000042790000}"/>
    <cellStyle name="40% - Accent4 4 3 2 3 3 2 2" xfId="21833" xr:uid="{00000000-0005-0000-0000-000043790000}"/>
    <cellStyle name="40% - Accent4 4 3 2 3 3 2 2 2" xfId="44435" xr:uid="{00000000-0005-0000-0000-000044790000}"/>
    <cellStyle name="40% - Accent4 4 3 2 3 3 2 3" xfId="33134" xr:uid="{00000000-0005-0000-0000-000045790000}"/>
    <cellStyle name="40% - Accent4 4 3 2 3 3 3" xfId="16183" xr:uid="{00000000-0005-0000-0000-000046790000}"/>
    <cellStyle name="40% - Accent4 4 3 2 3 3 3 2" xfId="38785" xr:uid="{00000000-0005-0000-0000-000047790000}"/>
    <cellStyle name="40% - Accent4 4 3 2 3 3 4" xfId="27484" xr:uid="{00000000-0005-0000-0000-000048790000}"/>
    <cellStyle name="40% - Accent4 4 3 2 3 4" xfId="7069" xr:uid="{00000000-0005-0000-0000-000049790000}"/>
    <cellStyle name="40% - Accent4 4 3 2 3 4 2" xfId="18370" xr:uid="{00000000-0005-0000-0000-00004A790000}"/>
    <cellStyle name="40% - Accent4 4 3 2 3 4 2 2" xfId="40972" xr:uid="{00000000-0005-0000-0000-00004B790000}"/>
    <cellStyle name="40% - Accent4 4 3 2 3 4 3" xfId="29671" xr:uid="{00000000-0005-0000-0000-00004C790000}"/>
    <cellStyle name="40% - Accent4 4 3 2 3 5" xfId="12720" xr:uid="{00000000-0005-0000-0000-00004D790000}"/>
    <cellStyle name="40% - Accent4 4 3 2 3 5 2" xfId="35322" xr:uid="{00000000-0005-0000-0000-00004E790000}"/>
    <cellStyle name="40% - Accent4 4 3 2 3 6" xfId="24021" xr:uid="{00000000-0005-0000-0000-00004F790000}"/>
    <cellStyle name="40% - Accent4 4 3 2 4" xfId="1967" xr:uid="{00000000-0005-0000-0000-000050790000}"/>
    <cellStyle name="40% - Accent4 4 3 2 4 2" xfId="3786" xr:uid="{00000000-0005-0000-0000-000051790000}"/>
    <cellStyle name="40% - Accent4 4 3 2 4 2 2" xfId="9496" xr:uid="{00000000-0005-0000-0000-000052790000}"/>
    <cellStyle name="40% - Accent4 4 3 2 4 2 2 2" xfId="20797" xr:uid="{00000000-0005-0000-0000-000053790000}"/>
    <cellStyle name="40% - Accent4 4 3 2 4 2 2 2 2" xfId="43399" xr:uid="{00000000-0005-0000-0000-000054790000}"/>
    <cellStyle name="40% - Accent4 4 3 2 4 2 2 3" xfId="32098" xr:uid="{00000000-0005-0000-0000-000055790000}"/>
    <cellStyle name="40% - Accent4 4 3 2 4 2 3" xfId="15147" xr:uid="{00000000-0005-0000-0000-000056790000}"/>
    <cellStyle name="40% - Accent4 4 3 2 4 2 3 2" xfId="37749" xr:uid="{00000000-0005-0000-0000-000057790000}"/>
    <cellStyle name="40% - Accent4 4 3 2 4 2 4" xfId="26448" xr:uid="{00000000-0005-0000-0000-000058790000}"/>
    <cellStyle name="40% - Accent4 4 3 2 4 3" xfId="5492" xr:uid="{00000000-0005-0000-0000-000059790000}"/>
    <cellStyle name="40% - Accent4 4 3 2 4 3 2" xfId="11142" xr:uid="{00000000-0005-0000-0000-00005A790000}"/>
    <cellStyle name="40% - Accent4 4 3 2 4 3 2 2" xfId="22443" xr:uid="{00000000-0005-0000-0000-00005B790000}"/>
    <cellStyle name="40% - Accent4 4 3 2 4 3 2 2 2" xfId="45045" xr:uid="{00000000-0005-0000-0000-00005C790000}"/>
    <cellStyle name="40% - Accent4 4 3 2 4 3 2 3" xfId="33744" xr:uid="{00000000-0005-0000-0000-00005D790000}"/>
    <cellStyle name="40% - Accent4 4 3 2 4 3 3" xfId="16793" xr:uid="{00000000-0005-0000-0000-00005E790000}"/>
    <cellStyle name="40% - Accent4 4 3 2 4 3 3 2" xfId="39395" xr:uid="{00000000-0005-0000-0000-00005F790000}"/>
    <cellStyle name="40% - Accent4 4 3 2 4 3 4" xfId="28094" xr:uid="{00000000-0005-0000-0000-000060790000}"/>
    <cellStyle name="40% - Accent4 4 3 2 4 4" xfId="7823" xr:uid="{00000000-0005-0000-0000-000061790000}"/>
    <cellStyle name="40% - Accent4 4 3 2 4 4 2" xfId="19124" xr:uid="{00000000-0005-0000-0000-000062790000}"/>
    <cellStyle name="40% - Accent4 4 3 2 4 4 2 2" xfId="41726" xr:uid="{00000000-0005-0000-0000-000063790000}"/>
    <cellStyle name="40% - Accent4 4 3 2 4 4 3" xfId="30425" xr:uid="{00000000-0005-0000-0000-000064790000}"/>
    <cellStyle name="40% - Accent4 4 3 2 4 5" xfId="13474" xr:uid="{00000000-0005-0000-0000-000065790000}"/>
    <cellStyle name="40% - Accent4 4 3 2 4 5 2" xfId="36076" xr:uid="{00000000-0005-0000-0000-000066790000}"/>
    <cellStyle name="40% - Accent4 4 3 2 4 6" xfId="24775" xr:uid="{00000000-0005-0000-0000-000067790000}"/>
    <cellStyle name="40% - Accent4 4 3 2 5" xfId="2473" xr:uid="{00000000-0005-0000-0000-000068790000}"/>
    <cellStyle name="40% - Accent4 4 3 2 5 2" xfId="8309" xr:uid="{00000000-0005-0000-0000-000069790000}"/>
    <cellStyle name="40% - Accent4 4 3 2 5 2 2" xfId="19610" xr:uid="{00000000-0005-0000-0000-00006A790000}"/>
    <cellStyle name="40% - Accent4 4 3 2 5 2 2 2" xfId="42212" xr:uid="{00000000-0005-0000-0000-00006B790000}"/>
    <cellStyle name="40% - Accent4 4 3 2 5 2 3" xfId="30911" xr:uid="{00000000-0005-0000-0000-00006C790000}"/>
    <cellStyle name="40% - Accent4 4 3 2 5 3" xfId="13960" xr:uid="{00000000-0005-0000-0000-00006D790000}"/>
    <cellStyle name="40% - Accent4 4 3 2 5 3 2" xfId="36562" xr:uid="{00000000-0005-0000-0000-00006E790000}"/>
    <cellStyle name="40% - Accent4 4 3 2 5 4" xfId="25261" xr:uid="{00000000-0005-0000-0000-00006F790000}"/>
    <cellStyle name="40% - Accent4 4 3 2 6" xfId="4258" xr:uid="{00000000-0005-0000-0000-000070790000}"/>
    <cellStyle name="40% - Accent4 4 3 2 6 2" xfId="9908" xr:uid="{00000000-0005-0000-0000-000071790000}"/>
    <cellStyle name="40% - Accent4 4 3 2 6 2 2" xfId="21209" xr:uid="{00000000-0005-0000-0000-000072790000}"/>
    <cellStyle name="40% - Accent4 4 3 2 6 2 2 2" xfId="43811" xr:uid="{00000000-0005-0000-0000-000073790000}"/>
    <cellStyle name="40% - Accent4 4 3 2 6 2 3" xfId="32510" xr:uid="{00000000-0005-0000-0000-000074790000}"/>
    <cellStyle name="40% - Accent4 4 3 2 6 3" xfId="15559" xr:uid="{00000000-0005-0000-0000-000075790000}"/>
    <cellStyle name="40% - Accent4 4 3 2 6 3 2" xfId="38161" xr:uid="{00000000-0005-0000-0000-000076790000}"/>
    <cellStyle name="40% - Accent4 4 3 2 6 4" xfId="26860" xr:uid="{00000000-0005-0000-0000-000077790000}"/>
    <cellStyle name="40% - Accent4 4 3 2 7" xfId="6738" xr:uid="{00000000-0005-0000-0000-000078790000}"/>
    <cellStyle name="40% - Accent4 4 3 2 7 2" xfId="18039" xr:uid="{00000000-0005-0000-0000-000079790000}"/>
    <cellStyle name="40% - Accent4 4 3 2 7 2 2" xfId="40641" xr:uid="{00000000-0005-0000-0000-00007A790000}"/>
    <cellStyle name="40% - Accent4 4 3 2 7 3" xfId="29340" xr:uid="{00000000-0005-0000-0000-00007B790000}"/>
    <cellStyle name="40% - Accent4 4 3 2 8" xfId="12389" xr:uid="{00000000-0005-0000-0000-00007C790000}"/>
    <cellStyle name="40% - Accent4 4 3 2 8 2" xfId="34991" xr:uid="{00000000-0005-0000-0000-00007D790000}"/>
    <cellStyle name="40% - Accent4 4 3 2 9" xfId="23690" xr:uid="{00000000-0005-0000-0000-00007E790000}"/>
    <cellStyle name="40% - Accent4 4 3 3" xfId="1245" xr:uid="{00000000-0005-0000-0000-00007F790000}"/>
    <cellStyle name="40% - Accent4 4 3 3 2" xfId="1969" xr:uid="{00000000-0005-0000-0000-000080790000}"/>
    <cellStyle name="40% - Accent4 4 3 3 2 2" xfId="3313" xr:uid="{00000000-0005-0000-0000-000081790000}"/>
    <cellStyle name="40% - Accent4 4 3 3 2 2 2" xfId="6285" xr:uid="{00000000-0005-0000-0000-000082790000}"/>
    <cellStyle name="40% - Accent4 4 3 3 2 2 2 2" xfId="11935" xr:uid="{00000000-0005-0000-0000-000083790000}"/>
    <cellStyle name="40% - Accent4 4 3 3 2 2 2 2 2" xfId="23236" xr:uid="{00000000-0005-0000-0000-000084790000}"/>
    <cellStyle name="40% - Accent4 4 3 3 2 2 2 2 2 2" xfId="45838" xr:uid="{00000000-0005-0000-0000-000085790000}"/>
    <cellStyle name="40% - Accent4 4 3 3 2 2 2 2 3" xfId="34537" xr:uid="{00000000-0005-0000-0000-000086790000}"/>
    <cellStyle name="40% - Accent4 4 3 3 2 2 2 3" xfId="17586" xr:uid="{00000000-0005-0000-0000-000087790000}"/>
    <cellStyle name="40% - Accent4 4 3 3 2 2 2 3 2" xfId="40188" xr:uid="{00000000-0005-0000-0000-000088790000}"/>
    <cellStyle name="40% - Accent4 4 3 3 2 2 2 4" xfId="28887" xr:uid="{00000000-0005-0000-0000-000089790000}"/>
    <cellStyle name="40% - Accent4 4 3 3 2 2 3" xfId="9103" xr:uid="{00000000-0005-0000-0000-00008A790000}"/>
    <cellStyle name="40% - Accent4 4 3 3 2 2 3 2" xfId="20404" xr:uid="{00000000-0005-0000-0000-00008B790000}"/>
    <cellStyle name="40% - Accent4 4 3 3 2 2 3 2 2" xfId="43006" xr:uid="{00000000-0005-0000-0000-00008C790000}"/>
    <cellStyle name="40% - Accent4 4 3 3 2 2 3 3" xfId="31705" xr:uid="{00000000-0005-0000-0000-00008D790000}"/>
    <cellStyle name="40% - Accent4 4 3 3 2 2 4" xfId="14754" xr:uid="{00000000-0005-0000-0000-00008E790000}"/>
    <cellStyle name="40% - Accent4 4 3 3 2 2 4 2" xfId="37356" xr:uid="{00000000-0005-0000-0000-00008F790000}"/>
    <cellStyle name="40% - Accent4 4 3 3 2 2 5" xfId="26055" xr:uid="{00000000-0005-0000-0000-000090790000}"/>
    <cellStyle name="40% - Accent4 4 3 3 2 3" xfId="5051" xr:uid="{00000000-0005-0000-0000-000091790000}"/>
    <cellStyle name="40% - Accent4 4 3 3 2 3 2" xfId="10701" xr:uid="{00000000-0005-0000-0000-000092790000}"/>
    <cellStyle name="40% - Accent4 4 3 3 2 3 2 2" xfId="22002" xr:uid="{00000000-0005-0000-0000-000093790000}"/>
    <cellStyle name="40% - Accent4 4 3 3 2 3 2 2 2" xfId="44604" xr:uid="{00000000-0005-0000-0000-000094790000}"/>
    <cellStyle name="40% - Accent4 4 3 3 2 3 2 3" xfId="33303" xr:uid="{00000000-0005-0000-0000-000095790000}"/>
    <cellStyle name="40% - Accent4 4 3 3 2 3 3" xfId="16352" xr:uid="{00000000-0005-0000-0000-000096790000}"/>
    <cellStyle name="40% - Accent4 4 3 3 2 3 3 2" xfId="38954" xr:uid="{00000000-0005-0000-0000-000097790000}"/>
    <cellStyle name="40% - Accent4 4 3 3 2 3 4" xfId="27653" xr:uid="{00000000-0005-0000-0000-000098790000}"/>
    <cellStyle name="40% - Accent4 4 3 3 2 4" xfId="7825" xr:uid="{00000000-0005-0000-0000-000099790000}"/>
    <cellStyle name="40% - Accent4 4 3 3 2 4 2" xfId="19126" xr:uid="{00000000-0005-0000-0000-00009A790000}"/>
    <cellStyle name="40% - Accent4 4 3 3 2 4 2 2" xfId="41728" xr:uid="{00000000-0005-0000-0000-00009B790000}"/>
    <cellStyle name="40% - Accent4 4 3 3 2 4 3" xfId="30427" xr:uid="{00000000-0005-0000-0000-00009C790000}"/>
    <cellStyle name="40% - Accent4 4 3 3 2 5" xfId="13476" xr:uid="{00000000-0005-0000-0000-00009D790000}"/>
    <cellStyle name="40% - Accent4 4 3 3 2 5 2" xfId="36078" xr:uid="{00000000-0005-0000-0000-00009E790000}"/>
    <cellStyle name="40% - Accent4 4 3 3 2 6" xfId="24777" xr:uid="{00000000-0005-0000-0000-00009F790000}"/>
    <cellStyle name="40% - Accent4 4 3 3 3" xfId="2642" xr:uid="{00000000-0005-0000-0000-0000A0790000}"/>
    <cellStyle name="40% - Accent4 4 3 3 3 2" xfId="5661" xr:uid="{00000000-0005-0000-0000-0000A1790000}"/>
    <cellStyle name="40% - Accent4 4 3 3 3 2 2" xfId="11311" xr:uid="{00000000-0005-0000-0000-0000A2790000}"/>
    <cellStyle name="40% - Accent4 4 3 3 3 2 2 2" xfId="22612" xr:uid="{00000000-0005-0000-0000-0000A3790000}"/>
    <cellStyle name="40% - Accent4 4 3 3 3 2 2 2 2" xfId="45214" xr:uid="{00000000-0005-0000-0000-0000A4790000}"/>
    <cellStyle name="40% - Accent4 4 3 3 3 2 2 3" xfId="33913" xr:uid="{00000000-0005-0000-0000-0000A5790000}"/>
    <cellStyle name="40% - Accent4 4 3 3 3 2 3" xfId="16962" xr:uid="{00000000-0005-0000-0000-0000A6790000}"/>
    <cellStyle name="40% - Accent4 4 3 3 3 2 3 2" xfId="39564" xr:uid="{00000000-0005-0000-0000-0000A7790000}"/>
    <cellStyle name="40% - Accent4 4 3 3 3 2 4" xfId="28263" xr:uid="{00000000-0005-0000-0000-0000A8790000}"/>
    <cellStyle name="40% - Accent4 4 3 3 3 3" xfId="8478" xr:uid="{00000000-0005-0000-0000-0000A9790000}"/>
    <cellStyle name="40% - Accent4 4 3 3 3 3 2" xfId="19779" xr:uid="{00000000-0005-0000-0000-0000AA790000}"/>
    <cellStyle name="40% - Accent4 4 3 3 3 3 2 2" xfId="42381" xr:uid="{00000000-0005-0000-0000-0000AB790000}"/>
    <cellStyle name="40% - Accent4 4 3 3 3 3 3" xfId="31080" xr:uid="{00000000-0005-0000-0000-0000AC790000}"/>
    <cellStyle name="40% - Accent4 4 3 3 3 4" xfId="14129" xr:uid="{00000000-0005-0000-0000-0000AD790000}"/>
    <cellStyle name="40% - Accent4 4 3 3 3 4 2" xfId="36731" xr:uid="{00000000-0005-0000-0000-0000AE790000}"/>
    <cellStyle name="40% - Accent4 4 3 3 3 5" xfId="25430" xr:uid="{00000000-0005-0000-0000-0000AF790000}"/>
    <cellStyle name="40% - Accent4 4 3 3 4" xfId="4427" xr:uid="{00000000-0005-0000-0000-0000B0790000}"/>
    <cellStyle name="40% - Accent4 4 3 3 4 2" xfId="10077" xr:uid="{00000000-0005-0000-0000-0000B1790000}"/>
    <cellStyle name="40% - Accent4 4 3 3 4 2 2" xfId="21378" xr:uid="{00000000-0005-0000-0000-0000B2790000}"/>
    <cellStyle name="40% - Accent4 4 3 3 4 2 2 2" xfId="43980" xr:uid="{00000000-0005-0000-0000-0000B3790000}"/>
    <cellStyle name="40% - Accent4 4 3 3 4 2 3" xfId="32679" xr:uid="{00000000-0005-0000-0000-0000B4790000}"/>
    <cellStyle name="40% - Accent4 4 3 3 4 3" xfId="15728" xr:uid="{00000000-0005-0000-0000-0000B5790000}"/>
    <cellStyle name="40% - Accent4 4 3 3 4 3 2" xfId="38330" xr:uid="{00000000-0005-0000-0000-0000B6790000}"/>
    <cellStyle name="40% - Accent4 4 3 3 4 4" xfId="27029" xr:uid="{00000000-0005-0000-0000-0000B7790000}"/>
    <cellStyle name="40% - Accent4 4 3 3 5" xfId="7224" xr:uid="{00000000-0005-0000-0000-0000B8790000}"/>
    <cellStyle name="40% - Accent4 4 3 3 5 2" xfId="18525" xr:uid="{00000000-0005-0000-0000-0000B9790000}"/>
    <cellStyle name="40% - Accent4 4 3 3 5 2 2" xfId="41127" xr:uid="{00000000-0005-0000-0000-0000BA790000}"/>
    <cellStyle name="40% - Accent4 4 3 3 5 3" xfId="29826" xr:uid="{00000000-0005-0000-0000-0000BB790000}"/>
    <cellStyle name="40% - Accent4 4 3 3 6" xfId="12875" xr:uid="{00000000-0005-0000-0000-0000BC790000}"/>
    <cellStyle name="40% - Accent4 4 3 3 6 2" xfId="35477" xr:uid="{00000000-0005-0000-0000-0000BD790000}"/>
    <cellStyle name="40% - Accent4 4 3 3 7" xfId="24176" xr:uid="{00000000-0005-0000-0000-0000BE790000}"/>
    <cellStyle name="40% - Accent4 4 3 4" xfId="936" xr:uid="{00000000-0005-0000-0000-0000BF790000}"/>
    <cellStyle name="40% - Accent4 4 3 4 2" xfId="3006" xr:uid="{00000000-0005-0000-0000-0000C0790000}"/>
    <cellStyle name="40% - Accent4 4 3 4 2 2" xfId="5978" xr:uid="{00000000-0005-0000-0000-0000C1790000}"/>
    <cellStyle name="40% - Accent4 4 3 4 2 2 2" xfId="11628" xr:uid="{00000000-0005-0000-0000-0000C2790000}"/>
    <cellStyle name="40% - Accent4 4 3 4 2 2 2 2" xfId="22929" xr:uid="{00000000-0005-0000-0000-0000C3790000}"/>
    <cellStyle name="40% - Accent4 4 3 4 2 2 2 2 2" xfId="45531" xr:uid="{00000000-0005-0000-0000-0000C4790000}"/>
    <cellStyle name="40% - Accent4 4 3 4 2 2 2 3" xfId="34230" xr:uid="{00000000-0005-0000-0000-0000C5790000}"/>
    <cellStyle name="40% - Accent4 4 3 4 2 2 3" xfId="17279" xr:uid="{00000000-0005-0000-0000-0000C6790000}"/>
    <cellStyle name="40% - Accent4 4 3 4 2 2 3 2" xfId="39881" xr:uid="{00000000-0005-0000-0000-0000C7790000}"/>
    <cellStyle name="40% - Accent4 4 3 4 2 2 4" xfId="28580" xr:uid="{00000000-0005-0000-0000-0000C8790000}"/>
    <cellStyle name="40% - Accent4 4 3 4 2 3" xfId="8796" xr:uid="{00000000-0005-0000-0000-0000C9790000}"/>
    <cellStyle name="40% - Accent4 4 3 4 2 3 2" xfId="20097" xr:uid="{00000000-0005-0000-0000-0000CA790000}"/>
    <cellStyle name="40% - Accent4 4 3 4 2 3 2 2" xfId="42699" xr:uid="{00000000-0005-0000-0000-0000CB790000}"/>
    <cellStyle name="40% - Accent4 4 3 4 2 3 3" xfId="31398" xr:uid="{00000000-0005-0000-0000-0000CC790000}"/>
    <cellStyle name="40% - Accent4 4 3 4 2 4" xfId="14447" xr:uid="{00000000-0005-0000-0000-0000CD790000}"/>
    <cellStyle name="40% - Accent4 4 3 4 2 4 2" xfId="37049" xr:uid="{00000000-0005-0000-0000-0000CE790000}"/>
    <cellStyle name="40% - Accent4 4 3 4 2 5" xfId="25748" xr:uid="{00000000-0005-0000-0000-0000CF790000}"/>
    <cellStyle name="40% - Accent4 4 3 4 3" xfId="4744" xr:uid="{00000000-0005-0000-0000-0000D0790000}"/>
    <cellStyle name="40% - Accent4 4 3 4 3 2" xfId="10394" xr:uid="{00000000-0005-0000-0000-0000D1790000}"/>
    <cellStyle name="40% - Accent4 4 3 4 3 2 2" xfId="21695" xr:uid="{00000000-0005-0000-0000-0000D2790000}"/>
    <cellStyle name="40% - Accent4 4 3 4 3 2 2 2" xfId="44297" xr:uid="{00000000-0005-0000-0000-0000D3790000}"/>
    <cellStyle name="40% - Accent4 4 3 4 3 2 3" xfId="32996" xr:uid="{00000000-0005-0000-0000-0000D4790000}"/>
    <cellStyle name="40% - Accent4 4 3 4 3 3" xfId="16045" xr:uid="{00000000-0005-0000-0000-0000D5790000}"/>
    <cellStyle name="40% - Accent4 4 3 4 3 3 2" xfId="38647" xr:uid="{00000000-0005-0000-0000-0000D6790000}"/>
    <cellStyle name="40% - Accent4 4 3 4 3 4" xfId="27346" xr:uid="{00000000-0005-0000-0000-0000D7790000}"/>
    <cellStyle name="40% - Accent4 4 3 4 4" xfId="6931" xr:uid="{00000000-0005-0000-0000-0000D8790000}"/>
    <cellStyle name="40% - Accent4 4 3 4 4 2" xfId="18232" xr:uid="{00000000-0005-0000-0000-0000D9790000}"/>
    <cellStyle name="40% - Accent4 4 3 4 4 2 2" xfId="40834" xr:uid="{00000000-0005-0000-0000-0000DA790000}"/>
    <cellStyle name="40% - Accent4 4 3 4 4 3" xfId="29533" xr:uid="{00000000-0005-0000-0000-0000DB790000}"/>
    <cellStyle name="40% - Accent4 4 3 4 5" xfId="12582" xr:uid="{00000000-0005-0000-0000-0000DC790000}"/>
    <cellStyle name="40% - Accent4 4 3 4 5 2" xfId="35184" xr:uid="{00000000-0005-0000-0000-0000DD790000}"/>
    <cellStyle name="40% - Accent4 4 3 4 6" xfId="23883" xr:uid="{00000000-0005-0000-0000-0000DE790000}"/>
    <cellStyle name="40% - Accent4 4 3 5" xfId="1966" xr:uid="{00000000-0005-0000-0000-0000DF790000}"/>
    <cellStyle name="40% - Accent4 4 3 5 2" xfId="3785" xr:uid="{00000000-0005-0000-0000-0000E0790000}"/>
    <cellStyle name="40% - Accent4 4 3 5 2 2" xfId="9495" xr:uid="{00000000-0005-0000-0000-0000E1790000}"/>
    <cellStyle name="40% - Accent4 4 3 5 2 2 2" xfId="20796" xr:uid="{00000000-0005-0000-0000-0000E2790000}"/>
    <cellStyle name="40% - Accent4 4 3 5 2 2 2 2" xfId="43398" xr:uid="{00000000-0005-0000-0000-0000E3790000}"/>
    <cellStyle name="40% - Accent4 4 3 5 2 2 3" xfId="32097" xr:uid="{00000000-0005-0000-0000-0000E4790000}"/>
    <cellStyle name="40% - Accent4 4 3 5 2 3" xfId="15146" xr:uid="{00000000-0005-0000-0000-0000E5790000}"/>
    <cellStyle name="40% - Accent4 4 3 5 2 3 2" xfId="37748" xr:uid="{00000000-0005-0000-0000-0000E6790000}"/>
    <cellStyle name="40% - Accent4 4 3 5 2 4" xfId="26447" xr:uid="{00000000-0005-0000-0000-0000E7790000}"/>
    <cellStyle name="40% - Accent4 4 3 5 3" xfId="5354" xr:uid="{00000000-0005-0000-0000-0000E8790000}"/>
    <cellStyle name="40% - Accent4 4 3 5 3 2" xfId="11004" xr:uid="{00000000-0005-0000-0000-0000E9790000}"/>
    <cellStyle name="40% - Accent4 4 3 5 3 2 2" xfId="22305" xr:uid="{00000000-0005-0000-0000-0000EA790000}"/>
    <cellStyle name="40% - Accent4 4 3 5 3 2 2 2" xfId="44907" xr:uid="{00000000-0005-0000-0000-0000EB790000}"/>
    <cellStyle name="40% - Accent4 4 3 5 3 2 3" xfId="33606" xr:uid="{00000000-0005-0000-0000-0000EC790000}"/>
    <cellStyle name="40% - Accent4 4 3 5 3 3" xfId="16655" xr:uid="{00000000-0005-0000-0000-0000ED790000}"/>
    <cellStyle name="40% - Accent4 4 3 5 3 3 2" xfId="39257" xr:uid="{00000000-0005-0000-0000-0000EE790000}"/>
    <cellStyle name="40% - Accent4 4 3 5 3 4" xfId="27956" xr:uid="{00000000-0005-0000-0000-0000EF790000}"/>
    <cellStyle name="40% - Accent4 4 3 5 4" xfId="7822" xr:uid="{00000000-0005-0000-0000-0000F0790000}"/>
    <cellStyle name="40% - Accent4 4 3 5 4 2" xfId="19123" xr:uid="{00000000-0005-0000-0000-0000F1790000}"/>
    <cellStyle name="40% - Accent4 4 3 5 4 2 2" xfId="41725" xr:uid="{00000000-0005-0000-0000-0000F2790000}"/>
    <cellStyle name="40% - Accent4 4 3 5 4 3" xfId="30424" xr:uid="{00000000-0005-0000-0000-0000F3790000}"/>
    <cellStyle name="40% - Accent4 4 3 5 5" xfId="13473" xr:uid="{00000000-0005-0000-0000-0000F4790000}"/>
    <cellStyle name="40% - Accent4 4 3 5 5 2" xfId="36075" xr:uid="{00000000-0005-0000-0000-0000F5790000}"/>
    <cellStyle name="40% - Accent4 4 3 5 6" xfId="24774" xr:uid="{00000000-0005-0000-0000-0000F6790000}"/>
    <cellStyle name="40% - Accent4 4 3 6" xfId="2333" xr:uid="{00000000-0005-0000-0000-0000F7790000}"/>
    <cellStyle name="40% - Accent4 4 3 6 2" xfId="8169" xr:uid="{00000000-0005-0000-0000-0000F8790000}"/>
    <cellStyle name="40% - Accent4 4 3 6 2 2" xfId="19470" xr:uid="{00000000-0005-0000-0000-0000F9790000}"/>
    <cellStyle name="40% - Accent4 4 3 6 2 2 2" xfId="42072" xr:uid="{00000000-0005-0000-0000-0000FA790000}"/>
    <cellStyle name="40% - Accent4 4 3 6 2 3" xfId="30771" xr:uid="{00000000-0005-0000-0000-0000FB790000}"/>
    <cellStyle name="40% - Accent4 4 3 6 3" xfId="13820" xr:uid="{00000000-0005-0000-0000-0000FC790000}"/>
    <cellStyle name="40% - Accent4 4 3 6 3 2" xfId="36422" xr:uid="{00000000-0005-0000-0000-0000FD790000}"/>
    <cellStyle name="40% - Accent4 4 3 6 4" xfId="25121" xr:uid="{00000000-0005-0000-0000-0000FE790000}"/>
    <cellStyle name="40% - Accent4 4 3 7" xfId="4120" xr:uid="{00000000-0005-0000-0000-0000FF790000}"/>
    <cellStyle name="40% - Accent4 4 3 7 2" xfId="9770" xr:uid="{00000000-0005-0000-0000-0000007A0000}"/>
    <cellStyle name="40% - Accent4 4 3 7 2 2" xfId="21071" xr:uid="{00000000-0005-0000-0000-0000017A0000}"/>
    <cellStyle name="40% - Accent4 4 3 7 2 2 2" xfId="43673" xr:uid="{00000000-0005-0000-0000-0000027A0000}"/>
    <cellStyle name="40% - Accent4 4 3 7 2 3" xfId="32372" xr:uid="{00000000-0005-0000-0000-0000037A0000}"/>
    <cellStyle name="40% - Accent4 4 3 7 3" xfId="15421" xr:uid="{00000000-0005-0000-0000-0000047A0000}"/>
    <cellStyle name="40% - Accent4 4 3 7 3 2" xfId="38023" xr:uid="{00000000-0005-0000-0000-0000057A0000}"/>
    <cellStyle name="40% - Accent4 4 3 7 4" xfId="26722" xr:uid="{00000000-0005-0000-0000-0000067A0000}"/>
    <cellStyle name="40% - Accent4 4 3 8" xfId="6571" xr:uid="{00000000-0005-0000-0000-0000077A0000}"/>
    <cellStyle name="40% - Accent4 4 3 8 2" xfId="17872" xr:uid="{00000000-0005-0000-0000-0000087A0000}"/>
    <cellStyle name="40% - Accent4 4 3 8 2 2" xfId="40474" xr:uid="{00000000-0005-0000-0000-0000097A0000}"/>
    <cellStyle name="40% - Accent4 4 3 8 3" xfId="29173" xr:uid="{00000000-0005-0000-0000-00000A7A0000}"/>
    <cellStyle name="40% - Accent4 4 3 9" xfId="12222" xr:uid="{00000000-0005-0000-0000-00000B7A0000}"/>
    <cellStyle name="40% - Accent4 4 3 9 2" xfId="34824" xr:uid="{00000000-0005-0000-0000-00000C7A0000}"/>
    <cellStyle name="40% - Accent4 4 4" xfId="575" xr:uid="{00000000-0005-0000-0000-00000D7A0000}"/>
    <cellStyle name="40% - Accent4 4 4 2" xfId="1149" xr:uid="{00000000-0005-0000-0000-00000E7A0000}"/>
    <cellStyle name="40% - Accent4 4 4 2 2" xfId="1971" xr:uid="{00000000-0005-0000-0000-00000F7A0000}"/>
    <cellStyle name="40% - Accent4 4 4 2 2 2" xfId="3217" xr:uid="{00000000-0005-0000-0000-0000107A0000}"/>
    <cellStyle name="40% - Accent4 4 4 2 2 2 2" xfId="6189" xr:uid="{00000000-0005-0000-0000-0000117A0000}"/>
    <cellStyle name="40% - Accent4 4 4 2 2 2 2 2" xfId="11839" xr:uid="{00000000-0005-0000-0000-0000127A0000}"/>
    <cellStyle name="40% - Accent4 4 4 2 2 2 2 2 2" xfId="23140" xr:uid="{00000000-0005-0000-0000-0000137A0000}"/>
    <cellStyle name="40% - Accent4 4 4 2 2 2 2 2 2 2" xfId="45742" xr:uid="{00000000-0005-0000-0000-0000147A0000}"/>
    <cellStyle name="40% - Accent4 4 4 2 2 2 2 2 3" xfId="34441" xr:uid="{00000000-0005-0000-0000-0000157A0000}"/>
    <cellStyle name="40% - Accent4 4 4 2 2 2 2 3" xfId="17490" xr:uid="{00000000-0005-0000-0000-0000167A0000}"/>
    <cellStyle name="40% - Accent4 4 4 2 2 2 2 3 2" xfId="40092" xr:uid="{00000000-0005-0000-0000-0000177A0000}"/>
    <cellStyle name="40% - Accent4 4 4 2 2 2 2 4" xfId="28791" xr:uid="{00000000-0005-0000-0000-0000187A0000}"/>
    <cellStyle name="40% - Accent4 4 4 2 2 2 3" xfId="9007" xr:uid="{00000000-0005-0000-0000-0000197A0000}"/>
    <cellStyle name="40% - Accent4 4 4 2 2 2 3 2" xfId="20308" xr:uid="{00000000-0005-0000-0000-00001A7A0000}"/>
    <cellStyle name="40% - Accent4 4 4 2 2 2 3 2 2" xfId="42910" xr:uid="{00000000-0005-0000-0000-00001B7A0000}"/>
    <cellStyle name="40% - Accent4 4 4 2 2 2 3 3" xfId="31609" xr:uid="{00000000-0005-0000-0000-00001C7A0000}"/>
    <cellStyle name="40% - Accent4 4 4 2 2 2 4" xfId="14658" xr:uid="{00000000-0005-0000-0000-00001D7A0000}"/>
    <cellStyle name="40% - Accent4 4 4 2 2 2 4 2" xfId="37260" xr:uid="{00000000-0005-0000-0000-00001E7A0000}"/>
    <cellStyle name="40% - Accent4 4 4 2 2 2 5" xfId="25959" xr:uid="{00000000-0005-0000-0000-00001F7A0000}"/>
    <cellStyle name="40% - Accent4 4 4 2 2 3" xfId="4955" xr:uid="{00000000-0005-0000-0000-0000207A0000}"/>
    <cellStyle name="40% - Accent4 4 4 2 2 3 2" xfId="10605" xr:uid="{00000000-0005-0000-0000-0000217A0000}"/>
    <cellStyle name="40% - Accent4 4 4 2 2 3 2 2" xfId="21906" xr:uid="{00000000-0005-0000-0000-0000227A0000}"/>
    <cellStyle name="40% - Accent4 4 4 2 2 3 2 2 2" xfId="44508" xr:uid="{00000000-0005-0000-0000-0000237A0000}"/>
    <cellStyle name="40% - Accent4 4 4 2 2 3 2 3" xfId="33207" xr:uid="{00000000-0005-0000-0000-0000247A0000}"/>
    <cellStyle name="40% - Accent4 4 4 2 2 3 3" xfId="16256" xr:uid="{00000000-0005-0000-0000-0000257A0000}"/>
    <cellStyle name="40% - Accent4 4 4 2 2 3 3 2" xfId="38858" xr:uid="{00000000-0005-0000-0000-0000267A0000}"/>
    <cellStyle name="40% - Accent4 4 4 2 2 3 4" xfId="27557" xr:uid="{00000000-0005-0000-0000-0000277A0000}"/>
    <cellStyle name="40% - Accent4 4 4 2 2 4" xfId="7827" xr:uid="{00000000-0005-0000-0000-0000287A0000}"/>
    <cellStyle name="40% - Accent4 4 4 2 2 4 2" xfId="19128" xr:uid="{00000000-0005-0000-0000-0000297A0000}"/>
    <cellStyle name="40% - Accent4 4 4 2 2 4 2 2" xfId="41730" xr:uid="{00000000-0005-0000-0000-00002A7A0000}"/>
    <cellStyle name="40% - Accent4 4 4 2 2 4 3" xfId="30429" xr:uid="{00000000-0005-0000-0000-00002B7A0000}"/>
    <cellStyle name="40% - Accent4 4 4 2 2 5" xfId="13478" xr:uid="{00000000-0005-0000-0000-00002C7A0000}"/>
    <cellStyle name="40% - Accent4 4 4 2 2 5 2" xfId="36080" xr:uid="{00000000-0005-0000-0000-00002D7A0000}"/>
    <cellStyle name="40% - Accent4 4 4 2 2 6" xfId="24779" xr:uid="{00000000-0005-0000-0000-00002E7A0000}"/>
    <cellStyle name="40% - Accent4 4 4 2 3" xfId="2546" xr:uid="{00000000-0005-0000-0000-00002F7A0000}"/>
    <cellStyle name="40% - Accent4 4 4 2 3 2" xfId="5565" xr:uid="{00000000-0005-0000-0000-0000307A0000}"/>
    <cellStyle name="40% - Accent4 4 4 2 3 2 2" xfId="11215" xr:uid="{00000000-0005-0000-0000-0000317A0000}"/>
    <cellStyle name="40% - Accent4 4 4 2 3 2 2 2" xfId="22516" xr:uid="{00000000-0005-0000-0000-0000327A0000}"/>
    <cellStyle name="40% - Accent4 4 4 2 3 2 2 2 2" xfId="45118" xr:uid="{00000000-0005-0000-0000-0000337A0000}"/>
    <cellStyle name="40% - Accent4 4 4 2 3 2 2 3" xfId="33817" xr:uid="{00000000-0005-0000-0000-0000347A0000}"/>
    <cellStyle name="40% - Accent4 4 4 2 3 2 3" xfId="16866" xr:uid="{00000000-0005-0000-0000-0000357A0000}"/>
    <cellStyle name="40% - Accent4 4 4 2 3 2 3 2" xfId="39468" xr:uid="{00000000-0005-0000-0000-0000367A0000}"/>
    <cellStyle name="40% - Accent4 4 4 2 3 2 4" xfId="28167" xr:uid="{00000000-0005-0000-0000-0000377A0000}"/>
    <cellStyle name="40% - Accent4 4 4 2 3 3" xfId="8382" xr:uid="{00000000-0005-0000-0000-0000387A0000}"/>
    <cellStyle name="40% - Accent4 4 4 2 3 3 2" xfId="19683" xr:uid="{00000000-0005-0000-0000-0000397A0000}"/>
    <cellStyle name="40% - Accent4 4 4 2 3 3 2 2" xfId="42285" xr:uid="{00000000-0005-0000-0000-00003A7A0000}"/>
    <cellStyle name="40% - Accent4 4 4 2 3 3 3" xfId="30984" xr:uid="{00000000-0005-0000-0000-00003B7A0000}"/>
    <cellStyle name="40% - Accent4 4 4 2 3 4" xfId="14033" xr:uid="{00000000-0005-0000-0000-00003C7A0000}"/>
    <cellStyle name="40% - Accent4 4 4 2 3 4 2" xfId="36635" xr:uid="{00000000-0005-0000-0000-00003D7A0000}"/>
    <cellStyle name="40% - Accent4 4 4 2 3 5" xfId="25334" xr:uid="{00000000-0005-0000-0000-00003E7A0000}"/>
    <cellStyle name="40% - Accent4 4 4 2 4" xfId="4331" xr:uid="{00000000-0005-0000-0000-00003F7A0000}"/>
    <cellStyle name="40% - Accent4 4 4 2 4 2" xfId="9981" xr:uid="{00000000-0005-0000-0000-0000407A0000}"/>
    <cellStyle name="40% - Accent4 4 4 2 4 2 2" xfId="21282" xr:uid="{00000000-0005-0000-0000-0000417A0000}"/>
    <cellStyle name="40% - Accent4 4 4 2 4 2 2 2" xfId="43884" xr:uid="{00000000-0005-0000-0000-0000427A0000}"/>
    <cellStyle name="40% - Accent4 4 4 2 4 2 3" xfId="32583" xr:uid="{00000000-0005-0000-0000-0000437A0000}"/>
    <cellStyle name="40% - Accent4 4 4 2 4 3" xfId="15632" xr:uid="{00000000-0005-0000-0000-0000447A0000}"/>
    <cellStyle name="40% - Accent4 4 4 2 4 3 2" xfId="38234" xr:uid="{00000000-0005-0000-0000-0000457A0000}"/>
    <cellStyle name="40% - Accent4 4 4 2 4 4" xfId="26933" xr:uid="{00000000-0005-0000-0000-0000467A0000}"/>
    <cellStyle name="40% - Accent4 4 4 2 5" xfId="7128" xr:uid="{00000000-0005-0000-0000-0000477A0000}"/>
    <cellStyle name="40% - Accent4 4 4 2 5 2" xfId="18429" xr:uid="{00000000-0005-0000-0000-0000487A0000}"/>
    <cellStyle name="40% - Accent4 4 4 2 5 2 2" xfId="41031" xr:uid="{00000000-0005-0000-0000-0000497A0000}"/>
    <cellStyle name="40% - Accent4 4 4 2 5 3" xfId="29730" xr:uid="{00000000-0005-0000-0000-00004A7A0000}"/>
    <cellStyle name="40% - Accent4 4 4 2 6" xfId="12779" xr:uid="{00000000-0005-0000-0000-00004B7A0000}"/>
    <cellStyle name="40% - Accent4 4 4 2 6 2" xfId="35381" xr:uid="{00000000-0005-0000-0000-00004C7A0000}"/>
    <cellStyle name="40% - Accent4 4 4 2 7" xfId="24080" xr:uid="{00000000-0005-0000-0000-00004D7A0000}"/>
    <cellStyle name="40% - Accent4 4 4 3" xfId="823" xr:uid="{00000000-0005-0000-0000-00004E7A0000}"/>
    <cellStyle name="40% - Accent4 4 4 3 2" xfId="2910" xr:uid="{00000000-0005-0000-0000-00004F7A0000}"/>
    <cellStyle name="40% - Accent4 4 4 3 2 2" xfId="5882" xr:uid="{00000000-0005-0000-0000-0000507A0000}"/>
    <cellStyle name="40% - Accent4 4 4 3 2 2 2" xfId="11532" xr:uid="{00000000-0005-0000-0000-0000517A0000}"/>
    <cellStyle name="40% - Accent4 4 4 3 2 2 2 2" xfId="22833" xr:uid="{00000000-0005-0000-0000-0000527A0000}"/>
    <cellStyle name="40% - Accent4 4 4 3 2 2 2 2 2" xfId="45435" xr:uid="{00000000-0005-0000-0000-0000537A0000}"/>
    <cellStyle name="40% - Accent4 4 4 3 2 2 2 3" xfId="34134" xr:uid="{00000000-0005-0000-0000-0000547A0000}"/>
    <cellStyle name="40% - Accent4 4 4 3 2 2 3" xfId="17183" xr:uid="{00000000-0005-0000-0000-0000557A0000}"/>
    <cellStyle name="40% - Accent4 4 4 3 2 2 3 2" xfId="39785" xr:uid="{00000000-0005-0000-0000-0000567A0000}"/>
    <cellStyle name="40% - Accent4 4 4 3 2 2 4" xfId="28484" xr:uid="{00000000-0005-0000-0000-0000577A0000}"/>
    <cellStyle name="40% - Accent4 4 4 3 2 3" xfId="8700" xr:uid="{00000000-0005-0000-0000-0000587A0000}"/>
    <cellStyle name="40% - Accent4 4 4 3 2 3 2" xfId="20001" xr:uid="{00000000-0005-0000-0000-0000597A0000}"/>
    <cellStyle name="40% - Accent4 4 4 3 2 3 2 2" xfId="42603" xr:uid="{00000000-0005-0000-0000-00005A7A0000}"/>
    <cellStyle name="40% - Accent4 4 4 3 2 3 3" xfId="31302" xr:uid="{00000000-0005-0000-0000-00005B7A0000}"/>
    <cellStyle name="40% - Accent4 4 4 3 2 4" xfId="14351" xr:uid="{00000000-0005-0000-0000-00005C7A0000}"/>
    <cellStyle name="40% - Accent4 4 4 3 2 4 2" xfId="36953" xr:uid="{00000000-0005-0000-0000-00005D7A0000}"/>
    <cellStyle name="40% - Accent4 4 4 3 2 5" xfId="25652" xr:uid="{00000000-0005-0000-0000-00005E7A0000}"/>
    <cellStyle name="40% - Accent4 4 4 3 3" xfId="4648" xr:uid="{00000000-0005-0000-0000-00005F7A0000}"/>
    <cellStyle name="40% - Accent4 4 4 3 3 2" xfId="10298" xr:uid="{00000000-0005-0000-0000-0000607A0000}"/>
    <cellStyle name="40% - Accent4 4 4 3 3 2 2" xfId="21599" xr:uid="{00000000-0005-0000-0000-0000617A0000}"/>
    <cellStyle name="40% - Accent4 4 4 3 3 2 2 2" xfId="44201" xr:uid="{00000000-0005-0000-0000-0000627A0000}"/>
    <cellStyle name="40% - Accent4 4 4 3 3 2 3" xfId="32900" xr:uid="{00000000-0005-0000-0000-0000637A0000}"/>
    <cellStyle name="40% - Accent4 4 4 3 3 3" xfId="15949" xr:uid="{00000000-0005-0000-0000-0000647A0000}"/>
    <cellStyle name="40% - Accent4 4 4 3 3 3 2" xfId="38551" xr:uid="{00000000-0005-0000-0000-0000657A0000}"/>
    <cellStyle name="40% - Accent4 4 4 3 3 4" xfId="27250" xr:uid="{00000000-0005-0000-0000-0000667A0000}"/>
    <cellStyle name="40% - Accent4 4 4 3 4" xfId="6831" xr:uid="{00000000-0005-0000-0000-0000677A0000}"/>
    <cellStyle name="40% - Accent4 4 4 3 4 2" xfId="18132" xr:uid="{00000000-0005-0000-0000-0000687A0000}"/>
    <cellStyle name="40% - Accent4 4 4 3 4 2 2" xfId="40734" xr:uid="{00000000-0005-0000-0000-0000697A0000}"/>
    <cellStyle name="40% - Accent4 4 4 3 4 3" xfId="29433" xr:uid="{00000000-0005-0000-0000-00006A7A0000}"/>
    <cellStyle name="40% - Accent4 4 4 3 5" xfId="12482" xr:uid="{00000000-0005-0000-0000-00006B7A0000}"/>
    <cellStyle name="40% - Accent4 4 4 3 5 2" xfId="35084" xr:uid="{00000000-0005-0000-0000-00006C7A0000}"/>
    <cellStyle name="40% - Accent4 4 4 3 6" xfId="23783" xr:uid="{00000000-0005-0000-0000-00006D7A0000}"/>
    <cellStyle name="40% - Accent4 4 4 4" xfId="1970" xr:uid="{00000000-0005-0000-0000-00006E7A0000}"/>
    <cellStyle name="40% - Accent4 4 4 4 2" xfId="3787" xr:uid="{00000000-0005-0000-0000-00006F7A0000}"/>
    <cellStyle name="40% - Accent4 4 4 4 2 2" xfId="9497" xr:uid="{00000000-0005-0000-0000-0000707A0000}"/>
    <cellStyle name="40% - Accent4 4 4 4 2 2 2" xfId="20798" xr:uid="{00000000-0005-0000-0000-0000717A0000}"/>
    <cellStyle name="40% - Accent4 4 4 4 2 2 2 2" xfId="43400" xr:uid="{00000000-0005-0000-0000-0000727A0000}"/>
    <cellStyle name="40% - Accent4 4 4 4 2 2 3" xfId="32099" xr:uid="{00000000-0005-0000-0000-0000737A0000}"/>
    <cellStyle name="40% - Accent4 4 4 4 2 3" xfId="15148" xr:uid="{00000000-0005-0000-0000-0000747A0000}"/>
    <cellStyle name="40% - Accent4 4 4 4 2 3 2" xfId="37750" xr:uid="{00000000-0005-0000-0000-0000757A0000}"/>
    <cellStyle name="40% - Accent4 4 4 4 2 4" xfId="26449" xr:uid="{00000000-0005-0000-0000-0000767A0000}"/>
    <cellStyle name="40% - Accent4 4 4 4 3" xfId="5258" xr:uid="{00000000-0005-0000-0000-0000777A0000}"/>
    <cellStyle name="40% - Accent4 4 4 4 3 2" xfId="10908" xr:uid="{00000000-0005-0000-0000-0000787A0000}"/>
    <cellStyle name="40% - Accent4 4 4 4 3 2 2" xfId="22209" xr:uid="{00000000-0005-0000-0000-0000797A0000}"/>
    <cellStyle name="40% - Accent4 4 4 4 3 2 2 2" xfId="44811" xr:uid="{00000000-0005-0000-0000-00007A7A0000}"/>
    <cellStyle name="40% - Accent4 4 4 4 3 2 3" xfId="33510" xr:uid="{00000000-0005-0000-0000-00007B7A0000}"/>
    <cellStyle name="40% - Accent4 4 4 4 3 3" xfId="16559" xr:uid="{00000000-0005-0000-0000-00007C7A0000}"/>
    <cellStyle name="40% - Accent4 4 4 4 3 3 2" xfId="39161" xr:uid="{00000000-0005-0000-0000-00007D7A0000}"/>
    <cellStyle name="40% - Accent4 4 4 4 3 4" xfId="27860" xr:uid="{00000000-0005-0000-0000-00007E7A0000}"/>
    <cellStyle name="40% - Accent4 4 4 4 4" xfId="7826" xr:uid="{00000000-0005-0000-0000-00007F7A0000}"/>
    <cellStyle name="40% - Accent4 4 4 4 4 2" xfId="19127" xr:uid="{00000000-0005-0000-0000-0000807A0000}"/>
    <cellStyle name="40% - Accent4 4 4 4 4 2 2" xfId="41729" xr:uid="{00000000-0005-0000-0000-0000817A0000}"/>
    <cellStyle name="40% - Accent4 4 4 4 4 3" xfId="30428" xr:uid="{00000000-0005-0000-0000-0000827A0000}"/>
    <cellStyle name="40% - Accent4 4 4 4 5" xfId="13477" xr:uid="{00000000-0005-0000-0000-0000837A0000}"/>
    <cellStyle name="40% - Accent4 4 4 4 5 2" xfId="36079" xr:uid="{00000000-0005-0000-0000-0000847A0000}"/>
    <cellStyle name="40% - Accent4 4 4 4 6" xfId="24778" xr:uid="{00000000-0005-0000-0000-0000857A0000}"/>
    <cellStyle name="40% - Accent4 4 4 5" xfId="2230" xr:uid="{00000000-0005-0000-0000-0000867A0000}"/>
    <cellStyle name="40% - Accent4 4 4 5 2" xfId="8072" xr:uid="{00000000-0005-0000-0000-0000877A0000}"/>
    <cellStyle name="40% - Accent4 4 4 5 2 2" xfId="19373" xr:uid="{00000000-0005-0000-0000-0000887A0000}"/>
    <cellStyle name="40% - Accent4 4 4 5 2 2 2" xfId="41975" xr:uid="{00000000-0005-0000-0000-0000897A0000}"/>
    <cellStyle name="40% - Accent4 4 4 5 2 3" xfId="30674" xr:uid="{00000000-0005-0000-0000-00008A7A0000}"/>
    <cellStyle name="40% - Accent4 4 4 5 3" xfId="13723" xr:uid="{00000000-0005-0000-0000-00008B7A0000}"/>
    <cellStyle name="40% - Accent4 4 4 5 3 2" xfId="36325" xr:uid="{00000000-0005-0000-0000-00008C7A0000}"/>
    <cellStyle name="40% - Accent4 4 4 5 4" xfId="25024" xr:uid="{00000000-0005-0000-0000-00008D7A0000}"/>
    <cellStyle name="40% - Accent4 4 4 6" xfId="4024" xr:uid="{00000000-0005-0000-0000-00008E7A0000}"/>
    <cellStyle name="40% - Accent4 4 4 6 2" xfId="9674" xr:uid="{00000000-0005-0000-0000-00008F7A0000}"/>
    <cellStyle name="40% - Accent4 4 4 6 2 2" xfId="20975" xr:uid="{00000000-0005-0000-0000-0000907A0000}"/>
    <cellStyle name="40% - Accent4 4 4 6 2 2 2" xfId="43577" xr:uid="{00000000-0005-0000-0000-0000917A0000}"/>
    <cellStyle name="40% - Accent4 4 4 6 2 3" xfId="32276" xr:uid="{00000000-0005-0000-0000-0000927A0000}"/>
    <cellStyle name="40% - Accent4 4 4 6 3" xfId="15325" xr:uid="{00000000-0005-0000-0000-0000937A0000}"/>
    <cellStyle name="40% - Accent4 4 4 6 3 2" xfId="37927" xr:uid="{00000000-0005-0000-0000-0000947A0000}"/>
    <cellStyle name="40% - Accent4 4 4 6 4" xfId="26626" xr:uid="{00000000-0005-0000-0000-0000957A0000}"/>
    <cellStyle name="40% - Accent4 4 4 7" xfId="6642" xr:uid="{00000000-0005-0000-0000-0000967A0000}"/>
    <cellStyle name="40% - Accent4 4 4 7 2" xfId="17943" xr:uid="{00000000-0005-0000-0000-0000977A0000}"/>
    <cellStyle name="40% - Accent4 4 4 7 2 2" xfId="40545" xr:uid="{00000000-0005-0000-0000-0000987A0000}"/>
    <cellStyle name="40% - Accent4 4 4 7 3" xfId="29244" xr:uid="{00000000-0005-0000-0000-0000997A0000}"/>
    <cellStyle name="40% - Accent4 4 4 8" xfId="12293" xr:uid="{00000000-0005-0000-0000-00009A7A0000}"/>
    <cellStyle name="40% - Accent4 4 4 8 2" xfId="34895" xr:uid="{00000000-0005-0000-0000-00009B7A0000}"/>
    <cellStyle name="40% - Accent4 4 4 9" xfId="23594" xr:uid="{00000000-0005-0000-0000-00009C7A0000}"/>
    <cellStyle name="40% - Accent4 4 5" xfId="519" xr:uid="{00000000-0005-0000-0000-00009D7A0000}"/>
    <cellStyle name="40% - Accent4 4 5 2" xfId="1288" xr:uid="{00000000-0005-0000-0000-00009E7A0000}"/>
    <cellStyle name="40% - Accent4 4 5 2 2" xfId="1973" xr:uid="{00000000-0005-0000-0000-00009F7A0000}"/>
    <cellStyle name="40% - Accent4 4 5 2 2 2" xfId="3357" xr:uid="{00000000-0005-0000-0000-0000A07A0000}"/>
    <cellStyle name="40% - Accent4 4 5 2 2 2 2" xfId="6329" xr:uid="{00000000-0005-0000-0000-0000A17A0000}"/>
    <cellStyle name="40% - Accent4 4 5 2 2 2 2 2" xfId="11979" xr:uid="{00000000-0005-0000-0000-0000A27A0000}"/>
    <cellStyle name="40% - Accent4 4 5 2 2 2 2 2 2" xfId="23280" xr:uid="{00000000-0005-0000-0000-0000A37A0000}"/>
    <cellStyle name="40% - Accent4 4 5 2 2 2 2 2 2 2" xfId="45882" xr:uid="{00000000-0005-0000-0000-0000A47A0000}"/>
    <cellStyle name="40% - Accent4 4 5 2 2 2 2 2 3" xfId="34581" xr:uid="{00000000-0005-0000-0000-0000A57A0000}"/>
    <cellStyle name="40% - Accent4 4 5 2 2 2 2 3" xfId="17630" xr:uid="{00000000-0005-0000-0000-0000A67A0000}"/>
    <cellStyle name="40% - Accent4 4 5 2 2 2 2 3 2" xfId="40232" xr:uid="{00000000-0005-0000-0000-0000A77A0000}"/>
    <cellStyle name="40% - Accent4 4 5 2 2 2 2 4" xfId="28931" xr:uid="{00000000-0005-0000-0000-0000A87A0000}"/>
    <cellStyle name="40% - Accent4 4 5 2 2 2 3" xfId="9147" xr:uid="{00000000-0005-0000-0000-0000A97A0000}"/>
    <cellStyle name="40% - Accent4 4 5 2 2 2 3 2" xfId="20448" xr:uid="{00000000-0005-0000-0000-0000AA7A0000}"/>
    <cellStyle name="40% - Accent4 4 5 2 2 2 3 2 2" xfId="43050" xr:uid="{00000000-0005-0000-0000-0000AB7A0000}"/>
    <cellStyle name="40% - Accent4 4 5 2 2 2 3 3" xfId="31749" xr:uid="{00000000-0005-0000-0000-0000AC7A0000}"/>
    <cellStyle name="40% - Accent4 4 5 2 2 2 4" xfId="14798" xr:uid="{00000000-0005-0000-0000-0000AD7A0000}"/>
    <cellStyle name="40% - Accent4 4 5 2 2 2 4 2" xfId="37400" xr:uid="{00000000-0005-0000-0000-0000AE7A0000}"/>
    <cellStyle name="40% - Accent4 4 5 2 2 2 5" xfId="26099" xr:uid="{00000000-0005-0000-0000-0000AF7A0000}"/>
    <cellStyle name="40% - Accent4 4 5 2 2 3" xfId="5095" xr:uid="{00000000-0005-0000-0000-0000B07A0000}"/>
    <cellStyle name="40% - Accent4 4 5 2 2 3 2" xfId="10745" xr:uid="{00000000-0005-0000-0000-0000B17A0000}"/>
    <cellStyle name="40% - Accent4 4 5 2 2 3 2 2" xfId="22046" xr:uid="{00000000-0005-0000-0000-0000B27A0000}"/>
    <cellStyle name="40% - Accent4 4 5 2 2 3 2 2 2" xfId="44648" xr:uid="{00000000-0005-0000-0000-0000B37A0000}"/>
    <cellStyle name="40% - Accent4 4 5 2 2 3 2 3" xfId="33347" xr:uid="{00000000-0005-0000-0000-0000B47A0000}"/>
    <cellStyle name="40% - Accent4 4 5 2 2 3 3" xfId="16396" xr:uid="{00000000-0005-0000-0000-0000B57A0000}"/>
    <cellStyle name="40% - Accent4 4 5 2 2 3 3 2" xfId="38998" xr:uid="{00000000-0005-0000-0000-0000B67A0000}"/>
    <cellStyle name="40% - Accent4 4 5 2 2 3 4" xfId="27697" xr:uid="{00000000-0005-0000-0000-0000B77A0000}"/>
    <cellStyle name="40% - Accent4 4 5 2 2 4" xfId="7829" xr:uid="{00000000-0005-0000-0000-0000B87A0000}"/>
    <cellStyle name="40% - Accent4 4 5 2 2 4 2" xfId="19130" xr:uid="{00000000-0005-0000-0000-0000B97A0000}"/>
    <cellStyle name="40% - Accent4 4 5 2 2 4 2 2" xfId="41732" xr:uid="{00000000-0005-0000-0000-0000BA7A0000}"/>
    <cellStyle name="40% - Accent4 4 5 2 2 4 3" xfId="30431" xr:uid="{00000000-0005-0000-0000-0000BB7A0000}"/>
    <cellStyle name="40% - Accent4 4 5 2 2 5" xfId="13480" xr:uid="{00000000-0005-0000-0000-0000BC7A0000}"/>
    <cellStyle name="40% - Accent4 4 5 2 2 5 2" xfId="36082" xr:uid="{00000000-0005-0000-0000-0000BD7A0000}"/>
    <cellStyle name="40% - Accent4 4 5 2 2 6" xfId="24781" xr:uid="{00000000-0005-0000-0000-0000BE7A0000}"/>
    <cellStyle name="40% - Accent4 4 5 2 3" xfId="2686" xr:uid="{00000000-0005-0000-0000-0000BF7A0000}"/>
    <cellStyle name="40% - Accent4 4 5 2 3 2" xfId="5705" xr:uid="{00000000-0005-0000-0000-0000C07A0000}"/>
    <cellStyle name="40% - Accent4 4 5 2 3 2 2" xfId="11355" xr:uid="{00000000-0005-0000-0000-0000C17A0000}"/>
    <cellStyle name="40% - Accent4 4 5 2 3 2 2 2" xfId="22656" xr:uid="{00000000-0005-0000-0000-0000C27A0000}"/>
    <cellStyle name="40% - Accent4 4 5 2 3 2 2 2 2" xfId="45258" xr:uid="{00000000-0005-0000-0000-0000C37A0000}"/>
    <cellStyle name="40% - Accent4 4 5 2 3 2 2 3" xfId="33957" xr:uid="{00000000-0005-0000-0000-0000C47A0000}"/>
    <cellStyle name="40% - Accent4 4 5 2 3 2 3" xfId="17006" xr:uid="{00000000-0005-0000-0000-0000C57A0000}"/>
    <cellStyle name="40% - Accent4 4 5 2 3 2 3 2" xfId="39608" xr:uid="{00000000-0005-0000-0000-0000C67A0000}"/>
    <cellStyle name="40% - Accent4 4 5 2 3 2 4" xfId="28307" xr:uid="{00000000-0005-0000-0000-0000C77A0000}"/>
    <cellStyle name="40% - Accent4 4 5 2 3 3" xfId="8522" xr:uid="{00000000-0005-0000-0000-0000C87A0000}"/>
    <cellStyle name="40% - Accent4 4 5 2 3 3 2" xfId="19823" xr:uid="{00000000-0005-0000-0000-0000C97A0000}"/>
    <cellStyle name="40% - Accent4 4 5 2 3 3 2 2" xfId="42425" xr:uid="{00000000-0005-0000-0000-0000CA7A0000}"/>
    <cellStyle name="40% - Accent4 4 5 2 3 3 3" xfId="31124" xr:uid="{00000000-0005-0000-0000-0000CB7A0000}"/>
    <cellStyle name="40% - Accent4 4 5 2 3 4" xfId="14173" xr:uid="{00000000-0005-0000-0000-0000CC7A0000}"/>
    <cellStyle name="40% - Accent4 4 5 2 3 4 2" xfId="36775" xr:uid="{00000000-0005-0000-0000-0000CD7A0000}"/>
    <cellStyle name="40% - Accent4 4 5 2 3 5" xfId="25474" xr:uid="{00000000-0005-0000-0000-0000CE7A0000}"/>
    <cellStyle name="40% - Accent4 4 5 2 4" xfId="4471" xr:uid="{00000000-0005-0000-0000-0000CF7A0000}"/>
    <cellStyle name="40% - Accent4 4 5 2 4 2" xfId="10121" xr:uid="{00000000-0005-0000-0000-0000D07A0000}"/>
    <cellStyle name="40% - Accent4 4 5 2 4 2 2" xfId="21422" xr:uid="{00000000-0005-0000-0000-0000D17A0000}"/>
    <cellStyle name="40% - Accent4 4 5 2 4 2 2 2" xfId="44024" xr:uid="{00000000-0005-0000-0000-0000D27A0000}"/>
    <cellStyle name="40% - Accent4 4 5 2 4 2 3" xfId="32723" xr:uid="{00000000-0005-0000-0000-0000D37A0000}"/>
    <cellStyle name="40% - Accent4 4 5 2 4 3" xfId="15772" xr:uid="{00000000-0005-0000-0000-0000D47A0000}"/>
    <cellStyle name="40% - Accent4 4 5 2 4 3 2" xfId="38374" xr:uid="{00000000-0005-0000-0000-0000D57A0000}"/>
    <cellStyle name="40% - Accent4 4 5 2 4 4" xfId="27073" xr:uid="{00000000-0005-0000-0000-0000D67A0000}"/>
    <cellStyle name="40% - Accent4 4 5 2 5" xfId="7267" xr:uid="{00000000-0005-0000-0000-0000D77A0000}"/>
    <cellStyle name="40% - Accent4 4 5 2 5 2" xfId="18568" xr:uid="{00000000-0005-0000-0000-0000D87A0000}"/>
    <cellStyle name="40% - Accent4 4 5 2 5 2 2" xfId="41170" xr:uid="{00000000-0005-0000-0000-0000D97A0000}"/>
    <cellStyle name="40% - Accent4 4 5 2 5 3" xfId="29869" xr:uid="{00000000-0005-0000-0000-0000DA7A0000}"/>
    <cellStyle name="40% - Accent4 4 5 2 6" xfId="12918" xr:uid="{00000000-0005-0000-0000-0000DB7A0000}"/>
    <cellStyle name="40% - Accent4 4 5 2 6 2" xfId="35520" xr:uid="{00000000-0005-0000-0000-0000DC7A0000}"/>
    <cellStyle name="40% - Accent4 4 5 2 7" xfId="24219" xr:uid="{00000000-0005-0000-0000-0000DD7A0000}"/>
    <cellStyle name="40% - Accent4 4 5 3" xfId="986" xr:uid="{00000000-0005-0000-0000-0000DE7A0000}"/>
    <cellStyle name="40% - Accent4 4 5 3 2" xfId="3049" xr:uid="{00000000-0005-0000-0000-0000DF7A0000}"/>
    <cellStyle name="40% - Accent4 4 5 3 2 2" xfId="6021" xr:uid="{00000000-0005-0000-0000-0000E07A0000}"/>
    <cellStyle name="40% - Accent4 4 5 3 2 2 2" xfId="11671" xr:uid="{00000000-0005-0000-0000-0000E17A0000}"/>
    <cellStyle name="40% - Accent4 4 5 3 2 2 2 2" xfId="22972" xr:uid="{00000000-0005-0000-0000-0000E27A0000}"/>
    <cellStyle name="40% - Accent4 4 5 3 2 2 2 2 2" xfId="45574" xr:uid="{00000000-0005-0000-0000-0000E37A0000}"/>
    <cellStyle name="40% - Accent4 4 5 3 2 2 2 3" xfId="34273" xr:uid="{00000000-0005-0000-0000-0000E47A0000}"/>
    <cellStyle name="40% - Accent4 4 5 3 2 2 3" xfId="17322" xr:uid="{00000000-0005-0000-0000-0000E57A0000}"/>
    <cellStyle name="40% - Accent4 4 5 3 2 2 3 2" xfId="39924" xr:uid="{00000000-0005-0000-0000-0000E67A0000}"/>
    <cellStyle name="40% - Accent4 4 5 3 2 2 4" xfId="28623" xr:uid="{00000000-0005-0000-0000-0000E77A0000}"/>
    <cellStyle name="40% - Accent4 4 5 3 2 3" xfId="8839" xr:uid="{00000000-0005-0000-0000-0000E87A0000}"/>
    <cellStyle name="40% - Accent4 4 5 3 2 3 2" xfId="20140" xr:uid="{00000000-0005-0000-0000-0000E97A0000}"/>
    <cellStyle name="40% - Accent4 4 5 3 2 3 2 2" xfId="42742" xr:uid="{00000000-0005-0000-0000-0000EA7A0000}"/>
    <cellStyle name="40% - Accent4 4 5 3 2 3 3" xfId="31441" xr:uid="{00000000-0005-0000-0000-0000EB7A0000}"/>
    <cellStyle name="40% - Accent4 4 5 3 2 4" xfId="14490" xr:uid="{00000000-0005-0000-0000-0000EC7A0000}"/>
    <cellStyle name="40% - Accent4 4 5 3 2 4 2" xfId="37092" xr:uid="{00000000-0005-0000-0000-0000ED7A0000}"/>
    <cellStyle name="40% - Accent4 4 5 3 2 5" xfId="25791" xr:uid="{00000000-0005-0000-0000-0000EE7A0000}"/>
    <cellStyle name="40% - Accent4 4 5 3 3" xfId="4787" xr:uid="{00000000-0005-0000-0000-0000EF7A0000}"/>
    <cellStyle name="40% - Accent4 4 5 3 3 2" xfId="10437" xr:uid="{00000000-0005-0000-0000-0000F07A0000}"/>
    <cellStyle name="40% - Accent4 4 5 3 3 2 2" xfId="21738" xr:uid="{00000000-0005-0000-0000-0000F17A0000}"/>
    <cellStyle name="40% - Accent4 4 5 3 3 2 2 2" xfId="44340" xr:uid="{00000000-0005-0000-0000-0000F27A0000}"/>
    <cellStyle name="40% - Accent4 4 5 3 3 2 3" xfId="33039" xr:uid="{00000000-0005-0000-0000-0000F37A0000}"/>
    <cellStyle name="40% - Accent4 4 5 3 3 3" xfId="16088" xr:uid="{00000000-0005-0000-0000-0000F47A0000}"/>
    <cellStyle name="40% - Accent4 4 5 3 3 3 2" xfId="38690" xr:uid="{00000000-0005-0000-0000-0000F57A0000}"/>
    <cellStyle name="40% - Accent4 4 5 3 3 4" xfId="27389" xr:uid="{00000000-0005-0000-0000-0000F67A0000}"/>
    <cellStyle name="40% - Accent4 4 5 3 4" xfId="6974" xr:uid="{00000000-0005-0000-0000-0000F77A0000}"/>
    <cellStyle name="40% - Accent4 4 5 3 4 2" xfId="18275" xr:uid="{00000000-0005-0000-0000-0000F87A0000}"/>
    <cellStyle name="40% - Accent4 4 5 3 4 2 2" xfId="40877" xr:uid="{00000000-0005-0000-0000-0000F97A0000}"/>
    <cellStyle name="40% - Accent4 4 5 3 4 3" xfId="29576" xr:uid="{00000000-0005-0000-0000-0000FA7A0000}"/>
    <cellStyle name="40% - Accent4 4 5 3 5" xfId="12625" xr:uid="{00000000-0005-0000-0000-0000FB7A0000}"/>
    <cellStyle name="40% - Accent4 4 5 3 5 2" xfId="35227" xr:uid="{00000000-0005-0000-0000-0000FC7A0000}"/>
    <cellStyle name="40% - Accent4 4 5 3 6" xfId="23926" xr:uid="{00000000-0005-0000-0000-0000FD7A0000}"/>
    <cellStyle name="40% - Accent4 4 5 4" xfId="1972" xr:uid="{00000000-0005-0000-0000-0000FE7A0000}"/>
    <cellStyle name="40% - Accent4 4 5 4 2" xfId="3788" xr:uid="{00000000-0005-0000-0000-0000FF7A0000}"/>
    <cellStyle name="40% - Accent4 4 5 4 2 2" xfId="9498" xr:uid="{00000000-0005-0000-0000-0000007B0000}"/>
    <cellStyle name="40% - Accent4 4 5 4 2 2 2" xfId="20799" xr:uid="{00000000-0005-0000-0000-0000017B0000}"/>
    <cellStyle name="40% - Accent4 4 5 4 2 2 2 2" xfId="43401" xr:uid="{00000000-0005-0000-0000-0000027B0000}"/>
    <cellStyle name="40% - Accent4 4 5 4 2 2 3" xfId="32100" xr:uid="{00000000-0005-0000-0000-0000037B0000}"/>
    <cellStyle name="40% - Accent4 4 5 4 2 3" xfId="15149" xr:uid="{00000000-0005-0000-0000-0000047B0000}"/>
    <cellStyle name="40% - Accent4 4 5 4 2 3 2" xfId="37751" xr:uid="{00000000-0005-0000-0000-0000057B0000}"/>
    <cellStyle name="40% - Accent4 4 5 4 2 4" xfId="26450" xr:uid="{00000000-0005-0000-0000-0000067B0000}"/>
    <cellStyle name="40% - Accent4 4 5 4 3" xfId="5397" xr:uid="{00000000-0005-0000-0000-0000077B0000}"/>
    <cellStyle name="40% - Accent4 4 5 4 3 2" xfId="11047" xr:uid="{00000000-0005-0000-0000-0000087B0000}"/>
    <cellStyle name="40% - Accent4 4 5 4 3 2 2" xfId="22348" xr:uid="{00000000-0005-0000-0000-0000097B0000}"/>
    <cellStyle name="40% - Accent4 4 5 4 3 2 2 2" xfId="44950" xr:uid="{00000000-0005-0000-0000-00000A7B0000}"/>
    <cellStyle name="40% - Accent4 4 5 4 3 2 3" xfId="33649" xr:uid="{00000000-0005-0000-0000-00000B7B0000}"/>
    <cellStyle name="40% - Accent4 4 5 4 3 3" xfId="16698" xr:uid="{00000000-0005-0000-0000-00000C7B0000}"/>
    <cellStyle name="40% - Accent4 4 5 4 3 3 2" xfId="39300" xr:uid="{00000000-0005-0000-0000-00000D7B0000}"/>
    <cellStyle name="40% - Accent4 4 5 4 3 4" xfId="27999" xr:uid="{00000000-0005-0000-0000-00000E7B0000}"/>
    <cellStyle name="40% - Accent4 4 5 4 4" xfId="7828" xr:uid="{00000000-0005-0000-0000-00000F7B0000}"/>
    <cellStyle name="40% - Accent4 4 5 4 4 2" xfId="19129" xr:uid="{00000000-0005-0000-0000-0000107B0000}"/>
    <cellStyle name="40% - Accent4 4 5 4 4 2 2" xfId="41731" xr:uid="{00000000-0005-0000-0000-0000117B0000}"/>
    <cellStyle name="40% - Accent4 4 5 4 4 3" xfId="30430" xr:uid="{00000000-0005-0000-0000-0000127B0000}"/>
    <cellStyle name="40% - Accent4 4 5 4 5" xfId="13479" xr:uid="{00000000-0005-0000-0000-0000137B0000}"/>
    <cellStyle name="40% - Accent4 4 5 4 5 2" xfId="36081" xr:uid="{00000000-0005-0000-0000-0000147B0000}"/>
    <cellStyle name="40% - Accent4 4 5 4 6" xfId="24780" xr:uid="{00000000-0005-0000-0000-0000157B0000}"/>
    <cellStyle name="40% - Accent4 4 5 5" xfId="2378" xr:uid="{00000000-0005-0000-0000-0000167B0000}"/>
    <cellStyle name="40% - Accent4 4 5 5 2" xfId="8214" xr:uid="{00000000-0005-0000-0000-0000177B0000}"/>
    <cellStyle name="40% - Accent4 4 5 5 2 2" xfId="19515" xr:uid="{00000000-0005-0000-0000-0000187B0000}"/>
    <cellStyle name="40% - Accent4 4 5 5 2 2 2" xfId="42117" xr:uid="{00000000-0005-0000-0000-0000197B0000}"/>
    <cellStyle name="40% - Accent4 4 5 5 2 3" xfId="30816" xr:uid="{00000000-0005-0000-0000-00001A7B0000}"/>
    <cellStyle name="40% - Accent4 4 5 5 3" xfId="13865" xr:uid="{00000000-0005-0000-0000-00001B7B0000}"/>
    <cellStyle name="40% - Accent4 4 5 5 3 2" xfId="36467" xr:uid="{00000000-0005-0000-0000-00001C7B0000}"/>
    <cellStyle name="40% - Accent4 4 5 5 4" xfId="25166" xr:uid="{00000000-0005-0000-0000-00001D7B0000}"/>
    <cellStyle name="40% - Accent4 4 5 6" xfId="4163" xr:uid="{00000000-0005-0000-0000-00001E7B0000}"/>
    <cellStyle name="40% - Accent4 4 5 6 2" xfId="9813" xr:uid="{00000000-0005-0000-0000-00001F7B0000}"/>
    <cellStyle name="40% - Accent4 4 5 6 2 2" xfId="21114" xr:uid="{00000000-0005-0000-0000-0000207B0000}"/>
    <cellStyle name="40% - Accent4 4 5 6 2 2 2" xfId="43716" xr:uid="{00000000-0005-0000-0000-0000217B0000}"/>
    <cellStyle name="40% - Accent4 4 5 6 2 3" xfId="32415" xr:uid="{00000000-0005-0000-0000-0000227B0000}"/>
    <cellStyle name="40% - Accent4 4 5 6 3" xfId="15464" xr:uid="{00000000-0005-0000-0000-0000237B0000}"/>
    <cellStyle name="40% - Accent4 4 5 6 3 2" xfId="38066" xr:uid="{00000000-0005-0000-0000-0000247B0000}"/>
    <cellStyle name="40% - Accent4 4 5 6 4" xfId="26765" xr:uid="{00000000-0005-0000-0000-0000257B0000}"/>
    <cellStyle name="40% - Accent4 4 5 7" xfId="6614" xr:uid="{00000000-0005-0000-0000-0000267B0000}"/>
    <cellStyle name="40% - Accent4 4 5 7 2" xfId="17915" xr:uid="{00000000-0005-0000-0000-0000277B0000}"/>
    <cellStyle name="40% - Accent4 4 5 7 2 2" xfId="40517" xr:uid="{00000000-0005-0000-0000-0000287B0000}"/>
    <cellStyle name="40% - Accent4 4 5 7 3" xfId="29216" xr:uid="{00000000-0005-0000-0000-0000297B0000}"/>
    <cellStyle name="40% - Accent4 4 5 8" xfId="12265" xr:uid="{00000000-0005-0000-0000-00002A7B0000}"/>
    <cellStyle name="40% - Accent4 4 5 8 2" xfId="34867" xr:uid="{00000000-0005-0000-0000-00002B7B0000}"/>
    <cellStyle name="40% - Accent4 4 5 9" xfId="23566" xr:uid="{00000000-0005-0000-0000-00002C7B0000}"/>
    <cellStyle name="40% - Accent4 4 6" xfId="1121" xr:uid="{00000000-0005-0000-0000-00002D7B0000}"/>
    <cellStyle name="40% - Accent4 4 6 2" xfId="1974" xr:uid="{00000000-0005-0000-0000-00002E7B0000}"/>
    <cellStyle name="40% - Accent4 4 6 2 2" xfId="3188" xr:uid="{00000000-0005-0000-0000-00002F7B0000}"/>
    <cellStyle name="40% - Accent4 4 6 2 2 2" xfId="6160" xr:uid="{00000000-0005-0000-0000-0000307B0000}"/>
    <cellStyle name="40% - Accent4 4 6 2 2 2 2" xfId="11810" xr:uid="{00000000-0005-0000-0000-0000317B0000}"/>
    <cellStyle name="40% - Accent4 4 6 2 2 2 2 2" xfId="23111" xr:uid="{00000000-0005-0000-0000-0000327B0000}"/>
    <cellStyle name="40% - Accent4 4 6 2 2 2 2 2 2" xfId="45713" xr:uid="{00000000-0005-0000-0000-0000337B0000}"/>
    <cellStyle name="40% - Accent4 4 6 2 2 2 2 3" xfId="34412" xr:uid="{00000000-0005-0000-0000-0000347B0000}"/>
    <cellStyle name="40% - Accent4 4 6 2 2 2 3" xfId="17461" xr:uid="{00000000-0005-0000-0000-0000357B0000}"/>
    <cellStyle name="40% - Accent4 4 6 2 2 2 3 2" xfId="40063" xr:uid="{00000000-0005-0000-0000-0000367B0000}"/>
    <cellStyle name="40% - Accent4 4 6 2 2 2 4" xfId="28762" xr:uid="{00000000-0005-0000-0000-0000377B0000}"/>
    <cellStyle name="40% - Accent4 4 6 2 2 3" xfId="8978" xr:uid="{00000000-0005-0000-0000-0000387B0000}"/>
    <cellStyle name="40% - Accent4 4 6 2 2 3 2" xfId="20279" xr:uid="{00000000-0005-0000-0000-0000397B0000}"/>
    <cellStyle name="40% - Accent4 4 6 2 2 3 2 2" xfId="42881" xr:uid="{00000000-0005-0000-0000-00003A7B0000}"/>
    <cellStyle name="40% - Accent4 4 6 2 2 3 3" xfId="31580" xr:uid="{00000000-0005-0000-0000-00003B7B0000}"/>
    <cellStyle name="40% - Accent4 4 6 2 2 4" xfId="14629" xr:uid="{00000000-0005-0000-0000-00003C7B0000}"/>
    <cellStyle name="40% - Accent4 4 6 2 2 4 2" xfId="37231" xr:uid="{00000000-0005-0000-0000-00003D7B0000}"/>
    <cellStyle name="40% - Accent4 4 6 2 2 5" xfId="25930" xr:uid="{00000000-0005-0000-0000-00003E7B0000}"/>
    <cellStyle name="40% - Accent4 4 6 2 3" xfId="4926" xr:uid="{00000000-0005-0000-0000-00003F7B0000}"/>
    <cellStyle name="40% - Accent4 4 6 2 3 2" xfId="10576" xr:uid="{00000000-0005-0000-0000-0000407B0000}"/>
    <cellStyle name="40% - Accent4 4 6 2 3 2 2" xfId="21877" xr:uid="{00000000-0005-0000-0000-0000417B0000}"/>
    <cellStyle name="40% - Accent4 4 6 2 3 2 2 2" xfId="44479" xr:uid="{00000000-0005-0000-0000-0000427B0000}"/>
    <cellStyle name="40% - Accent4 4 6 2 3 2 3" xfId="33178" xr:uid="{00000000-0005-0000-0000-0000437B0000}"/>
    <cellStyle name="40% - Accent4 4 6 2 3 3" xfId="16227" xr:uid="{00000000-0005-0000-0000-0000447B0000}"/>
    <cellStyle name="40% - Accent4 4 6 2 3 3 2" xfId="38829" xr:uid="{00000000-0005-0000-0000-0000457B0000}"/>
    <cellStyle name="40% - Accent4 4 6 2 3 4" xfId="27528" xr:uid="{00000000-0005-0000-0000-0000467B0000}"/>
    <cellStyle name="40% - Accent4 4 6 2 4" xfId="7830" xr:uid="{00000000-0005-0000-0000-0000477B0000}"/>
    <cellStyle name="40% - Accent4 4 6 2 4 2" xfId="19131" xr:uid="{00000000-0005-0000-0000-0000487B0000}"/>
    <cellStyle name="40% - Accent4 4 6 2 4 2 2" xfId="41733" xr:uid="{00000000-0005-0000-0000-0000497B0000}"/>
    <cellStyle name="40% - Accent4 4 6 2 4 3" xfId="30432" xr:uid="{00000000-0005-0000-0000-00004A7B0000}"/>
    <cellStyle name="40% - Accent4 4 6 2 5" xfId="13481" xr:uid="{00000000-0005-0000-0000-00004B7B0000}"/>
    <cellStyle name="40% - Accent4 4 6 2 5 2" xfId="36083" xr:uid="{00000000-0005-0000-0000-00004C7B0000}"/>
    <cellStyle name="40% - Accent4 4 6 2 6" xfId="24782" xr:uid="{00000000-0005-0000-0000-00004D7B0000}"/>
    <cellStyle name="40% - Accent4 4 6 3" xfId="2517" xr:uid="{00000000-0005-0000-0000-00004E7B0000}"/>
    <cellStyle name="40% - Accent4 4 6 3 2" xfId="5536" xr:uid="{00000000-0005-0000-0000-00004F7B0000}"/>
    <cellStyle name="40% - Accent4 4 6 3 2 2" xfId="11186" xr:uid="{00000000-0005-0000-0000-0000507B0000}"/>
    <cellStyle name="40% - Accent4 4 6 3 2 2 2" xfId="22487" xr:uid="{00000000-0005-0000-0000-0000517B0000}"/>
    <cellStyle name="40% - Accent4 4 6 3 2 2 2 2" xfId="45089" xr:uid="{00000000-0005-0000-0000-0000527B0000}"/>
    <cellStyle name="40% - Accent4 4 6 3 2 2 3" xfId="33788" xr:uid="{00000000-0005-0000-0000-0000537B0000}"/>
    <cellStyle name="40% - Accent4 4 6 3 2 3" xfId="16837" xr:uid="{00000000-0005-0000-0000-0000547B0000}"/>
    <cellStyle name="40% - Accent4 4 6 3 2 3 2" xfId="39439" xr:uid="{00000000-0005-0000-0000-0000557B0000}"/>
    <cellStyle name="40% - Accent4 4 6 3 2 4" xfId="28138" xr:uid="{00000000-0005-0000-0000-0000567B0000}"/>
    <cellStyle name="40% - Accent4 4 6 3 3" xfId="8353" xr:uid="{00000000-0005-0000-0000-0000577B0000}"/>
    <cellStyle name="40% - Accent4 4 6 3 3 2" xfId="19654" xr:uid="{00000000-0005-0000-0000-0000587B0000}"/>
    <cellStyle name="40% - Accent4 4 6 3 3 2 2" xfId="42256" xr:uid="{00000000-0005-0000-0000-0000597B0000}"/>
    <cellStyle name="40% - Accent4 4 6 3 3 3" xfId="30955" xr:uid="{00000000-0005-0000-0000-00005A7B0000}"/>
    <cellStyle name="40% - Accent4 4 6 3 4" xfId="14004" xr:uid="{00000000-0005-0000-0000-00005B7B0000}"/>
    <cellStyle name="40% - Accent4 4 6 3 4 2" xfId="36606" xr:uid="{00000000-0005-0000-0000-00005C7B0000}"/>
    <cellStyle name="40% - Accent4 4 6 3 5" xfId="25305" xr:uid="{00000000-0005-0000-0000-00005D7B0000}"/>
    <cellStyle name="40% - Accent4 4 6 4" xfId="4302" xr:uid="{00000000-0005-0000-0000-00005E7B0000}"/>
    <cellStyle name="40% - Accent4 4 6 4 2" xfId="9952" xr:uid="{00000000-0005-0000-0000-00005F7B0000}"/>
    <cellStyle name="40% - Accent4 4 6 4 2 2" xfId="21253" xr:uid="{00000000-0005-0000-0000-0000607B0000}"/>
    <cellStyle name="40% - Accent4 4 6 4 2 2 2" xfId="43855" xr:uid="{00000000-0005-0000-0000-0000617B0000}"/>
    <cellStyle name="40% - Accent4 4 6 4 2 3" xfId="32554" xr:uid="{00000000-0005-0000-0000-0000627B0000}"/>
    <cellStyle name="40% - Accent4 4 6 4 3" xfId="15603" xr:uid="{00000000-0005-0000-0000-0000637B0000}"/>
    <cellStyle name="40% - Accent4 4 6 4 3 2" xfId="38205" xr:uid="{00000000-0005-0000-0000-0000647B0000}"/>
    <cellStyle name="40% - Accent4 4 6 4 4" xfId="26904" xr:uid="{00000000-0005-0000-0000-0000657B0000}"/>
    <cellStyle name="40% - Accent4 4 6 5" xfId="7100" xr:uid="{00000000-0005-0000-0000-0000667B0000}"/>
    <cellStyle name="40% - Accent4 4 6 5 2" xfId="18401" xr:uid="{00000000-0005-0000-0000-0000677B0000}"/>
    <cellStyle name="40% - Accent4 4 6 5 2 2" xfId="41003" xr:uid="{00000000-0005-0000-0000-0000687B0000}"/>
    <cellStyle name="40% - Accent4 4 6 5 3" xfId="29702" xr:uid="{00000000-0005-0000-0000-0000697B0000}"/>
    <cellStyle name="40% - Accent4 4 6 6" xfId="12751" xr:uid="{00000000-0005-0000-0000-00006A7B0000}"/>
    <cellStyle name="40% - Accent4 4 6 6 2" xfId="35353" xr:uid="{00000000-0005-0000-0000-00006B7B0000}"/>
    <cellStyle name="40% - Accent4 4 6 7" xfId="24052" xr:uid="{00000000-0005-0000-0000-00006C7B0000}"/>
    <cellStyle name="40% - Accent4 4 7" xfId="785" xr:uid="{00000000-0005-0000-0000-00006D7B0000}"/>
    <cellStyle name="40% - Accent4 4 7 2" xfId="2882" xr:uid="{00000000-0005-0000-0000-00006E7B0000}"/>
    <cellStyle name="40% - Accent4 4 7 2 2" xfId="5854" xr:uid="{00000000-0005-0000-0000-00006F7B0000}"/>
    <cellStyle name="40% - Accent4 4 7 2 2 2" xfId="11504" xr:uid="{00000000-0005-0000-0000-0000707B0000}"/>
    <cellStyle name="40% - Accent4 4 7 2 2 2 2" xfId="22805" xr:uid="{00000000-0005-0000-0000-0000717B0000}"/>
    <cellStyle name="40% - Accent4 4 7 2 2 2 2 2" xfId="45407" xr:uid="{00000000-0005-0000-0000-0000727B0000}"/>
    <cellStyle name="40% - Accent4 4 7 2 2 2 3" xfId="34106" xr:uid="{00000000-0005-0000-0000-0000737B0000}"/>
    <cellStyle name="40% - Accent4 4 7 2 2 3" xfId="17155" xr:uid="{00000000-0005-0000-0000-0000747B0000}"/>
    <cellStyle name="40% - Accent4 4 7 2 2 3 2" xfId="39757" xr:uid="{00000000-0005-0000-0000-0000757B0000}"/>
    <cellStyle name="40% - Accent4 4 7 2 2 4" xfId="28456" xr:uid="{00000000-0005-0000-0000-0000767B0000}"/>
    <cellStyle name="40% - Accent4 4 7 2 3" xfId="8672" xr:uid="{00000000-0005-0000-0000-0000777B0000}"/>
    <cellStyle name="40% - Accent4 4 7 2 3 2" xfId="19973" xr:uid="{00000000-0005-0000-0000-0000787B0000}"/>
    <cellStyle name="40% - Accent4 4 7 2 3 2 2" xfId="42575" xr:uid="{00000000-0005-0000-0000-0000797B0000}"/>
    <cellStyle name="40% - Accent4 4 7 2 3 3" xfId="31274" xr:uid="{00000000-0005-0000-0000-00007A7B0000}"/>
    <cellStyle name="40% - Accent4 4 7 2 4" xfId="14323" xr:uid="{00000000-0005-0000-0000-00007B7B0000}"/>
    <cellStyle name="40% - Accent4 4 7 2 4 2" xfId="36925" xr:uid="{00000000-0005-0000-0000-00007C7B0000}"/>
    <cellStyle name="40% - Accent4 4 7 2 5" xfId="25624" xr:uid="{00000000-0005-0000-0000-00007D7B0000}"/>
    <cellStyle name="40% - Accent4 4 7 3" xfId="4620" xr:uid="{00000000-0005-0000-0000-00007E7B0000}"/>
    <cellStyle name="40% - Accent4 4 7 3 2" xfId="10270" xr:uid="{00000000-0005-0000-0000-00007F7B0000}"/>
    <cellStyle name="40% - Accent4 4 7 3 2 2" xfId="21571" xr:uid="{00000000-0005-0000-0000-0000807B0000}"/>
    <cellStyle name="40% - Accent4 4 7 3 2 2 2" xfId="44173" xr:uid="{00000000-0005-0000-0000-0000817B0000}"/>
    <cellStyle name="40% - Accent4 4 7 3 2 3" xfId="32872" xr:uid="{00000000-0005-0000-0000-0000827B0000}"/>
    <cellStyle name="40% - Accent4 4 7 3 3" xfId="15921" xr:uid="{00000000-0005-0000-0000-0000837B0000}"/>
    <cellStyle name="40% - Accent4 4 7 3 3 2" xfId="38523" xr:uid="{00000000-0005-0000-0000-0000847B0000}"/>
    <cellStyle name="40% - Accent4 4 7 3 4" xfId="27222" xr:uid="{00000000-0005-0000-0000-0000857B0000}"/>
    <cellStyle name="40% - Accent4 4 7 4" xfId="6802" xr:uid="{00000000-0005-0000-0000-0000867B0000}"/>
    <cellStyle name="40% - Accent4 4 7 4 2" xfId="18103" xr:uid="{00000000-0005-0000-0000-0000877B0000}"/>
    <cellStyle name="40% - Accent4 4 7 4 2 2" xfId="40705" xr:uid="{00000000-0005-0000-0000-0000887B0000}"/>
    <cellStyle name="40% - Accent4 4 7 4 3" xfId="29404" xr:uid="{00000000-0005-0000-0000-0000897B0000}"/>
    <cellStyle name="40% - Accent4 4 7 5" xfId="12453" xr:uid="{00000000-0005-0000-0000-00008A7B0000}"/>
    <cellStyle name="40% - Accent4 4 7 5 2" xfId="35055" xr:uid="{00000000-0005-0000-0000-00008B7B0000}"/>
    <cellStyle name="40% - Accent4 4 7 6" xfId="23754" xr:uid="{00000000-0005-0000-0000-00008C7B0000}"/>
    <cellStyle name="40% - Accent4 4 8" xfId="1961" xr:uid="{00000000-0005-0000-0000-00008D7B0000}"/>
    <cellStyle name="40% - Accent4 4 8 2" xfId="3782" xr:uid="{00000000-0005-0000-0000-00008E7B0000}"/>
    <cellStyle name="40% - Accent4 4 8 2 2" xfId="9492" xr:uid="{00000000-0005-0000-0000-00008F7B0000}"/>
    <cellStyle name="40% - Accent4 4 8 2 2 2" xfId="20793" xr:uid="{00000000-0005-0000-0000-0000907B0000}"/>
    <cellStyle name="40% - Accent4 4 8 2 2 2 2" xfId="43395" xr:uid="{00000000-0005-0000-0000-0000917B0000}"/>
    <cellStyle name="40% - Accent4 4 8 2 2 3" xfId="32094" xr:uid="{00000000-0005-0000-0000-0000927B0000}"/>
    <cellStyle name="40% - Accent4 4 8 2 3" xfId="15143" xr:uid="{00000000-0005-0000-0000-0000937B0000}"/>
    <cellStyle name="40% - Accent4 4 8 2 3 2" xfId="37745" xr:uid="{00000000-0005-0000-0000-0000947B0000}"/>
    <cellStyle name="40% - Accent4 4 8 2 4" xfId="26444" xr:uid="{00000000-0005-0000-0000-0000957B0000}"/>
    <cellStyle name="40% - Accent4 4 8 3" xfId="5230" xr:uid="{00000000-0005-0000-0000-0000967B0000}"/>
    <cellStyle name="40% - Accent4 4 8 3 2" xfId="10880" xr:uid="{00000000-0005-0000-0000-0000977B0000}"/>
    <cellStyle name="40% - Accent4 4 8 3 2 2" xfId="22181" xr:uid="{00000000-0005-0000-0000-0000987B0000}"/>
    <cellStyle name="40% - Accent4 4 8 3 2 2 2" xfId="44783" xr:uid="{00000000-0005-0000-0000-0000997B0000}"/>
    <cellStyle name="40% - Accent4 4 8 3 2 3" xfId="33482" xr:uid="{00000000-0005-0000-0000-00009A7B0000}"/>
    <cellStyle name="40% - Accent4 4 8 3 3" xfId="16531" xr:uid="{00000000-0005-0000-0000-00009B7B0000}"/>
    <cellStyle name="40% - Accent4 4 8 3 3 2" xfId="39133" xr:uid="{00000000-0005-0000-0000-00009C7B0000}"/>
    <cellStyle name="40% - Accent4 4 8 3 4" xfId="27832" xr:uid="{00000000-0005-0000-0000-00009D7B0000}"/>
    <cellStyle name="40% - Accent4 4 8 4" xfId="7817" xr:uid="{00000000-0005-0000-0000-00009E7B0000}"/>
    <cellStyle name="40% - Accent4 4 8 4 2" xfId="19118" xr:uid="{00000000-0005-0000-0000-00009F7B0000}"/>
    <cellStyle name="40% - Accent4 4 8 4 2 2" xfId="41720" xr:uid="{00000000-0005-0000-0000-0000A07B0000}"/>
    <cellStyle name="40% - Accent4 4 8 4 3" xfId="30419" xr:uid="{00000000-0005-0000-0000-0000A17B0000}"/>
    <cellStyle name="40% - Accent4 4 8 5" xfId="13468" xr:uid="{00000000-0005-0000-0000-0000A27B0000}"/>
    <cellStyle name="40% - Accent4 4 8 5 2" xfId="36070" xr:uid="{00000000-0005-0000-0000-0000A37B0000}"/>
    <cellStyle name="40% - Accent4 4 8 6" xfId="24769" xr:uid="{00000000-0005-0000-0000-0000A47B0000}"/>
    <cellStyle name="40% - Accent4 4 9" xfId="2201" xr:uid="{00000000-0005-0000-0000-0000A57B0000}"/>
    <cellStyle name="40% - Accent4 4 9 2" xfId="8044" xr:uid="{00000000-0005-0000-0000-0000A67B0000}"/>
    <cellStyle name="40% - Accent4 4 9 2 2" xfId="19345" xr:uid="{00000000-0005-0000-0000-0000A77B0000}"/>
    <cellStyle name="40% - Accent4 4 9 2 2 2" xfId="41947" xr:uid="{00000000-0005-0000-0000-0000A87B0000}"/>
    <cellStyle name="40% - Accent4 4 9 2 3" xfId="30646" xr:uid="{00000000-0005-0000-0000-0000A97B0000}"/>
    <cellStyle name="40% - Accent4 4 9 3" xfId="13695" xr:uid="{00000000-0005-0000-0000-0000AA7B0000}"/>
    <cellStyle name="40% - Accent4 4 9 3 2" xfId="36297" xr:uid="{00000000-0005-0000-0000-0000AB7B0000}"/>
    <cellStyle name="40% - Accent4 4 9 4" xfId="24996" xr:uid="{00000000-0005-0000-0000-0000AC7B0000}"/>
    <cellStyle name="40% - Accent4 5" xfId="273" xr:uid="{00000000-0005-0000-0000-0000AD7B0000}"/>
    <cellStyle name="40% - Accent4 5 10" xfId="12138" xr:uid="{00000000-0005-0000-0000-0000AE7B0000}"/>
    <cellStyle name="40% - Accent4 5 10 2" xfId="34740" xr:uid="{00000000-0005-0000-0000-0000AF7B0000}"/>
    <cellStyle name="40% - Accent4 5 11" xfId="23439" xr:uid="{00000000-0005-0000-0000-0000B07B0000}"/>
    <cellStyle name="40% - Accent4 5 2" xfId="440" xr:uid="{00000000-0005-0000-0000-0000B17B0000}"/>
    <cellStyle name="40% - Accent4 5 2 10" xfId="23535" xr:uid="{00000000-0005-0000-0000-0000B27B0000}"/>
    <cellStyle name="40% - Accent4 5 2 2" xfId="685" xr:uid="{00000000-0005-0000-0000-0000B37B0000}"/>
    <cellStyle name="40% - Accent4 5 2 2 2" xfId="1395" xr:uid="{00000000-0005-0000-0000-0000B47B0000}"/>
    <cellStyle name="40% - Accent4 5 2 2 2 2" xfId="1978" xr:uid="{00000000-0005-0000-0000-0000B57B0000}"/>
    <cellStyle name="40% - Accent4 5 2 2 2 2 2" xfId="3464" xr:uid="{00000000-0005-0000-0000-0000B67B0000}"/>
    <cellStyle name="40% - Accent4 5 2 2 2 2 2 2" xfId="6436" xr:uid="{00000000-0005-0000-0000-0000B77B0000}"/>
    <cellStyle name="40% - Accent4 5 2 2 2 2 2 2 2" xfId="12086" xr:uid="{00000000-0005-0000-0000-0000B87B0000}"/>
    <cellStyle name="40% - Accent4 5 2 2 2 2 2 2 2 2" xfId="23387" xr:uid="{00000000-0005-0000-0000-0000B97B0000}"/>
    <cellStyle name="40% - Accent4 5 2 2 2 2 2 2 2 2 2" xfId="45989" xr:uid="{00000000-0005-0000-0000-0000BA7B0000}"/>
    <cellStyle name="40% - Accent4 5 2 2 2 2 2 2 2 3" xfId="34688" xr:uid="{00000000-0005-0000-0000-0000BB7B0000}"/>
    <cellStyle name="40% - Accent4 5 2 2 2 2 2 2 3" xfId="17737" xr:uid="{00000000-0005-0000-0000-0000BC7B0000}"/>
    <cellStyle name="40% - Accent4 5 2 2 2 2 2 2 3 2" xfId="40339" xr:uid="{00000000-0005-0000-0000-0000BD7B0000}"/>
    <cellStyle name="40% - Accent4 5 2 2 2 2 2 2 4" xfId="29038" xr:uid="{00000000-0005-0000-0000-0000BE7B0000}"/>
    <cellStyle name="40% - Accent4 5 2 2 2 2 2 3" xfId="9254" xr:uid="{00000000-0005-0000-0000-0000BF7B0000}"/>
    <cellStyle name="40% - Accent4 5 2 2 2 2 2 3 2" xfId="20555" xr:uid="{00000000-0005-0000-0000-0000C07B0000}"/>
    <cellStyle name="40% - Accent4 5 2 2 2 2 2 3 2 2" xfId="43157" xr:uid="{00000000-0005-0000-0000-0000C17B0000}"/>
    <cellStyle name="40% - Accent4 5 2 2 2 2 2 3 3" xfId="31856" xr:uid="{00000000-0005-0000-0000-0000C27B0000}"/>
    <cellStyle name="40% - Accent4 5 2 2 2 2 2 4" xfId="14905" xr:uid="{00000000-0005-0000-0000-0000C37B0000}"/>
    <cellStyle name="40% - Accent4 5 2 2 2 2 2 4 2" xfId="37507" xr:uid="{00000000-0005-0000-0000-0000C47B0000}"/>
    <cellStyle name="40% - Accent4 5 2 2 2 2 2 5" xfId="26206" xr:uid="{00000000-0005-0000-0000-0000C57B0000}"/>
    <cellStyle name="40% - Accent4 5 2 2 2 2 3" xfId="5202" xr:uid="{00000000-0005-0000-0000-0000C67B0000}"/>
    <cellStyle name="40% - Accent4 5 2 2 2 2 3 2" xfId="10852" xr:uid="{00000000-0005-0000-0000-0000C77B0000}"/>
    <cellStyle name="40% - Accent4 5 2 2 2 2 3 2 2" xfId="22153" xr:uid="{00000000-0005-0000-0000-0000C87B0000}"/>
    <cellStyle name="40% - Accent4 5 2 2 2 2 3 2 2 2" xfId="44755" xr:uid="{00000000-0005-0000-0000-0000C97B0000}"/>
    <cellStyle name="40% - Accent4 5 2 2 2 2 3 2 3" xfId="33454" xr:uid="{00000000-0005-0000-0000-0000CA7B0000}"/>
    <cellStyle name="40% - Accent4 5 2 2 2 2 3 3" xfId="16503" xr:uid="{00000000-0005-0000-0000-0000CB7B0000}"/>
    <cellStyle name="40% - Accent4 5 2 2 2 2 3 3 2" xfId="39105" xr:uid="{00000000-0005-0000-0000-0000CC7B0000}"/>
    <cellStyle name="40% - Accent4 5 2 2 2 2 3 4" xfId="27804" xr:uid="{00000000-0005-0000-0000-0000CD7B0000}"/>
    <cellStyle name="40% - Accent4 5 2 2 2 2 4" xfId="7834" xr:uid="{00000000-0005-0000-0000-0000CE7B0000}"/>
    <cellStyle name="40% - Accent4 5 2 2 2 2 4 2" xfId="19135" xr:uid="{00000000-0005-0000-0000-0000CF7B0000}"/>
    <cellStyle name="40% - Accent4 5 2 2 2 2 4 2 2" xfId="41737" xr:uid="{00000000-0005-0000-0000-0000D07B0000}"/>
    <cellStyle name="40% - Accent4 5 2 2 2 2 4 3" xfId="30436" xr:uid="{00000000-0005-0000-0000-0000D17B0000}"/>
    <cellStyle name="40% - Accent4 5 2 2 2 2 5" xfId="13485" xr:uid="{00000000-0005-0000-0000-0000D27B0000}"/>
    <cellStyle name="40% - Accent4 5 2 2 2 2 5 2" xfId="36087" xr:uid="{00000000-0005-0000-0000-0000D37B0000}"/>
    <cellStyle name="40% - Accent4 5 2 2 2 2 6" xfId="24786" xr:uid="{00000000-0005-0000-0000-0000D47B0000}"/>
    <cellStyle name="40% - Accent4 5 2 2 2 3" xfId="2793" xr:uid="{00000000-0005-0000-0000-0000D57B0000}"/>
    <cellStyle name="40% - Accent4 5 2 2 2 3 2" xfId="5812" xr:uid="{00000000-0005-0000-0000-0000D67B0000}"/>
    <cellStyle name="40% - Accent4 5 2 2 2 3 2 2" xfId="11462" xr:uid="{00000000-0005-0000-0000-0000D77B0000}"/>
    <cellStyle name="40% - Accent4 5 2 2 2 3 2 2 2" xfId="22763" xr:uid="{00000000-0005-0000-0000-0000D87B0000}"/>
    <cellStyle name="40% - Accent4 5 2 2 2 3 2 2 2 2" xfId="45365" xr:uid="{00000000-0005-0000-0000-0000D97B0000}"/>
    <cellStyle name="40% - Accent4 5 2 2 2 3 2 2 3" xfId="34064" xr:uid="{00000000-0005-0000-0000-0000DA7B0000}"/>
    <cellStyle name="40% - Accent4 5 2 2 2 3 2 3" xfId="17113" xr:uid="{00000000-0005-0000-0000-0000DB7B0000}"/>
    <cellStyle name="40% - Accent4 5 2 2 2 3 2 3 2" xfId="39715" xr:uid="{00000000-0005-0000-0000-0000DC7B0000}"/>
    <cellStyle name="40% - Accent4 5 2 2 2 3 2 4" xfId="28414" xr:uid="{00000000-0005-0000-0000-0000DD7B0000}"/>
    <cellStyle name="40% - Accent4 5 2 2 2 3 3" xfId="8629" xr:uid="{00000000-0005-0000-0000-0000DE7B0000}"/>
    <cellStyle name="40% - Accent4 5 2 2 2 3 3 2" xfId="19930" xr:uid="{00000000-0005-0000-0000-0000DF7B0000}"/>
    <cellStyle name="40% - Accent4 5 2 2 2 3 3 2 2" xfId="42532" xr:uid="{00000000-0005-0000-0000-0000E07B0000}"/>
    <cellStyle name="40% - Accent4 5 2 2 2 3 3 3" xfId="31231" xr:uid="{00000000-0005-0000-0000-0000E17B0000}"/>
    <cellStyle name="40% - Accent4 5 2 2 2 3 4" xfId="14280" xr:uid="{00000000-0005-0000-0000-0000E27B0000}"/>
    <cellStyle name="40% - Accent4 5 2 2 2 3 4 2" xfId="36882" xr:uid="{00000000-0005-0000-0000-0000E37B0000}"/>
    <cellStyle name="40% - Accent4 5 2 2 2 3 5" xfId="25581" xr:uid="{00000000-0005-0000-0000-0000E47B0000}"/>
    <cellStyle name="40% - Accent4 5 2 2 2 4" xfId="4578" xr:uid="{00000000-0005-0000-0000-0000E57B0000}"/>
    <cellStyle name="40% - Accent4 5 2 2 2 4 2" xfId="10228" xr:uid="{00000000-0005-0000-0000-0000E67B0000}"/>
    <cellStyle name="40% - Accent4 5 2 2 2 4 2 2" xfId="21529" xr:uid="{00000000-0005-0000-0000-0000E77B0000}"/>
    <cellStyle name="40% - Accent4 5 2 2 2 4 2 2 2" xfId="44131" xr:uid="{00000000-0005-0000-0000-0000E87B0000}"/>
    <cellStyle name="40% - Accent4 5 2 2 2 4 2 3" xfId="32830" xr:uid="{00000000-0005-0000-0000-0000E97B0000}"/>
    <cellStyle name="40% - Accent4 5 2 2 2 4 3" xfId="15879" xr:uid="{00000000-0005-0000-0000-0000EA7B0000}"/>
    <cellStyle name="40% - Accent4 5 2 2 2 4 3 2" xfId="38481" xr:uid="{00000000-0005-0000-0000-0000EB7B0000}"/>
    <cellStyle name="40% - Accent4 5 2 2 2 4 4" xfId="27180" xr:uid="{00000000-0005-0000-0000-0000EC7B0000}"/>
    <cellStyle name="40% - Accent4 5 2 2 2 5" xfId="7374" xr:uid="{00000000-0005-0000-0000-0000ED7B0000}"/>
    <cellStyle name="40% - Accent4 5 2 2 2 5 2" xfId="18675" xr:uid="{00000000-0005-0000-0000-0000EE7B0000}"/>
    <cellStyle name="40% - Accent4 5 2 2 2 5 2 2" xfId="41277" xr:uid="{00000000-0005-0000-0000-0000EF7B0000}"/>
    <cellStyle name="40% - Accent4 5 2 2 2 5 3" xfId="29976" xr:uid="{00000000-0005-0000-0000-0000F07B0000}"/>
    <cellStyle name="40% - Accent4 5 2 2 2 6" xfId="13025" xr:uid="{00000000-0005-0000-0000-0000F17B0000}"/>
    <cellStyle name="40% - Accent4 5 2 2 2 6 2" xfId="35627" xr:uid="{00000000-0005-0000-0000-0000F27B0000}"/>
    <cellStyle name="40% - Accent4 5 2 2 2 7" xfId="24326" xr:uid="{00000000-0005-0000-0000-0000F37B0000}"/>
    <cellStyle name="40% - Accent4 5 2 2 3" xfId="1093" xr:uid="{00000000-0005-0000-0000-0000F47B0000}"/>
    <cellStyle name="40% - Accent4 5 2 2 3 2" xfId="3156" xr:uid="{00000000-0005-0000-0000-0000F57B0000}"/>
    <cellStyle name="40% - Accent4 5 2 2 3 2 2" xfId="6128" xr:uid="{00000000-0005-0000-0000-0000F67B0000}"/>
    <cellStyle name="40% - Accent4 5 2 2 3 2 2 2" xfId="11778" xr:uid="{00000000-0005-0000-0000-0000F77B0000}"/>
    <cellStyle name="40% - Accent4 5 2 2 3 2 2 2 2" xfId="23079" xr:uid="{00000000-0005-0000-0000-0000F87B0000}"/>
    <cellStyle name="40% - Accent4 5 2 2 3 2 2 2 2 2" xfId="45681" xr:uid="{00000000-0005-0000-0000-0000F97B0000}"/>
    <cellStyle name="40% - Accent4 5 2 2 3 2 2 2 3" xfId="34380" xr:uid="{00000000-0005-0000-0000-0000FA7B0000}"/>
    <cellStyle name="40% - Accent4 5 2 2 3 2 2 3" xfId="17429" xr:uid="{00000000-0005-0000-0000-0000FB7B0000}"/>
    <cellStyle name="40% - Accent4 5 2 2 3 2 2 3 2" xfId="40031" xr:uid="{00000000-0005-0000-0000-0000FC7B0000}"/>
    <cellStyle name="40% - Accent4 5 2 2 3 2 2 4" xfId="28730" xr:uid="{00000000-0005-0000-0000-0000FD7B0000}"/>
    <cellStyle name="40% - Accent4 5 2 2 3 2 3" xfId="8946" xr:uid="{00000000-0005-0000-0000-0000FE7B0000}"/>
    <cellStyle name="40% - Accent4 5 2 2 3 2 3 2" xfId="20247" xr:uid="{00000000-0005-0000-0000-0000FF7B0000}"/>
    <cellStyle name="40% - Accent4 5 2 2 3 2 3 2 2" xfId="42849" xr:uid="{00000000-0005-0000-0000-0000007C0000}"/>
    <cellStyle name="40% - Accent4 5 2 2 3 2 3 3" xfId="31548" xr:uid="{00000000-0005-0000-0000-0000017C0000}"/>
    <cellStyle name="40% - Accent4 5 2 2 3 2 4" xfId="14597" xr:uid="{00000000-0005-0000-0000-0000027C0000}"/>
    <cellStyle name="40% - Accent4 5 2 2 3 2 4 2" xfId="37199" xr:uid="{00000000-0005-0000-0000-0000037C0000}"/>
    <cellStyle name="40% - Accent4 5 2 2 3 2 5" xfId="25898" xr:uid="{00000000-0005-0000-0000-0000047C0000}"/>
    <cellStyle name="40% - Accent4 5 2 2 3 3" xfId="4894" xr:uid="{00000000-0005-0000-0000-0000057C0000}"/>
    <cellStyle name="40% - Accent4 5 2 2 3 3 2" xfId="10544" xr:uid="{00000000-0005-0000-0000-0000067C0000}"/>
    <cellStyle name="40% - Accent4 5 2 2 3 3 2 2" xfId="21845" xr:uid="{00000000-0005-0000-0000-0000077C0000}"/>
    <cellStyle name="40% - Accent4 5 2 2 3 3 2 2 2" xfId="44447" xr:uid="{00000000-0005-0000-0000-0000087C0000}"/>
    <cellStyle name="40% - Accent4 5 2 2 3 3 2 3" xfId="33146" xr:uid="{00000000-0005-0000-0000-0000097C0000}"/>
    <cellStyle name="40% - Accent4 5 2 2 3 3 3" xfId="16195" xr:uid="{00000000-0005-0000-0000-00000A7C0000}"/>
    <cellStyle name="40% - Accent4 5 2 2 3 3 3 2" xfId="38797" xr:uid="{00000000-0005-0000-0000-00000B7C0000}"/>
    <cellStyle name="40% - Accent4 5 2 2 3 3 4" xfId="27496" xr:uid="{00000000-0005-0000-0000-00000C7C0000}"/>
    <cellStyle name="40% - Accent4 5 2 2 3 4" xfId="7081" xr:uid="{00000000-0005-0000-0000-00000D7C0000}"/>
    <cellStyle name="40% - Accent4 5 2 2 3 4 2" xfId="18382" xr:uid="{00000000-0005-0000-0000-00000E7C0000}"/>
    <cellStyle name="40% - Accent4 5 2 2 3 4 2 2" xfId="40984" xr:uid="{00000000-0005-0000-0000-00000F7C0000}"/>
    <cellStyle name="40% - Accent4 5 2 2 3 4 3" xfId="29683" xr:uid="{00000000-0005-0000-0000-0000107C0000}"/>
    <cellStyle name="40% - Accent4 5 2 2 3 5" xfId="12732" xr:uid="{00000000-0005-0000-0000-0000117C0000}"/>
    <cellStyle name="40% - Accent4 5 2 2 3 5 2" xfId="35334" xr:uid="{00000000-0005-0000-0000-0000127C0000}"/>
    <cellStyle name="40% - Accent4 5 2 2 3 6" xfId="24033" xr:uid="{00000000-0005-0000-0000-0000137C0000}"/>
    <cellStyle name="40% - Accent4 5 2 2 4" xfId="1977" xr:uid="{00000000-0005-0000-0000-0000147C0000}"/>
    <cellStyle name="40% - Accent4 5 2 2 4 2" xfId="3791" xr:uid="{00000000-0005-0000-0000-0000157C0000}"/>
    <cellStyle name="40% - Accent4 5 2 2 4 2 2" xfId="9501" xr:uid="{00000000-0005-0000-0000-0000167C0000}"/>
    <cellStyle name="40% - Accent4 5 2 2 4 2 2 2" xfId="20802" xr:uid="{00000000-0005-0000-0000-0000177C0000}"/>
    <cellStyle name="40% - Accent4 5 2 2 4 2 2 2 2" xfId="43404" xr:uid="{00000000-0005-0000-0000-0000187C0000}"/>
    <cellStyle name="40% - Accent4 5 2 2 4 2 2 3" xfId="32103" xr:uid="{00000000-0005-0000-0000-0000197C0000}"/>
    <cellStyle name="40% - Accent4 5 2 2 4 2 3" xfId="15152" xr:uid="{00000000-0005-0000-0000-00001A7C0000}"/>
    <cellStyle name="40% - Accent4 5 2 2 4 2 3 2" xfId="37754" xr:uid="{00000000-0005-0000-0000-00001B7C0000}"/>
    <cellStyle name="40% - Accent4 5 2 2 4 2 4" xfId="26453" xr:uid="{00000000-0005-0000-0000-00001C7C0000}"/>
    <cellStyle name="40% - Accent4 5 2 2 4 3" xfId="5504" xr:uid="{00000000-0005-0000-0000-00001D7C0000}"/>
    <cellStyle name="40% - Accent4 5 2 2 4 3 2" xfId="11154" xr:uid="{00000000-0005-0000-0000-00001E7C0000}"/>
    <cellStyle name="40% - Accent4 5 2 2 4 3 2 2" xfId="22455" xr:uid="{00000000-0005-0000-0000-00001F7C0000}"/>
    <cellStyle name="40% - Accent4 5 2 2 4 3 2 2 2" xfId="45057" xr:uid="{00000000-0005-0000-0000-0000207C0000}"/>
    <cellStyle name="40% - Accent4 5 2 2 4 3 2 3" xfId="33756" xr:uid="{00000000-0005-0000-0000-0000217C0000}"/>
    <cellStyle name="40% - Accent4 5 2 2 4 3 3" xfId="16805" xr:uid="{00000000-0005-0000-0000-0000227C0000}"/>
    <cellStyle name="40% - Accent4 5 2 2 4 3 3 2" xfId="39407" xr:uid="{00000000-0005-0000-0000-0000237C0000}"/>
    <cellStyle name="40% - Accent4 5 2 2 4 3 4" xfId="28106" xr:uid="{00000000-0005-0000-0000-0000247C0000}"/>
    <cellStyle name="40% - Accent4 5 2 2 4 4" xfId="7833" xr:uid="{00000000-0005-0000-0000-0000257C0000}"/>
    <cellStyle name="40% - Accent4 5 2 2 4 4 2" xfId="19134" xr:uid="{00000000-0005-0000-0000-0000267C0000}"/>
    <cellStyle name="40% - Accent4 5 2 2 4 4 2 2" xfId="41736" xr:uid="{00000000-0005-0000-0000-0000277C0000}"/>
    <cellStyle name="40% - Accent4 5 2 2 4 4 3" xfId="30435" xr:uid="{00000000-0005-0000-0000-0000287C0000}"/>
    <cellStyle name="40% - Accent4 5 2 2 4 5" xfId="13484" xr:uid="{00000000-0005-0000-0000-0000297C0000}"/>
    <cellStyle name="40% - Accent4 5 2 2 4 5 2" xfId="36086" xr:uid="{00000000-0005-0000-0000-00002A7C0000}"/>
    <cellStyle name="40% - Accent4 5 2 2 4 6" xfId="24785" xr:uid="{00000000-0005-0000-0000-00002B7C0000}"/>
    <cellStyle name="40% - Accent4 5 2 2 5" xfId="2485" xr:uid="{00000000-0005-0000-0000-00002C7C0000}"/>
    <cellStyle name="40% - Accent4 5 2 2 5 2" xfId="8321" xr:uid="{00000000-0005-0000-0000-00002D7C0000}"/>
    <cellStyle name="40% - Accent4 5 2 2 5 2 2" xfId="19622" xr:uid="{00000000-0005-0000-0000-00002E7C0000}"/>
    <cellStyle name="40% - Accent4 5 2 2 5 2 2 2" xfId="42224" xr:uid="{00000000-0005-0000-0000-00002F7C0000}"/>
    <cellStyle name="40% - Accent4 5 2 2 5 2 3" xfId="30923" xr:uid="{00000000-0005-0000-0000-0000307C0000}"/>
    <cellStyle name="40% - Accent4 5 2 2 5 3" xfId="13972" xr:uid="{00000000-0005-0000-0000-0000317C0000}"/>
    <cellStyle name="40% - Accent4 5 2 2 5 3 2" xfId="36574" xr:uid="{00000000-0005-0000-0000-0000327C0000}"/>
    <cellStyle name="40% - Accent4 5 2 2 5 4" xfId="25273" xr:uid="{00000000-0005-0000-0000-0000337C0000}"/>
    <cellStyle name="40% - Accent4 5 2 2 6" xfId="4270" xr:uid="{00000000-0005-0000-0000-0000347C0000}"/>
    <cellStyle name="40% - Accent4 5 2 2 6 2" xfId="9920" xr:uid="{00000000-0005-0000-0000-0000357C0000}"/>
    <cellStyle name="40% - Accent4 5 2 2 6 2 2" xfId="21221" xr:uid="{00000000-0005-0000-0000-0000367C0000}"/>
    <cellStyle name="40% - Accent4 5 2 2 6 2 2 2" xfId="43823" xr:uid="{00000000-0005-0000-0000-0000377C0000}"/>
    <cellStyle name="40% - Accent4 5 2 2 6 2 3" xfId="32522" xr:uid="{00000000-0005-0000-0000-0000387C0000}"/>
    <cellStyle name="40% - Accent4 5 2 2 6 3" xfId="15571" xr:uid="{00000000-0005-0000-0000-0000397C0000}"/>
    <cellStyle name="40% - Accent4 5 2 2 6 3 2" xfId="38173" xr:uid="{00000000-0005-0000-0000-00003A7C0000}"/>
    <cellStyle name="40% - Accent4 5 2 2 6 4" xfId="26872" xr:uid="{00000000-0005-0000-0000-00003B7C0000}"/>
    <cellStyle name="40% - Accent4 5 2 2 7" xfId="6750" xr:uid="{00000000-0005-0000-0000-00003C7C0000}"/>
    <cellStyle name="40% - Accent4 5 2 2 7 2" xfId="18051" xr:uid="{00000000-0005-0000-0000-00003D7C0000}"/>
    <cellStyle name="40% - Accent4 5 2 2 7 2 2" xfId="40653" xr:uid="{00000000-0005-0000-0000-00003E7C0000}"/>
    <cellStyle name="40% - Accent4 5 2 2 7 3" xfId="29352" xr:uid="{00000000-0005-0000-0000-00003F7C0000}"/>
    <cellStyle name="40% - Accent4 5 2 2 8" xfId="12401" xr:uid="{00000000-0005-0000-0000-0000407C0000}"/>
    <cellStyle name="40% - Accent4 5 2 2 8 2" xfId="35003" xr:uid="{00000000-0005-0000-0000-0000417C0000}"/>
    <cellStyle name="40% - Accent4 5 2 2 9" xfId="23702" xr:uid="{00000000-0005-0000-0000-0000427C0000}"/>
    <cellStyle name="40% - Accent4 5 2 3" xfId="1257" xr:uid="{00000000-0005-0000-0000-0000437C0000}"/>
    <cellStyle name="40% - Accent4 5 2 3 2" xfId="1979" xr:uid="{00000000-0005-0000-0000-0000447C0000}"/>
    <cellStyle name="40% - Accent4 5 2 3 2 2" xfId="3325" xr:uid="{00000000-0005-0000-0000-0000457C0000}"/>
    <cellStyle name="40% - Accent4 5 2 3 2 2 2" xfId="6297" xr:uid="{00000000-0005-0000-0000-0000467C0000}"/>
    <cellStyle name="40% - Accent4 5 2 3 2 2 2 2" xfId="11947" xr:uid="{00000000-0005-0000-0000-0000477C0000}"/>
    <cellStyle name="40% - Accent4 5 2 3 2 2 2 2 2" xfId="23248" xr:uid="{00000000-0005-0000-0000-0000487C0000}"/>
    <cellStyle name="40% - Accent4 5 2 3 2 2 2 2 2 2" xfId="45850" xr:uid="{00000000-0005-0000-0000-0000497C0000}"/>
    <cellStyle name="40% - Accent4 5 2 3 2 2 2 2 3" xfId="34549" xr:uid="{00000000-0005-0000-0000-00004A7C0000}"/>
    <cellStyle name="40% - Accent4 5 2 3 2 2 2 3" xfId="17598" xr:uid="{00000000-0005-0000-0000-00004B7C0000}"/>
    <cellStyle name="40% - Accent4 5 2 3 2 2 2 3 2" xfId="40200" xr:uid="{00000000-0005-0000-0000-00004C7C0000}"/>
    <cellStyle name="40% - Accent4 5 2 3 2 2 2 4" xfId="28899" xr:uid="{00000000-0005-0000-0000-00004D7C0000}"/>
    <cellStyle name="40% - Accent4 5 2 3 2 2 3" xfId="9115" xr:uid="{00000000-0005-0000-0000-00004E7C0000}"/>
    <cellStyle name="40% - Accent4 5 2 3 2 2 3 2" xfId="20416" xr:uid="{00000000-0005-0000-0000-00004F7C0000}"/>
    <cellStyle name="40% - Accent4 5 2 3 2 2 3 2 2" xfId="43018" xr:uid="{00000000-0005-0000-0000-0000507C0000}"/>
    <cellStyle name="40% - Accent4 5 2 3 2 2 3 3" xfId="31717" xr:uid="{00000000-0005-0000-0000-0000517C0000}"/>
    <cellStyle name="40% - Accent4 5 2 3 2 2 4" xfId="14766" xr:uid="{00000000-0005-0000-0000-0000527C0000}"/>
    <cellStyle name="40% - Accent4 5 2 3 2 2 4 2" xfId="37368" xr:uid="{00000000-0005-0000-0000-0000537C0000}"/>
    <cellStyle name="40% - Accent4 5 2 3 2 2 5" xfId="26067" xr:uid="{00000000-0005-0000-0000-0000547C0000}"/>
    <cellStyle name="40% - Accent4 5 2 3 2 3" xfId="5063" xr:uid="{00000000-0005-0000-0000-0000557C0000}"/>
    <cellStyle name="40% - Accent4 5 2 3 2 3 2" xfId="10713" xr:uid="{00000000-0005-0000-0000-0000567C0000}"/>
    <cellStyle name="40% - Accent4 5 2 3 2 3 2 2" xfId="22014" xr:uid="{00000000-0005-0000-0000-0000577C0000}"/>
    <cellStyle name="40% - Accent4 5 2 3 2 3 2 2 2" xfId="44616" xr:uid="{00000000-0005-0000-0000-0000587C0000}"/>
    <cellStyle name="40% - Accent4 5 2 3 2 3 2 3" xfId="33315" xr:uid="{00000000-0005-0000-0000-0000597C0000}"/>
    <cellStyle name="40% - Accent4 5 2 3 2 3 3" xfId="16364" xr:uid="{00000000-0005-0000-0000-00005A7C0000}"/>
    <cellStyle name="40% - Accent4 5 2 3 2 3 3 2" xfId="38966" xr:uid="{00000000-0005-0000-0000-00005B7C0000}"/>
    <cellStyle name="40% - Accent4 5 2 3 2 3 4" xfId="27665" xr:uid="{00000000-0005-0000-0000-00005C7C0000}"/>
    <cellStyle name="40% - Accent4 5 2 3 2 4" xfId="7835" xr:uid="{00000000-0005-0000-0000-00005D7C0000}"/>
    <cellStyle name="40% - Accent4 5 2 3 2 4 2" xfId="19136" xr:uid="{00000000-0005-0000-0000-00005E7C0000}"/>
    <cellStyle name="40% - Accent4 5 2 3 2 4 2 2" xfId="41738" xr:uid="{00000000-0005-0000-0000-00005F7C0000}"/>
    <cellStyle name="40% - Accent4 5 2 3 2 4 3" xfId="30437" xr:uid="{00000000-0005-0000-0000-0000607C0000}"/>
    <cellStyle name="40% - Accent4 5 2 3 2 5" xfId="13486" xr:uid="{00000000-0005-0000-0000-0000617C0000}"/>
    <cellStyle name="40% - Accent4 5 2 3 2 5 2" xfId="36088" xr:uid="{00000000-0005-0000-0000-0000627C0000}"/>
    <cellStyle name="40% - Accent4 5 2 3 2 6" xfId="24787" xr:uid="{00000000-0005-0000-0000-0000637C0000}"/>
    <cellStyle name="40% - Accent4 5 2 3 3" xfId="2654" xr:uid="{00000000-0005-0000-0000-0000647C0000}"/>
    <cellStyle name="40% - Accent4 5 2 3 3 2" xfId="5673" xr:uid="{00000000-0005-0000-0000-0000657C0000}"/>
    <cellStyle name="40% - Accent4 5 2 3 3 2 2" xfId="11323" xr:uid="{00000000-0005-0000-0000-0000667C0000}"/>
    <cellStyle name="40% - Accent4 5 2 3 3 2 2 2" xfId="22624" xr:uid="{00000000-0005-0000-0000-0000677C0000}"/>
    <cellStyle name="40% - Accent4 5 2 3 3 2 2 2 2" xfId="45226" xr:uid="{00000000-0005-0000-0000-0000687C0000}"/>
    <cellStyle name="40% - Accent4 5 2 3 3 2 2 3" xfId="33925" xr:uid="{00000000-0005-0000-0000-0000697C0000}"/>
    <cellStyle name="40% - Accent4 5 2 3 3 2 3" xfId="16974" xr:uid="{00000000-0005-0000-0000-00006A7C0000}"/>
    <cellStyle name="40% - Accent4 5 2 3 3 2 3 2" xfId="39576" xr:uid="{00000000-0005-0000-0000-00006B7C0000}"/>
    <cellStyle name="40% - Accent4 5 2 3 3 2 4" xfId="28275" xr:uid="{00000000-0005-0000-0000-00006C7C0000}"/>
    <cellStyle name="40% - Accent4 5 2 3 3 3" xfId="8490" xr:uid="{00000000-0005-0000-0000-00006D7C0000}"/>
    <cellStyle name="40% - Accent4 5 2 3 3 3 2" xfId="19791" xr:uid="{00000000-0005-0000-0000-00006E7C0000}"/>
    <cellStyle name="40% - Accent4 5 2 3 3 3 2 2" xfId="42393" xr:uid="{00000000-0005-0000-0000-00006F7C0000}"/>
    <cellStyle name="40% - Accent4 5 2 3 3 3 3" xfId="31092" xr:uid="{00000000-0005-0000-0000-0000707C0000}"/>
    <cellStyle name="40% - Accent4 5 2 3 3 4" xfId="14141" xr:uid="{00000000-0005-0000-0000-0000717C0000}"/>
    <cellStyle name="40% - Accent4 5 2 3 3 4 2" xfId="36743" xr:uid="{00000000-0005-0000-0000-0000727C0000}"/>
    <cellStyle name="40% - Accent4 5 2 3 3 5" xfId="25442" xr:uid="{00000000-0005-0000-0000-0000737C0000}"/>
    <cellStyle name="40% - Accent4 5 2 3 4" xfId="4439" xr:uid="{00000000-0005-0000-0000-0000747C0000}"/>
    <cellStyle name="40% - Accent4 5 2 3 4 2" xfId="10089" xr:uid="{00000000-0005-0000-0000-0000757C0000}"/>
    <cellStyle name="40% - Accent4 5 2 3 4 2 2" xfId="21390" xr:uid="{00000000-0005-0000-0000-0000767C0000}"/>
    <cellStyle name="40% - Accent4 5 2 3 4 2 2 2" xfId="43992" xr:uid="{00000000-0005-0000-0000-0000777C0000}"/>
    <cellStyle name="40% - Accent4 5 2 3 4 2 3" xfId="32691" xr:uid="{00000000-0005-0000-0000-0000787C0000}"/>
    <cellStyle name="40% - Accent4 5 2 3 4 3" xfId="15740" xr:uid="{00000000-0005-0000-0000-0000797C0000}"/>
    <cellStyle name="40% - Accent4 5 2 3 4 3 2" xfId="38342" xr:uid="{00000000-0005-0000-0000-00007A7C0000}"/>
    <cellStyle name="40% - Accent4 5 2 3 4 4" xfId="27041" xr:uid="{00000000-0005-0000-0000-00007B7C0000}"/>
    <cellStyle name="40% - Accent4 5 2 3 5" xfId="7236" xr:uid="{00000000-0005-0000-0000-00007C7C0000}"/>
    <cellStyle name="40% - Accent4 5 2 3 5 2" xfId="18537" xr:uid="{00000000-0005-0000-0000-00007D7C0000}"/>
    <cellStyle name="40% - Accent4 5 2 3 5 2 2" xfId="41139" xr:uid="{00000000-0005-0000-0000-00007E7C0000}"/>
    <cellStyle name="40% - Accent4 5 2 3 5 3" xfId="29838" xr:uid="{00000000-0005-0000-0000-00007F7C0000}"/>
    <cellStyle name="40% - Accent4 5 2 3 6" xfId="12887" xr:uid="{00000000-0005-0000-0000-0000807C0000}"/>
    <cellStyle name="40% - Accent4 5 2 3 6 2" xfId="35489" xr:uid="{00000000-0005-0000-0000-0000817C0000}"/>
    <cellStyle name="40% - Accent4 5 2 3 7" xfId="24188" xr:uid="{00000000-0005-0000-0000-0000827C0000}"/>
    <cellStyle name="40% - Accent4 5 2 4" xfId="948" xr:uid="{00000000-0005-0000-0000-0000837C0000}"/>
    <cellStyle name="40% - Accent4 5 2 4 2" xfId="3018" xr:uid="{00000000-0005-0000-0000-0000847C0000}"/>
    <cellStyle name="40% - Accent4 5 2 4 2 2" xfId="5990" xr:uid="{00000000-0005-0000-0000-0000857C0000}"/>
    <cellStyle name="40% - Accent4 5 2 4 2 2 2" xfId="11640" xr:uid="{00000000-0005-0000-0000-0000867C0000}"/>
    <cellStyle name="40% - Accent4 5 2 4 2 2 2 2" xfId="22941" xr:uid="{00000000-0005-0000-0000-0000877C0000}"/>
    <cellStyle name="40% - Accent4 5 2 4 2 2 2 2 2" xfId="45543" xr:uid="{00000000-0005-0000-0000-0000887C0000}"/>
    <cellStyle name="40% - Accent4 5 2 4 2 2 2 3" xfId="34242" xr:uid="{00000000-0005-0000-0000-0000897C0000}"/>
    <cellStyle name="40% - Accent4 5 2 4 2 2 3" xfId="17291" xr:uid="{00000000-0005-0000-0000-00008A7C0000}"/>
    <cellStyle name="40% - Accent4 5 2 4 2 2 3 2" xfId="39893" xr:uid="{00000000-0005-0000-0000-00008B7C0000}"/>
    <cellStyle name="40% - Accent4 5 2 4 2 2 4" xfId="28592" xr:uid="{00000000-0005-0000-0000-00008C7C0000}"/>
    <cellStyle name="40% - Accent4 5 2 4 2 3" xfId="8808" xr:uid="{00000000-0005-0000-0000-00008D7C0000}"/>
    <cellStyle name="40% - Accent4 5 2 4 2 3 2" xfId="20109" xr:uid="{00000000-0005-0000-0000-00008E7C0000}"/>
    <cellStyle name="40% - Accent4 5 2 4 2 3 2 2" xfId="42711" xr:uid="{00000000-0005-0000-0000-00008F7C0000}"/>
    <cellStyle name="40% - Accent4 5 2 4 2 3 3" xfId="31410" xr:uid="{00000000-0005-0000-0000-0000907C0000}"/>
    <cellStyle name="40% - Accent4 5 2 4 2 4" xfId="14459" xr:uid="{00000000-0005-0000-0000-0000917C0000}"/>
    <cellStyle name="40% - Accent4 5 2 4 2 4 2" xfId="37061" xr:uid="{00000000-0005-0000-0000-0000927C0000}"/>
    <cellStyle name="40% - Accent4 5 2 4 2 5" xfId="25760" xr:uid="{00000000-0005-0000-0000-0000937C0000}"/>
    <cellStyle name="40% - Accent4 5 2 4 3" xfId="4756" xr:uid="{00000000-0005-0000-0000-0000947C0000}"/>
    <cellStyle name="40% - Accent4 5 2 4 3 2" xfId="10406" xr:uid="{00000000-0005-0000-0000-0000957C0000}"/>
    <cellStyle name="40% - Accent4 5 2 4 3 2 2" xfId="21707" xr:uid="{00000000-0005-0000-0000-0000967C0000}"/>
    <cellStyle name="40% - Accent4 5 2 4 3 2 2 2" xfId="44309" xr:uid="{00000000-0005-0000-0000-0000977C0000}"/>
    <cellStyle name="40% - Accent4 5 2 4 3 2 3" xfId="33008" xr:uid="{00000000-0005-0000-0000-0000987C0000}"/>
    <cellStyle name="40% - Accent4 5 2 4 3 3" xfId="16057" xr:uid="{00000000-0005-0000-0000-0000997C0000}"/>
    <cellStyle name="40% - Accent4 5 2 4 3 3 2" xfId="38659" xr:uid="{00000000-0005-0000-0000-00009A7C0000}"/>
    <cellStyle name="40% - Accent4 5 2 4 3 4" xfId="27358" xr:uid="{00000000-0005-0000-0000-00009B7C0000}"/>
    <cellStyle name="40% - Accent4 5 2 4 4" xfId="6943" xr:uid="{00000000-0005-0000-0000-00009C7C0000}"/>
    <cellStyle name="40% - Accent4 5 2 4 4 2" xfId="18244" xr:uid="{00000000-0005-0000-0000-00009D7C0000}"/>
    <cellStyle name="40% - Accent4 5 2 4 4 2 2" xfId="40846" xr:uid="{00000000-0005-0000-0000-00009E7C0000}"/>
    <cellStyle name="40% - Accent4 5 2 4 4 3" xfId="29545" xr:uid="{00000000-0005-0000-0000-00009F7C0000}"/>
    <cellStyle name="40% - Accent4 5 2 4 5" xfId="12594" xr:uid="{00000000-0005-0000-0000-0000A07C0000}"/>
    <cellStyle name="40% - Accent4 5 2 4 5 2" xfId="35196" xr:uid="{00000000-0005-0000-0000-0000A17C0000}"/>
    <cellStyle name="40% - Accent4 5 2 4 6" xfId="23895" xr:uid="{00000000-0005-0000-0000-0000A27C0000}"/>
    <cellStyle name="40% - Accent4 5 2 5" xfId="1976" xr:uid="{00000000-0005-0000-0000-0000A37C0000}"/>
    <cellStyle name="40% - Accent4 5 2 5 2" xfId="3790" xr:uid="{00000000-0005-0000-0000-0000A47C0000}"/>
    <cellStyle name="40% - Accent4 5 2 5 2 2" xfId="9500" xr:uid="{00000000-0005-0000-0000-0000A57C0000}"/>
    <cellStyle name="40% - Accent4 5 2 5 2 2 2" xfId="20801" xr:uid="{00000000-0005-0000-0000-0000A67C0000}"/>
    <cellStyle name="40% - Accent4 5 2 5 2 2 2 2" xfId="43403" xr:uid="{00000000-0005-0000-0000-0000A77C0000}"/>
    <cellStyle name="40% - Accent4 5 2 5 2 2 3" xfId="32102" xr:uid="{00000000-0005-0000-0000-0000A87C0000}"/>
    <cellStyle name="40% - Accent4 5 2 5 2 3" xfId="15151" xr:uid="{00000000-0005-0000-0000-0000A97C0000}"/>
    <cellStyle name="40% - Accent4 5 2 5 2 3 2" xfId="37753" xr:uid="{00000000-0005-0000-0000-0000AA7C0000}"/>
    <cellStyle name="40% - Accent4 5 2 5 2 4" xfId="26452" xr:uid="{00000000-0005-0000-0000-0000AB7C0000}"/>
    <cellStyle name="40% - Accent4 5 2 5 3" xfId="5366" xr:uid="{00000000-0005-0000-0000-0000AC7C0000}"/>
    <cellStyle name="40% - Accent4 5 2 5 3 2" xfId="11016" xr:uid="{00000000-0005-0000-0000-0000AD7C0000}"/>
    <cellStyle name="40% - Accent4 5 2 5 3 2 2" xfId="22317" xr:uid="{00000000-0005-0000-0000-0000AE7C0000}"/>
    <cellStyle name="40% - Accent4 5 2 5 3 2 2 2" xfId="44919" xr:uid="{00000000-0005-0000-0000-0000AF7C0000}"/>
    <cellStyle name="40% - Accent4 5 2 5 3 2 3" xfId="33618" xr:uid="{00000000-0005-0000-0000-0000B07C0000}"/>
    <cellStyle name="40% - Accent4 5 2 5 3 3" xfId="16667" xr:uid="{00000000-0005-0000-0000-0000B17C0000}"/>
    <cellStyle name="40% - Accent4 5 2 5 3 3 2" xfId="39269" xr:uid="{00000000-0005-0000-0000-0000B27C0000}"/>
    <cellStyle name="40% - Accent4 5 2 5 3 4" xfId="27968" xr:uid="{00000000-0005-0000-0000-0000B37C0000}"/>
    <cellStyle name="40% - Accent4 5 2 5 4" xfId="7832" xr:uid="{00000000-0005-0000-0000-0000B47C0000}"/>
    <cellStyle name="40% - Accent4 5 2 5 4 2" xfId="19133" xr:uid="{00000000-0005-0000-0000-0000B57C0000}"/>
    <cellStyle name="40% - Accent4 5 2 5 4 2 2" xfId="41735" xr:uid="{00000000-0005-0000-0000-0000B67C0000}"/>
    <cellStyle name="40% - Accent4 5 2 5 4 3" xfId="30434" xr:uid="{00000000-0005-0000-0000-0000B77C0000}"/>
    <cellStyle name="40% - Accent4 5 2 5 5" xfId="13483" xr:uid="{00000000-0005-0000-0000-0000B87C0000}"/>
    <cellStyle name="40% - Accent4 5 2 5 5 2" xfId="36085" xr:uid="{00000000-0005-0000-0000-0000B97C0000}"/>
    <cellStyle name="40% - Accent4 5 2 5 6" xfId="24784" xr:uid="{00000000-0005-0000-0000-0000BA7C0000}"/>
    <cellStyle name="40% - Accent4 5 2 6" xfId="2345" xr:uid="{00000000-0005-0000-0000-0000BB7C0000}"/>
    <cellStyle name="40% - Accent4 5 2 6 2" xfId="8181" xr:uid="{00000000-0005-0000-0000-0000BC7C0000}"/>
    <cellStyle name="40% - Accent4 5 2 6 2 2" xfId="19482" xr:uid="{00000000-0005-0000-0000-0000BD7C0000}"/>
    <cellStyle name="40% - Accent4 5 2 6 2 2 2" xfId="42084" xr:uid="{00000000-0005-0000-0000-0000BE7C0000}"/>
    <cellStyle name="40% - Accent4 5 2 6 2 3" xfId="30783" xr:uid="{00000000-0005-0000-0000-0000BF7C0000}"/>
    <cellStyle name="40% - Accent4 5 2 6 3" xfId="13832" xr:uid="{00000000-0005-0000-0000-0000C07C0000}"/>
    <cellStyle name="40% - Accent4 5 2 6 3 2" xfId="36434" xr:uid="{00000000-0005-0000-0000-0000C17C0000}"/>
    <cellStyle name="40% - Accent4 5 2 6 4" xfId="25133" xr:uid="{00000000-0005-0000-0000-0000C27C0000}"/>
    <cellStyle name="40% - Accent4 5 2 7" xfId="4132" xr:uid="{00000000-0005-0000-0000-0000C37C0000}"/>
    <cellStyle name="40% - Accent4 5 2 7 2" xfId="9782" xr:uid="{00000000-0005-0000-0000-0000C47C0000}"/>
    <cellStyle name="40% - Accent4 5 2 7 2 2" xfId="21083" xr:uid="{00000000-0005-0000-0000-0000C57C0000}"/>
    <cellStyle name="40% - Accent4 5 2 7 2 2 2" xfId="43685" xr:uid="{00000000-0005-0000-0000-0000C67C0000}"/>
    <cellStyle name="40% - Accent4 5 2 7 2 3" xfId="32384" xr:uid="{00000000-0005-0000-0000-0000C77C0000}"/>
    <cellStyle name="40% - Accent4 5 2 7 3" xfId="15433" xr:uid="{00000000-0005-0000-0000-0000C87C0000}"/>
    <cellStyle name="40% - Accent4 5 2 7 3 2" xfId="38035" xr:uid="{00000000-0005-0000-0000-0000C97C0000}"/>
    <cellStyle name="40% - Accent4 5 2 7 4" xfId="26734" xr:uid="{00000000-0005-0000-0000-0000CA7C0000}"/>
    <cellStyle name="40% - Accent4 5 2 8" xfId="6583" xr:uid="{00000000-0005-0000-0000-0000CB7C0000}"/>
    <cellStyle name="40% - Accent4 5 2 8 2" xfId="17884" xr:uid="{00000000-0005-0000-0000-0000CC7C0000}"/>
    <cellStyle name="40% - Accent4 5 2 8 2 2" xfId="40486" xr:uid="{00000000-0005-0000-0000-0000CD7C0000}"/>
    <cellStyle name="40% - Accent4 5 2 8 3" xfId="29185" xr:uid="{00000000-0005-0000-0000-0000CE7C0000}"/>
    <cellStyle name="40% - Accent4 5 2 9" xfId="12234" xr:uid="{00000000-0005-0000-0000-0000CF7C0000}"/>
    <cellStyle name="40% - Accent4 5 2 9 2" xfId="34836" xr:uid="{00000000-0005-0000-0000-0000D07C0000}"/>
    <cellStyle name="40% - Accent4 5 3" xfId="588" xr:uid="{00000000-0005-0000-0000-0000D17C0000}"/>
    <cellStyle name="40% - Accent4 5 3 2" xfId="1301" xr:uid="{00000000-0005-0000-0000-0000D27C0000}"/>
    <cellStyle name="40% - Accent4 5 3 2 2" xfId="1981" xr:uid="{00000000-0005-0000-0000-0000D37C0000}"/>
    <cellStyle name="40% - Accent4 5 3 2 2 2" xfId="3370" xr:uid="{00000000-0005-0000-0000-0000D47C0000}"/>
    <cellStyle name="40% - Accent4 5 3 2 2 2 2" xfId="6342" xr:uid="{00000000-0005-0000-0000-0000D57C0000}"/>
    <cellStyle name="40% - Accent4 5 3 2 2 2 2 2" xfId="11992" xr:uid="{00000000-0005-0000-0000-0000D67C0000}"/>
    <cellStyle name="40% - Accent4 5 3 2 2 2 2 2 2" xfId="23293" xr:uid="{00000000-0005-0000-0000-0000D77C0000}"/>
    <cellStyle name="40% - Accent4 5 3 2 2 2 2 2 2 2" xfId="45895" xr:uid="{00000000-0005-0000-0000-0000D87C0000}"/>
    <cellStyle name="40% - Accent4 5 3 2 2 2 2 2 3" xfId="34594" xr:uid="{00000000-0005-0000-0000-0000D97C0000}"/>
    <cellStyle name="40% - Accent4 5 3 2 2 2 2 3" xfId="17643" xr:uid="{00000000-0005-0000-0000-0000DA7C0000}"/>
    <cellStyle name="40% - Accent4 5 3 2 2 2 2 3 2" xfId="40245" xr:uid="{00000000-0005-0000-0000-0000DB7C0000}"/>
    <cellStyle name="40% - Accent4 5 3 2 2 2 2 4" xfId="28944" xr:uid="{00000000-0005-0000-0000-0000DC7C0000}"/>
    <cellStyle name="40% - Accent4 5 3 2 2 2 3" xfId="9160" xr:uid="{00000000-0005-0000-0000-0000DD7C0000}"/>
    <cellStyle name="40% - Accent4 5 3 2 2 2 3 2" xfId="20461" xr:uid="{00000000-0005-0000-0000-0000DE7C0000}"/>
    <cellStyle name="40% - Accent4 5 3 2 2 2 3 2 2" xfId="43063" xr:uid="{00000000-0005-0000-0000-0000DF7C0000}"/>
    <cellStyle name="40% - Accent4 5 3 2 2 2 3 3" xfId="31762" xr:uid="{00000000-0005-0000-0000-0000E07C0000}"/>
    <cellStyle name="40% - Accent4 5 3 2 2 2 4" xfId="14811" xr:uid="{00000000-0005-0000-0000-0000E17C0000}"/>
    <cellStyle name="40% - Accent4 5 3 2 2 2 4 2" xfId="37413" xr:uid="{00000000-0005-0000-0000-0000E27C0000}"/>
    <cellStyle name="40% - Accent4 5 3 2 2 2 5" xfId="26112" xr:uid="{00000000-0005-0000-0000-0000E37C0000}"/>
    <cellStyle name="40% - Accent4 5 3 2 2 3" xfId="5108" xr:uid="{00000000-0005-0000-0000-0000E47C0000}"/>
    <cellStyle name="40% - Accent4 5 3 2 2 3 2" xfId="10758" xr:uid="{00000000-0005-0000-0000-0000E57C0000}"/>
    <cellStyle name="40% - Accent4 5 3 2 2 3 2 2" xfId="22059" xr:uid="{00000000-0005-0000-0000-0000E67C0000}"/>
    <cellStyle name="40% - Accent4 5 3 2 2 3 2 2 2" xfId="44661" xr:uid="{00000000-0005-0000-0000-0000E77C0000}"/>
    <cellStyle name="40% - Accent4 5 3 2 2 3 2 3" xfId="33360" xr:uid="{00000000-0005-0000-0000-0000E87C0000}"/>
    <cellStyle name="40% - Accent4 5 3 2 2 3 3" xfId="16409" xr:uid="{00000000-0005-0000-0000-0000E97C0000}"/>
    <cellStyle name="40% - Accent4 5 3 2 2 3 3 2" xfId="39011" xr:uid="{00000000-0005-0000-0000-0000EA7C0000}"/>
    <cellStyle name="40% - Accent4 5 3 2 2 3 4" xfId="27710" xr:uid="{00000000-0005-0000-0000-0000EB7C0000}"/>
    <cellStyle name="40% - Accent4 5 3 2 2 4" xfId="7837" xr:uid="{00000000-0005-0000-0000-0000EC7C0000}"/>
    <cellStyle name="40% - Accent4 5 3 2 2 4 2" xfId="19138" xr:uid="{00000000-0005-0000-0000-0000ED7C0000}"/>
    <cellStyle name="40% - Accent4 5 3 2 2 4 2 2" xfId="41740" xr:uid="{00000000-0005-0000-0000-0000EE7C0000}"/>
    <cellStyle name="40% - Accent4 5 3 2 2 4 3" xfId="30439" xr:uid="{00000000-0005-0000-0000-0000EF7C0000}"/>
    <cellStyle name="40% - Accent4 5 3 2 2 5" xfId="13488" xr:uid="{00000000-0005-0000-0000-0000F07C0000}"/>
    <cellStyle name="40% - Accent4 5 3 2 2 5 2" xfId="36090" xr:uid="{00000000-0005-0000-0000-0000F17C0000}"/>
    <cellStyle name="40% - Accent4 5 3 2 2 6" xfId="24789" xr:uid="{00000000-0005-0000-0000-0000F27C0000}"/>
    <cellStyle name="40% - Accent4 5 3 2 3" xfId="2699" xr:uid="{00000000-0005-0000-0000-0000F37C0000}"/>
    <cellStyle name="40% - Accent4 5 3 2 3 2" xfId="5718" xr:uid="{00000000-0005-0000-0000-0000F47C0000}"/>
    <cellStyle name="40% - Accent4 5 3 2 3 2 2" xfId="11368" xr:uid="{00000000-0005-0000-0000-0000F57C0000}"/>
    <cellStyle name="40% - Accent4 5 3 2 3 2 2 2" xfId="22669" xr:uid="{00000000-0005-0000-0000-0000F67C0000}"/>
    <cellStyle name="40% - Accent4 5 3 2 3 2 2 2 2" xfId="45271" xr:uid="{00000000-0005-0000-0000-0000F77C0000}"/>
    <cellStyle name="40% - Accent4 5 3 2 3 2 2 3" xfId="33970" xr:uid="{00000000-0005-0000-0000-0000F87C0000}"/>
    <cellStyle name="40% - Accent4 5 3 2 3 2 3" xfId="17019" xr:uid="{00000000-0005-0000-0000-0000F97C0000}"/>
    <cellStyle name="40% - Accent4 5 3 2 3 2 3 2" xfId="39621" xr:uid="{00000000-0005-0000-0000-0000FA7C0000}"/>
    <cellStyle name="40% - Accent4 5 3 2 3 2 4" xfId="28320" xr:uid="{00000000-0005-0000-0000-0000FB7C0000}"/>
    <cellStyle name="40% - Accent4 5 3 2 3 3" xfId="8535" xr:uid="{00000000-0005-0000-0000-0000FC7C0000}"/>
    <cellStyle name="40% - Accent4 5 3 2 3 3 2" xfId="19836" xr:uid="{00000000-0005-0000-0000-0000FD7C0000}"/>
    <cellStyle name="40% - Accent4 5 3 2 3 3 2 2" xfId="42438" xr:uid="{00000000-0005-0000-0000-0000FE7C0000}"/>
    <cellStyle name="40% - Accent4 5 3 2 3 3 3" xfId="31137" xr:uid="{00000000-0005-0000-0000-0000FF7C0000}"/>
    <cellStyle name="40% - Accent4 5 3 2 3 4" xfId="14186" xr:uid="{00000000-0005-0000-0000-0000007D0000}"/>
    <cellStyle name="40% - Accent4 5 3 2 3 4 2" xfId="36788" xr:uid="{00000000-0005-0000-0000-0000017D0000}"/>
    <cellStyle name="40% - Accent4 5 3 2 3 5" xfId="25487" xr:uid="{00000000-0005-0000-0000-0000027D0000}"/>
    <cellStyle name="40% - Accent4 5 3 2 4" xfId="4484" xr:uid="{00000000-0005-0000-0000-0000037D0000}"/>
    <cellStyle name="40% - Accent4 5 3 2 4 2" xfId="10134" xr:uid="{00000000-0005-0000-0000-0000047D0000}"/>
    <cellStyle name="40% - Accent4 5 3 2 4 2 2" xfId="21435" xr:uid="{00000000-0005-0000-0000-0000057D0000}"/>
    <cellStyle name="40% - Accent4 5 3 2 4 2 2 2" xfId="44037" xr:uid="{00000000-0005-0000-0000-0000067D0000}"/>
    <cellStyle name="40% - Accent4 5 3 2 4 2 3" xfId="32736" xr:uid="{00000000-0005-0000-0000-0000077D0000}"/>
    <cellStyle name="40% - Accent4 5 3 2 4 3" xfId="15785" xr:uid="{00000000-0005-0000-0000-0000087D0000}"/>
    <cellStyle name="40% - Accent4 5 3 2 4 3 2" xfId="38387" xr:uid="{00000000-0005-0000-0000-0000097D0000}"/>
    <cellStyle name="40% - Accent4 5 3 2 4 4" xfId="27086" xr:uid="{00000000-0005-0000-0000-00000A7D0000}"/>
    <cellStyle name="40% - Accent4 5 3 2 5" xfId="7280" xr:uid="{00000000-0005-0000-0000-00000B7D0000}"/>
    <cellStyle name="40% - Accent4 5 3 2 5 2" xfId="18581" xr:uid="{00000000-0005-0000-0000-00000C7D0000}"/>
    <cellStyle name="40% - Accent4 5 3 2 5 2 2" xfId="41183" xr:uid="{00000000-0005-0000-0000-00000D7D0000}"/>
    <cellStyle name="40% - Accent4 5 3 2 5 3" xfId="29882" xr:uid="{00000000-0005-0000-0000-00000E7D0000}"/>
    <cellStyle name="40% - Accent4 5 3 2 6" xfId="12931" xr:uid="{00000000-0005-0000-0000-00000F7D0000}"/>
    <cellStyle name="40% - Accent4 5 3 2 6 2" xfId="35533" xr:uid="{00000000-0005-0000-0000-0000107D0000}"/>
    <cellStyle name="40% - Accent4 5 3 2 7" xfId="24232" xr:uid="{00000000-0005-0000-0000-0000117D0000}"/>
    <cellStyle name="40% - Accent4 5 3 3" xfId="999" xr:uid="{00000000-0005-0000-0000-0000127D0000}"/>
    <cellStyle name="40% - Accent4 5 3 3 2" xfId="3062" xr:uid="{00000000-0005-0000-0000-0000137D0000}"/>
    <cellStyle name="40% - Accent4 5 3 3 2 2" xfId="6034" xr:uid="{00000000-0005-0000-0000-0000147D0000}"/>
    <cellStyle name="40% - Accent4 5 3 3 2 2 2" xfId="11684" xr:uid="{00000000-0005-0000-0000-0000157D0000}"/>
    <cellStyle name="40% - Accent4 5 3 3 2 2 2 2" xfId="22985" xr:uid="{00000000-0005-0000-0000-0000167D0000}"/>
    <cellStyle name="40% - Accent4 5 3 3 2 2 2 2 2" xfId="45587" xr:uid="{00000000-0005-0000-0000-0000177D0000}"/>
    <cellStyle name="40% - Accent4 5 3 3 2 2 2 3" xfId="34286" xr:uid="{00000000-0005-0000-0000-0000187D0000}"/>
    <cellStyle name="40% - Accent4 5 3 3 2 2 3" xfId="17335" xr:uid="{00000000-0005-0000-0000-0000197D0000}"/>
    <cellStyle name="40% - Accent4 5 3 3 2 2 3 2" xfId="39937" xr:uid="{00000000-0005-0000-0000-00001A7D0000}"/>
    <cellStyle name="40% - Accent4 5 3 3 2 2 4" xfId="28636" xr:uid="{00000000-0005-0000-0000-00001B7D0000}"/>
    <cellStyle name="40% - Accent4 5 3 3 2 3" xfId="8852" xr:uid="{00000000-0005-0000-0000-00001C7D0000}"/>
    <cellStyle name="40% - Accent4 5 3 3 2 3 2" xfId="20153" xr:uid="{00000000-0005-0000-0000-00001D7D0000}"/>
    <cellStyle name="40% - Accent4 5 3 3 2 3 2 2" xfId="42755" xr:uid="{00000000-0005-0000-0000-00001E7D0000}"/>
    <cellStyle name="40% - Accent4 5 3 3 2 3 3" xfId="31454" xr:uid="{00000000-0005-0000-0000-00001F7D0000}"/>
    <cellStyle name="40% - Accent4 5 3 3 2 4" xfId="14503" xr:uid="{00000000-0005-0000-0000-0000207D0000}"/>
    <cellStyle name="40% - Accent4 5 3 3 2 4 2" xfId="37105" xr:uid="{00000000-0005-0000-0000-0000217D0000}"/>
    <cellStyle name="40% - Accent4 5 3 3 2 5" xfId="25804" xr:uid="{00000000-0005-0000-0000-0000227D0000}"/>
    <cellStyle name="40% - Accent4 5 3 3 3" xfId="4800" xr:uid="{00000000-0005-0000-0000-0000237D0000}"/>
    <cellStyle name="40% - Accent4 5 3 3 3 2" xfId="10450" xr:uid="{00000000-0005-0000-0000-0000247D0000}"/>
    <cellStyle name="40% - Accent4 5 3 3 3 2 2" xfId="21751" xr:uid="{00000000-0005-0000-0000-0000257D0000}"/>
    <cellStyle name="40% - Accent4 5 3 3 3 2 2 2" xfId="44353" xr:uid="{00000000-0005-0000-0000-0000267D0000}"/>
    <cellStyle name="40% - Accent4 5 3 3 3 2 3" xfId="33052" xr:uid="{00000000-0005-0000-0000-0000277D0000}"/>
    <cellStyle name="40% - Accent4 5 3 3 3 3" xfId="16101" xr:uid="{00000000-0005-0000-0000-0000287D0000}"/>
    <cellStyle name="40% - Accent4 5 3 3 3 3 2" xfId="38703" xr:uid="{00000000-0005-0000-0000-0000297D0000}"/>
    <cellStyle name="40% - Accent4 5 3 3 3 4" xfId="27402" xr:uid="{00000000-0005-0000-0000-00002A7D0000}"/>
    <cellStyle name="40% - Accent4 5 3 3 4" xfId="6987" xr:uid="{00000000-0005-0000-0000-00002B7D0000}"/>
    <cellStyle name="40% - Accent4 5 3 3 4 2" xfId="18288" xr:uid="{00000000-0005-0000-0000-00002C7D0000}"/>
    <cellStyle name="40% - Accent4 5 3 3 4 2 2" xfId="40890" xr:uid="{00000000-0005-0000-0000-00002D7D0000}"/>
    <cellStyle name="40% - Accent4 5 3 3 4 3" xfId="29589" xr:uid="{00000000-0005-0000-0000-00002E7D0000}"/>
    <cellStyle name="40% - Accent4 5 3 3 5" xfId="12638" xr:uid="{00000000-0005-0000-0000-00002F7D0000}"/>
    <cellStyle name="40% - Accent4 5 3 3 5 2" xfId="35240" xr:uid="{00000000-0005-0000-0000-0000307D0000}"/>
    <cellStyle name="40% - Accent4 5 3 3 6" xfId="23939" xr:uid="{00000000-0005-0000-0000-0000317D0000}"/>
    <cellStyle name="40% - Accent4 5 3 4" xfId="1980" xr:uid="{00000000-0005-0000-0000-0000327D0000}"/>
    <cellStyle name="40% - Accent4 5 3 4 2" xfId="3792" xr:uid="{00000000-0005-0000-0000-0000337D0000}"/>
    <cellStyle name="40% - Accent4 5 3 4 2 2" xfId="9502" xr:uid="{00000000-0005-0000-0000-0000347D0000}"/>
    <cellStyle name="40% - Accent4 5 3 4 2 2 2" xfId="20803" xr:uid="{00000000-0005-0000-0000-0000357D0000}"/>
    <cellStyle name="40% - Accent4 5 3 4 2 2 2 2" xfId="43405" xr:uid="{00000000-0005-0000-0000-0000367D0000}"/>
    <cellStyle name="40% - Accent4 5 3 4 2 2 3" xfId="32104" xr:uid="{00000000-0005-0000-0000-0000377D0000}"/>
    <cellStyle name="40% - Accent4 5 3 4 2 3" xfId="15153" xr:uid="{00000000-0005-0000-0000-0000387D0000}"/>
    <cellStyle name="40% - Accent4 5 3 4 2 3 2" xfId="37755" xr:uid="{00000000-0005-0000-0000-0000397D0000}"/>
    <cellStyle name="40% - Accent4 5 3 4 2 4" xfId="26454" xr:uid="{00000000-0005-0000-0000-00003A7D0000}"/>
    <cellStyle name="40% - Accent4 5 3 4 3" xfId="5410" xr:uid="{00000000-0005-0000-0000-00003B7D0000}"/>
    <cellStyle name="40% - Accent4 5 3 4 3 2" xfId="11060" xr:uid="{00000000-0005-0000-0000-00003C7D0000}"/>
    <cellStyle name="40% - Accent4 5 3 4 3 2 2" xfId="22361" xr:uid="{00000000-0005-0000-0000-00003D7D0000}"/>
    <cellStyle name="40% - Accent4 5 3 4 3 2 2 2" xfId="44963" xr:uid="{00000000-0005-0000-0000-00003E7D0000}"/>
    <cellStyle name="40% - Accent4 5 3 4 3 2 3" xfId="33662" xr:uid="{00000000-0005-0000-0000-00003F7D0000}"/>
    <cellStyle name="40% - Accent4 5 3 4 3 3" xfId="16711" xr:uid="{00000000-0005-0000-0000-0000407D0000}"/>
    <cellStyle name="40% - Accent4 5 3 4 3 3 2" xfId="39313" xr:uid="{00000000-0005-0000-0000-0000417D0000}"/>
    <cellStyle name="40% - Accent4 5 3 4 3 4" xfId="28012" xr:uid="{00000000-0005-0000-0000-0000427D0000}"/>
    <cellStyle name="40% - Accent4 5 3 4 4" xfId="7836" xr:uid="{00000000-0005-0000-0000-0000437D0000}"/>
    <cellStyle name="40% - Accent4 5 3 4 4 2" xfId="19137" xr:uid="{00000000-0005-0000-0000-0000447D0000}"/>
    <cellStyle name="40% - Accent4 5 3 4 4 2 2" xfId="41739" xr:uid="{00000000-0005-0000-0000-0000457D0000}"/>
    <cellStyle name="40% - Accent4 5 3 4 4 3" xfId="30438" xr:uid="{00000000-0005-0000-0000-0000467D0000}"/>
    <cellStyle name="40% - Accent4 5 3 4 5" xfId="13487" xr:uid="{00000000-0005-0000-0000-0000477D0000}"/>
    <cellStyle name="40% - Accent4 5 3 4 5 2" xfId="36089" xr:uid="{00000000-0005-0000-0000-0000487D0000}"/>
    <cellStyle name="40% - Accent4 5 3 4 6" xfId="24788" xr:uid="{00000000-0005-0000-0000-0000497D0000}"/>
    <cellStyle name="40% - Accent4 5 3 5" xfId="2391" xr:uid="{00000000-0005-0000-0000-00004A7D0000}"/>
    <cellStyle name="40% - Accent4 5 3 5 2" xfId="8227" xr:uid="{00000000-0005-0000-0000-00004B7D0000}"/>
    <cellStyle name="40% - Accent4 5 3 5 2 2" xfId="19528" xr:uid="{00000000-0005-0000-0000-00004C7D0000}"/>
    <cellStyle name="40% - Accent4 5 3 5 2 2 2" xfId="42130" xr:uid="{00000000-0005-0000-0000-00004D7D0000}"/>
    <cellStyle name="40% - Accent4 5 3 5 2 3" xfId="30829" xr:uid="{00000000-0005-0000-0000-00004E7D0000}"/>
    <cellStyle name="40% - Accent4 5 3 5 3" xfId="13878" xr:uid="{00000000-0005-0000-0000-00004F7D0000}"/>
    <cellStyle name="40% - Accent4 5 3 5 3 2" xfId="36480" xr:uid="{00000000-0005-0000-0000-0000507D0000}"/>
    <cellStyle name="40% - Accent4 5 3 5 4" xfId="25179" xr:uid="{00000000-0005-0000-0000-0000517D0000}"/>
    <cellStyle name="40% - Accent4 5 3 6" xfId="4176" xr:uid="{00000000-0005-0000-0000-0000527D0000}"/>
    <cellStyle name="40% - Accent4 5 3 6 2" xfId="9826" xr:uid="{00000000-0005-0000-0000-0000537D0000}"/>
    <cellStyle name="40% - Accent4 5 3 6 2 2" xfId="21127" xr:uid="{00000000-0005-0000-0000-0000547D0000}"/>
    <cellStyle name="40% - Accent4 5 3 6 2 2 2" xfId="43729" xr:uid="{00000000-0005-0000-0000-0000557D0000}"/>
    <cellStyle name="40% - Accent4 5 3 6 2 3" xfId="32428" xr:uid="{00000000-0005-0000-0000-0000567D0000}"/>
    <cellStyle name="40% - Accent4 5 3 6 3" xfId="15477" xr:uid="{00000000-0005-0000-0000-0000577D0000}"/>
    <cellStyle name="40% - Accent4 5 3 6 3 2" xfId="38079" xr:uid="{00000000-0005-0000-0000-0000587D0000}"/>
    <cellStyle name="40% - Accent4 5 3 6 4" xfId="26778" xr:uid="{00000000-0005-0000-0000-0000597D0000}"/>
    <cellStyle name="40% - Accent4 5 3 7" xfId="6654" xr:uid="{00000000-0005-0000-0000-00005A7D0000}"/>
    <cellStyle name="40% - Accent4 5 3 7 2" xfId="17955" xr:uid="{00000000-0005-0000-0000-00005B7D0000}"/>
    <cellStyle name="40% - Accent4 5 3 7 2 2" xfId="40557" xr:uid="{00000000-0005-0000-0000-00005C7D0000}"/>
    <cellStyle name="40% - Accent4 5 3 7 3" xfId="29256" xr:uid="{00000000-0005-0000-0000-00005D7D0000}"/>
    <cellStyle name="40% - Accent4 5 3 8" xfId="12305" xr:uid="{00000000-0005-0000-0000-00005E7D0000}"/>
    <cellStyle name="40% - Accent4 5 3 8 2" xfId="34907" xr:uid="{00000000-0005-0000-0000-00005F7D0000}"/>
    <cellStyle name="40% - Accent4 5 3 9" xfId="23606" xr:uid="{00000000-0005-0000-0000-0000607D0000}"/>
    <cellStyle name="40% - Accent4 5 4" xfId="1161" xr:uid="{00000000-0005-0000-0000-0000617D0000}"/>
    <cellStyle name="40% - Accent4 5 4 2" xfId="1982" xr:uid="{00000000-0005-0000-0000-0000627D0000}"/>
    <cellStyle name="40% - Accent4 5 4 2 2" xfId="3229" xr:uid="{00000000-0005-0000-0000-0000637D0000}"/>
    <cellStyle name="40% - Accent4 5 4 2 2 2" xfId="6201" xr:uid="{00000000-0005-0000-0000-0000647D0000}"/>
    <cellStyle name="40% - Accent4 5 4 2 2 2 2" xfId="11851" xr:uid="{00000000-0005-0000-0000-0000657D0000}"/>
    <cellStyle name="40% - Accent4 5 4 2 2 2 2 2" xfId="23152" xr:uid="{00000000-0005-0000-0000-0000667D0000}"/>
    <cellStyle name="40% - Accent4 5 4 2 2 2 2 2 2" xfId="45754" xr:uid="{00000000-0005-0000-0000-0000677D0000}"/>
    <cellStyle name="40% - Accent4 5 4 2 2 2 2 3" xfId="34453" xr:uid="{00000000-0005-0000-0000-0000687D0000}"/>
    <cellStyle name="40% - Accent4 5 4 2 2 2 3" xfId="17502" xr:uid="{00000000-0005-0000-0000-0000697D0000}"/>
    <cellStyle name="40% - Accent4 5 4 2 2 2 3 2" xfId="40104" xr:uid="{00000000-0005-0000-0000-00006A7D0000}"/>
    <cellStyle name="40% - Accent4 5 4 2 2 2 4" xfId="28803" xr:uid="{00000000-0005-0000-0000-00006B7D0000}"/>
    <cellStyle name="40% - Accent4 5 4 2 2 3" xfId="9019" xr:uid="{00000000-0005-0000-0000-00006C7D0000}"/>
    <cellStyle name="40% - Accent4 5 4 2 2 3 2" xfId="20320" xr:uid="{00000000-0005-0000-0000-00006D7D0000}"/>
    <cellStyle name="40% - Accent4 5 4 2 2 3 2 2" xfId="42922" xr:uid="{00000000-0005-0000-0000-00006E7D0000}"/>
    <cellStyle name="40% - Accent4 5 4 2 2 3 3" xfId="31621" xr:uid="{00000000-0005-0000-0000-00006F7D0000}"/>
    <cellStyle name="40% - Accent4 5 4 2 2 4" xfId="14670" xr:uid="{00000000-0005-0000-0000-0000707D0000}"/>
    <cellStyle name="40% - Accent4 5 4 2 2 4 2" xfId="37272" xr:uid="{00000000-0005-0000-0000-0000717D0000}"/>
    <cellStyle name="40% - Accent4 5 4 2 2 5" xfId="25971" xr:uid="{00000000-0005-0000-0000-0000727D0000}"/>
    <cellStyle name="40% - Accent4 5 4 2 3" xfId="4967" xr:uid="{00000000-0005-0000-0000-0000737D0000}"/>
    <cellStyle name="40% - Accent4 5 4 2 3 2" xfId="10617" xr:uid="{00000000-0005-0000-0000-0000747D0000}"/>
    <cellStyle name="40% - Accent4 5 4 2 3 2 2" xfId="21918" xr:uid="{00000000-0005-0000-0000-0000757D0000}"/>
    <cellStyle name="40% - Accent4 5 4 2 3 2 2 2" xfId="44520" xr:uid="{00000000-0005-0000-0000-0000767D0000}"/>
    <cellStyle name="40% - Accent4 5 4 2 3 2 3" xfId="33219" xr:uid="{00000000-0005-0000-0000-0000777D0000}"/>
    <cellStyle name="40% - Accent4 5 4 2 3 3" xfId="16268" xr:uid="{00000000-0005-0000-0000-0000787D0000}"/>
    <cellStyle name="40% - Accent4 5 4 2 3 3 2" xfId="38870" xr:uid="{00000000-0005-0000-0000-0000797D0000}"/>
    <cellStyle name="40% - Accent4 5 4 2 3 4" xfId="27569" xr:uid="{00000000-0005-0000-0000-00007A7D0000}"/>
    <cellStyle name="40% - Accent4 5 4 2 4" xfId="7838" xr:uid="{00000000-0005-0000-0000-00007B7D0000}"/>
    <cellStyle name="40% - Accent4 5 4 2 4 2" xfId="19139" xr:uid="{00000000-0005-0000-0000-00007C7D0000}"/>
    <cellStyle name="40% - Accent4 5 4 2 4 2 2" xfId="41741" xr:uid="{00000000-0005-0000-0000-00007D7D0000}"/>
    <cellStyle name="40% - Accent4 5 4 2 4 3" xfId="30440" xr:uid="{00000000-0005-0000-0000-00007E7D0000}"/>
    <cellStyle name="40% - Accent4 5 4 2 5" xfId="13489" xr:uid="{00000000-0005-0000-0000-00007F7D0000}"/>
    <cellStyle name="40% - Accent4 5 4 2 5 2" xfId="36091" xr:uid="{00000000-0005-0000-0000-0000807D0000}"/>
    <cellStyle name="40% - Accent4 5 4 2 6" xfId="24790" xr:uid="{00000000-0005-0000-0000-0000817D0000}"/>
    <cellStyle name="40% - Accent4 5 4 3" xfId="2558" xr:uid="{00000000-0005-0000-0000-0000827D0000}"/>
    <cellStyle name="40% - Accent4 5 4 3 2" xfId="5577" xr:uid="{00000000-0005-0000-0000-0000837D0000}"/>
    <cellStyle name="40% - Accent4 5 4 3 2 2" xfId="11227" xr:uid="{00000000-0005-0000-0000-0000847D0000}"/>
    <cellStyle name="40% - Accent4 5 4 3 2 2 2" xfId="22528" xr:uid="{00000000-0005-0000-0000-0000857D0000}"/>
    <cellStyle name="40% - Accent4 5 4 3 2 2 2 2" xfId="45130" xr:uid="{00000000-0005-0000-0000-0000867D0000}"/>
    <cellStyle name="40% - Accent4 5 4 3 2 2 3" xfId="33829" xr:uid="{00000000-0005-0000-0000-0000877D0000}"/>
    <cellStyle name="40% - Accent4 5 4 3 2 3" xfId="16878" xr:uid="{00000000-0005-0000-0000-0000887D0000}"/>
    <cellStyle name="40% - Accent4 5 4 3 2 3 2" xfId="39480" xr:uid="{00000000-0005-0000-0000-0000897D0000}"/>
    <cellStyle name="40% - Accent4 5 4 3 2 4" xfId="28179" xr:uid="{00000000-0005-0000-0000-00008A7D0000}"/>
    <cellStyle name="40% - Accent4 5 4 3 3" xfId="8394" xr:uid="{00000000-0005-0000-0000-00008B7D0000}"/>
    <cellStyle name="40% - Accent4 5 4 3 3 2" xfId="19695" xr:uid="{00000000-0005-0000-0000-00008C7D0000}"/>
    <cellStyle name="40% - Accent4 5 4 3 3 2 2" xfId="42297" xr:uid="{00000000-0005-0000-0000-00008D7D0000}"/>
    <cellStyle name="40% - Accent4 5 4 3 3 3" xfId="30996" xr:uid="{00000000-0005-0000-0000-00008E7D0000}"/>
    <cellStyle name="40% - Accent4 5 4 3 4" xfId="14045" xr:uid="{00000000-0005-0000-0000-00008F7D0000}"/>
    <cellStyle name="40% - Accent4 5 4 3 4 2" xfId="36647" xr:uid="{00000000-0005-0000-0000-0000907D0000}"/>
    <cellStyle name="40% - Accent4 5 4 3 5" xfId="25346" xr:uid="{00000000-0005-0000-0000-0000917D0000}"/>
    <cellStyle name="40% - Accent4 5 4 4" xfId="4343" xr:uid="{00000000-0005-0000-0000-0000927D0000}"/>
    <cellStyle name="40% - Accent4 5 4 4 2" xfId="9993" xr:uid="{00000000-0005-0000-0000-0000937D0000}"/>
    <cellStyle name="40% - Accent4 5 4 4 2 2" xfId="21294" xr:uid="{00000000-0005-0000-0000-0000947D0000}"/>
    <cellStyle name="40% - Accent4 5 4 4 2 2 2" xfId="43896" xr:uid="{00000000-0005-0000-0000-0000957D0000}"/>
    <cellStyle name="40% - Accent4 5 4 4 2 3" xfId="32595" xr:uid="{00000000-0005-0000-0000-0000967D0000}"/>
    <cellStyle name="40% - Accent4 5 4 4 3" xfId="15644" xr:uid="{00000000-0005-0000-0000-0000977D0000}"/>
    <cellStyle name="40% - Accent4 5 4 4 3 2" xfId="38246" xr:uid="{00000000-0005-0000-0000-0000987D0000}"/>
    <cellStyle name="40% - Accent4 5 4 4 4" xfId="26945" xr:uid="{00000000-0005-0000-0000-0000997D0000}"/>
    <cellStyle name="40% - Accent4 5 4 5" xfId="7140" xr:uid="{00000000-0005-0000-0000-00009A7D0000}"/>
    <cellStyle name="40% - Accent4 5 4 5 2" xfId="18441" xr:uid="{00000000-0005-0000-0000-00009B7D0000}"/>
    <cellStyle name="40% - Accent4 5 4 5 2 2" xfId="41043" xr:uid="{00000000-0005-0000-0000-00009C7D0000}"/>
    <cellStyle name="40% - Accent4 5 4 5 3" xfId="29742" xr:uid="{00000000-0005-0000-0000-00009D7D0000}"/>
    <cellStyle name="40% - Accent4 5 4 6" xfId="12791" xr:uid="{00000000-0005-0000-0000-00009E7D0000}"/>
    <cellStyle name="40% - Accent4 5 4 6 2" xfId="35393" xr:uid="{00000000-0005-0000-0000-00009F7D0000}"/>
    <cellStyle name="40% - Accent4 5 4 7" xfId="24092" xr:uid="{00000000-0005-0000-0000-0000A07D0000}"/>
    <cellStyle name="40% - Accent4 5 5" xfId="841" xr:uid="{00000000-0005-0000-0000-0000A17D0000}"/>
    <cellStyle name="40% - Accent4 5 5 2" xfId="2922" xr:uid="{00000000-0005-0000-0000-0000A27D0000}"/>
    <cellStyle name="40% - Accent4 5 5 2 2" xfId="5894" xr:uid="{00000000-0005-0000-0000-0000A37D0000}"/>
    <cellStyle name="40% - Accent4 5 5 2 2 2" xfId="11544" xr:uid="{00000000-0005-0000-0000-0000A47D0000}"/>
    <cellStyle name="40% - Accent4 5 5 2 2 2 2" xfId="22845" xr:uid="{00000000-0005-0000-0000-0000A57D0000}"/>
    <cellStyle name="40% - Accent4 5 5 2 2 2 2 2" xfId="45447" xr:uid="{00000000-0005-0000-0000-0000A67D0000}"/>
    <cellStyle name="40% - Accent4 5 5 2 2 2 3" xfId="34146" xr:uid="{00000000-0005-0000-0000-0000A77D0000}"/>
    <cellStyle name="40% - Accent4 5 5 2 2 3" xfId="17195" xr:uid="{00000000-0005-0000-0000-0000A87D0000}"/>
    <cellStyle name="40% - Accent4 5 5 2 2 3 2" xfId="39797" xr:uid="{00000000-0005-0000-0000-0000A97D0000}"/>
    <cellStyle name="40% - Accent4 5 5 2 2 4" xfId="28496" xr:uid="{00000000-0005-0000-0000-0000AA7D0000}"/>
    <cellStyle name="40% - Accent4 5 5 2 3" xfId="8712" xr:uid="{00000000-0005-0000-0000-0000AB7D0000}"/>
    <cellStyle name="40% - Accent4 5 5 2 3 2" xfId="20013" xr:uid="{00000000-0005-0000-0000-0000AC7D0000}"/>
    <cellStyle name="40% - Accent4 5 5 2 3 2 2" xfId="42615" xr:uid="{00000000-0005-0000-0000-0000AD7D0000}"/>
    <cellStyle name="40% - Accent4 5 5 2 3 3" xfId="31314" xr:uid="{00000000-0005-0000-0000-0000AE7D0000}"/>
    <cellStyle name="40% - Accent4 5 5 2 4" xfId="14363" xr:uid="{00000000-0005-0000-0000-0000AF7D0000}"/>
    <cellStyle name="40% - Accent4 5 5 2 4 2" xfId="36965" xr:uid="{00000000-0005-0000-0000-0000B07D0000}"/>
    <cellStyle name="40% - Accent4 5 5 2 5" xfId="25664" xr:uid="{00000000-0005-0000-0000-0000B17D0000}"/>
    <cellStyle name="40% - Accent4 5 5 3" xfId="4660" xr:uid="{00000000-0005-0000-0000-0000B27D0000}"/>
    <cellStyle name="40% - Accent4 5 5 3 2" xfId="10310" xr:uid="{00000000-0005-0000-0000-0000B37D0000}"/>
    <cellStyle name="40% - Accent4 5 5 3 2 2" xfId="21611" xr:uid="{00000000-0005-0000-0000-0000B47D0000}"/>
    <cellStyle name="40% - Accent4 5 5 3 2 2 2" xfId="44213" xr:uid="{00000000-0005-0000-0000-0000B57D0000}"/>
    <cellStyle name="40% - Accent4 5 5 3 2 3" xfId="32912" xr:uid="{00000000-0005-0000-0000-0000B67D0000}"/>
    <cellStyle name="40% - Accent4 5 5 3 3" xfId="15961" xr:uid="{00000000-0005-0000-0000-0000B77D0000}"/>
    <cellStyle name="40% - Accent4 5 5 3 3 2" xfId="38563" xr:uid="{00000000-0005-0000-0000-0000B87D0000}"/>
    <cellStyle name="40% - Accent4 5 5 3 4" xfId="27262" xr:uid="{00000000-0005-0000-0000-0000B97D0000}"/>
    <cellStyle name="40% - Accent4 5 5 4" xfId="6846" xr:uid="{00000000-0005-0000-0000-0000BA7D0000}"/>
    <cellStyle name="40% - Accent4 5 5 4 2" xfId="18147" xr:uid="{00000000-0005-0000-0000-0000BB7D0000}"/>
    <cellStyle name="40% - Accent4 5 5 4 2 2" xfId="40749" xr:uid="{00000000-0005-0000-0000-0000BC7D0000}"/>
    <cellStyle name="40% - Accent4 5 5 4 3" xfId="29448" xr:uid="{00000000-0005-0000-0000-0000BD7D0000}"/>
    <cellStyle name="40% - Accent4 5 5 5" xfId="12497" xr:uid="{00000000-0005-0000-0000-0000BE7D0000}"/>
    <cellStyle name="40% - Accent4 5 5 5 2" xfId="35099" xr:uid="{00000000-0005-0000-0000-0000BF7D0000}"/>
    <cellStyle name="40% - Accent4 5 5 6" xfId="23798" xr:uid="{00000000-0005-0000-0000-0000C07D0000}"/>
    <cellStyle name="40% - Accent4 5 6" xfId="1975" xr:uid="{00000000-0005-0000-0000-0000C17D0000}"/>
    <cellStyle name="40% - Accent4 5 6 2" xfId="3789" xr:uid="{00000000-0005-0000-0000-0000C27D0000}"/>
    <cellStyle name="40% - Accent4 5 6 2 2" xfId="9499" xr:uid="{00000000-0005-0000-0000-0000C37D0000}"/>
    <cellStyle name="40% - Accent4 5 6 2 2 2" xfId="20800" xr:uid="{00000000-0005-0000-0000-0000C47D0000}"/>
    <cellStyle name="40% - Accent4 5 6 2 2 2 2" xfId="43402" xr:uid="{00000000-0005-0000-0000-0000C57D0000}"/>
    <cellStyle name="40% - Accent4 5 6 2 2 3" xfId="32101" xr:uid="{00000000-0005-0000-0000-0000C67D0000}"/>
    <cellStyle name="40% - Accent4 5 6 2 3" xfId="15150" xr:uid="{00000000-0005-0000-0000-0000C77D0000}"/>
    <cellStyle name="40% - Accent4 5 6 2 3 2" xfId="37752" xr:uid="{00000000-0005-0000-0000-0000C87D0000}"/>
    <cellStyle name="40% - Accent4 5 6 2 4" xfId="26451" xr:uid="{00000000-0005-0000-0000-0000C97D0000}"/>
    <cellStyle name="40% - Accent4 5 6 3" xfId="5270" xr:uid="{00000000-0005-0000-0000-0000CA7D0000}"/>
    <cellStyle name="40% - Accent4 5 6 3 2" xfId="10920" xr:uid="{00000000-0005-0000-0000-0000CB7D0000}"/>
    <cellStyle name="40% - Accent4 5 6 3 2 2" xfId="22221" xr:uid="{00000000-0005-0000-0000-0000CC7D0000}"/>
    <cellStyle name="40% - Accent4 5 6 3 2 2 2" xfId="44823" xr:uid="{00000000-0005-0000-0000-0000CD7D0000}"/>
    <cellStyle name="40% - Accent4 5 6 3 2 3" xfId="33522" xr:uid="{00000000-0005-0000-0000-0000CE7D0000}"/>
    <cellStyle name="40% - Accent4 5 6 3 3" xfId="16571" xr:uid="{00000000-0005-0000-0000-0000CF7D0000}"/>
    <cellStyle name="40% - Accent4 5 6 3 3 2" xfId="39173" xr:uid="{00000000-0005-0000-0000-0000D07D0000}"/>
    <cellStyle name="40% - Accent4 5 6 3 4" xfId="27872" xr:uid="{00000000-0005-0000-0000-0000D17D0000}"/>
    <cellStyle name="40% - Accent4 5 6 4" xfId="7831" xr:uid="{00000000-0005-0000-0000-0000D27D0000}"/>
    <cellStyle name="40% - Accent4 5 6 4 2" xfId="19132" xr:uid="{00000000-0005-0000-0000-0000D37D0000}"/>
    <cellStyle name="40% - Accent4 5 6 4 2 2" xfId="41734" xr:uid="{00000000-0005-0000-0000-0000D47D0000}"/>
    <cellStyle name="40% - Accent4 5 6 4 3" xfId="30433" xr:uid="{00000000-0005-0000-0000-0000D57D0000}"/>
    <cellStyle name="40% - Accent4 5 6 5" xfId="13482" xr:uid="{00000000-0005-0000-0000-0000D67D0000}"/>
    <cellStyle name="40% - Accent4 5 6 5 2" xfId="36084" xr:uid="{00000000-0005-0000-0000-0000D77D0000}"/>
    <cellStyle name="40% - Accent4 5 6 6" xfId="24783" xr:uid="{00000000-0005-0000-0000-0000D87D0000}"/>
    <cellStyle name="40% - Accent4 5 7" xfId="2243" xr:uid="{00000000-0005-0000-0000-0000D97D0000}"/>
    <cellStyle name="40% - Accent4 5 7 2" xfId="8084" xr:uid="{00000000-0005-0000-0000-0000DA7D0000}"/>
    <cellStyle name="40% - Accent4 5 7 2 2" xfId="19385" xr:uid="{00000000-0005-0000-0000-0000DB7D0000}"/>
    <cellStyle name="40% - Accent4 5 7 2 2 2" xfId="41987" xr:uid="{00000000-0005-0000-0000-0000DC7D0000}"/>
    <cellStyle name="40% - Accent4 5 7 2 3" xfId="30686" xr:uid="{00000000-0005-0000-0000-0000DD7D0000}"/>
    <cellStyle name="40% - Accent4 5 7 3" xfId="13735" xr:uid="{00000000-0005-0000-0000-0000DE7D0000}"/>
    <cellStyle name="40% - Accent4 5 7 3 2" xfId="36337" xr:uid="{00000000-0005-0000-0000-0000DF7D0000}"/>
    <cellStyle name="40% - Accent4 5 7 4" xfId="25036" xr:uid="{00000000-0005-0000-0000-0000E07D0000}"/>
    <cellStyle name="40% - Accent4 5 8" xfId="4036" xr:uid="{00000000-0005-0000-0000-0000E17D0000}"/>
    <cellStyle name="40% - Accent4 5 8 2" xfId="9686" xr:uid="{00000000-0005-0000-0000-0000E27D0000}"/>
    <cellStyle name="40% - Accent4 5 8 2 2" xfId="20987" xr:uid="{00000000-0005-0000-0000-0000E37D0000}"/>
    <cellStyle name="40% - Accent4 5 8 2 2 2" xfId="43589" xr:uid="{00000000-0005-0000-0000-0000E47D0000}"/>
    <cellStyle name="40% - Accent4 5 8 2 3" xfId="32288" xr:uid="{00000000-0005-0000-0000-0000E57D0000}"/>
    <cellStyle name="40% - Accent4 5 8 3" xfId="15337" xr:uid="{00000000-0005-0000-0000-0000E67D0000}"/>
    <cellStyle name="40% - Accent4 5 8 3 2" xfId="37939" xr:uid="{00000000-0005-0000-0000-0000E77D0000}"/>
    <cellStyle name="40% - Accent4 5 8 4" xfId="26638" xr:uid="{00000000-0005-0000-0000-0000E87D0000}"/>
    <cellStyle name="40% - Accent4 5 9" xfId="6487" xr:uid="{00000000-0005-0000-0000-0000E97D0000}"/>
    <cellStyle name="40% - Accent4 5 9 2" xfId="17788" xr:uid="{00000000-0005-0000-0000-0000EA7D0000}"/>
    <cellStyle name="40% - Accent4 5 9 2 2" xfId="40390" xr:uid="{00000000-0005-0000-0000-0000EB7D0000}"/>
    <cellStyle name="40% - Accent4 5 9 3" xfId="29089" xr:uid="{00000000-0005-0000-0000-0000EC7D0000}"/>
    <cellStyle name="40% - Accent4 6" xfId="297" xr:uid="{00000000-0005-0000-0000-0000ED7D0000}"/>
    <cellStyle name="40% - Accent4 7" xfId="398" xr:uid="{00000000-0005-0000-0000-0000EE7D0000}"/>
    <cellStyle name="40% - Accent4 7 10" xfId="23493" xr:uid="{00000000-0005-0000-0000-0000EF7D0000}"/>
    <cellStyle name="40% - Accent4 7 2" xfId="643" xr:uid="{00000000-0005-0000-0000-0000F07D0000}"/>
    <cellStyle name="40% - Accent4 7 2 2" xfId="1353" xr:uid="{00000000-0005-0000-0000-0000F17D0000}"/>
    <cellStyle name="40% - Accent4 7 2 2 2" xfId="1985" xr:uid="{00000000-0005-0000-0000-0000F27D0000}"/>
    <cellStyle name="40% - Accent4 7 2 2 2 2" xfId="3422" xr:uid="{00000000-0005-0000-0000-0000F37D0000}"/>
    <cellStyle name="40% - Accent4 7 2 2 2 2 2" xfId="6394" xr:uid="{00000000-0005-0000-0000-0000F47D0000}"/>
    <cellStyle name="40% - Accent4 7 2 2 2 2 2 2" xfId="12044" xr:uid="{00000000-0005-0000-0000-0000F57D0000}"/>
    <cellStyle name="40% - Accent4 7 2 2 2 2 2 2 2" xfId="23345" xr:uid="{00000000-0005-0000-0000-0000F67D0000}"/>
    <cellStyle name="40% - Accent4 7 2 2 2 2 2 2 2 2" xfId="45947" xr:uid="{00000000-0005-0000-0000-0000F77D0000}"/>
    <cellStyle name="40% - Accent4 7 2 2 2 2 2 2 3" xfId="34646" xr:uid="{00000000-0005-0000-0000-0000F87D0000}"/>
    <cellStyle name="40% - Accent4 7 2 2 2 2 2 3" xfId="17695" xr:uid="{00000000-0005-0000-0000-0000F97D0000}"/>
    <cellStyle name="40% - Accent4 7 2 2 2 2 2 3 2" xfId="40297" xr:uid="{00000000-0005-0000-0000-0000FA7D0000}"/>
    <cellStyle name="40% - Accent4 7 2 2 2 2 2 4" xfId="28996" xr:uid="{00000000-0005-0000-0000-0000FB7D0000}"/>
    <cellStyle name="40% - Accent4 7 2 2 2 2 3" xfId="9212" xr:uid="{00000000-0005-0000-0000-0000FC7D0000}"/>
    <cellStyle name="40% - Accent4 7 2 2 2 2 3 2" xfId="20513" xr:uid="{00000000-0005-0000-0000-0000FD7D0000}"/>
    <cellStyle name="40% - Accent4 7 2 2 2 2 3 2 2" xfId="43115" xr:uid="{00000000-0005-0000-0000-0000FE7D0000}"/>
    <cellStyle name="40% - Accent4 7 2 2 2 2 3 3" xfId="31814" xr:uid="{00000000-0005-0000-0000-0000FF7D0000}"/>
    <cellStyle name="40% - Accent4 7 2 2 2 2 4" xfId="14863" xr:uid="{00000000-0005-0000-0000-0000007E0000}"/>
    <cellStyle name="40% - Accent4 7 2 2 2 2 4 2" xfId="37465" xr:uid="{00000000-0005-0000-0000-0000017E0000}"/>
    <cellStyle name="40% - Accent4 7 2 2 2 2 5" xfId="26164" xr:uid="{00000000-0005-0000-0000-0000027E0000}"/>
    <cellStyle name="40% - Accent4 7 2 2 2 3" xfId="5160" xr:uid="{00000000-0005-0000-0000-0000037E0000}"/>
    <cellStyle name="40% - Accent4 7 2 2 2 3 2" xfId="10810" xr:uid="{00000000-0005-0000-0000-0000047E0000}"/>
    <cellStyle name="40% - Accent4 7 2 2 2 3 2 2" xfId="22111" xr:uid="{00000000-0005-0000-0000-0000057E0000}"/>
    <cellStyle name="40% - Accent4 7 2 2 2 3 2 2 2" xfId="44713" xr:uid="{00000000-0005-0000-0000-0000067E0000}"/>
    <cellStyle name="40% - Accent4 7 2 2 2 3 2 3" xfId="33412" xr:uid="{00000000-0005-0000-0000-0000077E0000}"/>
    <cellStyle name="40% - Accent4 7 2 2 2 3 3" xfId="16461" xr:uid="{00000000-0005-0000-0000-0000087E0000}"/>
    <cellStyle name="40% - Accent4 7 2 2 2 3 3 2" xfId="39063" xr:uid="{00000000-0005-0000-0000-0000097E0000}"/>
    <cellStyle name="40% - Accent4 7 2 2 2 3 4" xfId="27762" xr:uid="{00000000-0005-0000-0000-00000A7E0000}"/>
    <cellStyle name="40% - Accent4 7 2 2 2 4" xfId="7841" xr:uid="{00000000-0005-0000-0000-00000B7E0000}"/>
    <cellStyle name="40% - Accent4 7 2 2 2 4 2" xfId="19142" xr:uid="{00000000-0005-0000-0000-00000C7E0000}"/>
    <cellStyle name="40% - Accent4 7 2 2 2 4 2 2" xfId="41744" xr:uid="{00000000-0005-0000-0000-00000D7E0000}"/>
    <cellStyle name="40% - Accent4 7 2 2 2 4 3" xfId="30443" xr:uid="{00000000-0005-0000-0000-00000E7E0000}"/>
    <cellStyle name="40% - Accent4 7 2 2 2 5" xfId="13492" xr:uid="{00000000-0005-0000-0000-00000F7E0000}"/>
    <cellStyle name="40% - Accent4 7 2 2 2 5 2" xfId="36094" xr:uid="{00000000-0005-0000-0000-0000107E0000}"/>
    <cellStyle name="40% - Accent4 7 2 2 2 6" xfId="24793" xr:uid="{00000000-0005-0000-0000-0000117E0000}"/>
    <cellStyle name="40% - Accent4 7 2 2 3" xfId="2751" xr:uid="{00000000-0005-0000-0000-0000127E0000}"/>
    <cellStyle name="40% - Accent4 7 2 2 3 2" xfId="5770" xr:uid="{00000000-0005-0000-0000-0000137E0000}"/>
    <cellStyle name="40% - Accent4 7 2 2 3 2 2" xfId="11420" xr:uid="{00000000-0005-0000-0000-0000147E0000}"/>
    <cellStyle name="40% - Accent4 7 2 2 3 2 2 2" xfId="22721" xr:uid="{00000000-0005-0000-0000-0000157E0000}"/>
    <cellStyle name="40% - Accent4 7 2 2 3 2 2 2 2" xfId="45323" xr:uid="{00000000-0005-0000-0000-0000167E0000}"/>
    <cellStyle name="40% - Accent4 7 2 2 3 2 2 3" xfId="34022" xr:uid="{00000000-0005-0000-0000-0000177E0000}"/>
    <cellStyle name="40% - Accent4 7 2 2 3 2 3" xfId="17071" xr:uid="{00000000-0005-0000-0000-0000187E0000}"/>
    <cellStyle name="40% - Accent4 7 2 2 3 2 3 2" xfId="39673" xr:uid="{00000000-0005-0000-0000-0000197E0000}"/>
    <cellStyle name="40% - Accent4 7 2 2 3 2 4" xfId="28372" xr:uid="{00000000-0005-0000-0000-00001A7E0000}"/>
    <cellStyle name="40% - Accent4 7 2 2 3 3" xfId="8587" xr:uid="{00000000-0005-0000-0000-00001B7E0000}"/>
    <cellStyle name="40% - Accent4 7 2 2 3 3 2" xfId="19888" xr:uid="{00000000-0005-0000-0000-00001C7E0000}"/>
    <cellStyle name="40% - Accent4 7 2 2 3 3 2 2" xfId="42490" xr:uid="{00000000-0005-0000-0000-00001D7E0000}"/>
    <cellStyle name="40% - Accent4 7 2 2 3 3 3" xfId="31189" xr:uid="{00000000-0005-0000-0000-00001E7E0000}"/>
    <cellStyle name="40% - Accent4 7 2 2 3 4" xfId="14238" xr:uid="{00000000-0005-0000-0000-00001F7E0000}"/>
    <cellStyle name="40% - Accent4 7 2 2 3 4 2" xfId="36840" xr:uid="{00000000-0005-0000-0000-0000207E0000}"/>
    <cellStyle name="40% - Accent4 7 2 2 3 5" xfId="25539" xr:uid="{00000000-0005-0000-0000-0000217E0000}"/>
    <cellStyle name="40% - Accent4 7 2 2 4" xfId="4536" xr:uid="{00000000-0005-0000-0000-0000227E0000}"/>
    <cellStyle name="40% - Accent4 7 2 2 4 2" xfId="10186" xr:uid="{00000000-0005-0000-0000-0000237E0000}"/>
    <cellStyle name="40% - Accent4 7 2 2 4 2 2" xfId="21487" xr:uid="{00000000-0005-0000-0000-0000247E0000}"/>
    <cellStyle name="40% - Accent4 7 2 2 4 2 2 2" xfId="44089" xr:uid="{00000000-0005-0000-0000-0000257E0000}"/>
    <cellStyle name="40% - Accent4 7 2 2 4 2 3" xfId="32788" xr:uid="{00000000-0005-0000-0000-0000267E0000}"/>
    <cellStyle name="40% - Accent4 7 2 2 4 3" xfId="15837" xr:uid="{00000000-0005-0000-0000-0000277E0000}"/>
    <cellStyle name="40% - Accent4 7 2 2 4 3 2" xfId="38439" xr:uid="{00000000-0005-0000-0000-0000287E0000}"/>
    <cellStyle name="40% - Accent4 7 2 2 4 4" xfId="27138" xr:uid="{00000000-0005-0000-0000-0000297E0000}"/>
    <cellStyle name="40% - Accent4 7 2 2 5" xfId="7332" xr:uid="{00000000-0005-0000-0000-00002A7E0000}"/>
    <cellStyle name="40% - Accent4 7 2 2 5 2" xfId="18633" xr:uid="{00000000-0005-0000-0000-00002B7E0000}"/>
    <cellStyle name="40% - Accent4 7 2 2 5 2 2" xfId="41235" xr:uid="{00000000-0005-0000-0000-00002C7E0000}"/>
    <cellStyle name="40% - Accent4 7 2 2 5 3" xfId="29934" xr:uid="{00000000-0005-0000-0000-00002D7E0000}"/>
    <cellStyle name="40% - Accent4 7 2 2 6" xfId="12983" xr:uid="{00000000-0005-0000-0000-00002E7E0000}"/>
    <cellStyle name="40% - Accent4 7 2 2 6 2" xfId="35585" xr:uid="{00000000-0005-0000-0000-00002F7E0000}"/>
    <cellStyle name="40% - Accent4 7 2 2 7" xfId="24284" xr:uid="{00000000-0005-0000-0000-0000307E0000}"/>
    <cellStyle name="40% - Accent4 7 2 3" xfId="1051" xr:uid="{00000000-0005-0000-0000-0000317E0000}"/>
    <cellStyle name="40% - Accent4 7 2 3 2" xfId="3114" xr:uid="{00000000-0005-0000-0000-0000327E0000}"/>
    <cellStyle name="40% - Accent4 7 2 3 2 2" xfId="6086" xr:uid="{00000000-0005-0000-0000-0000337E0000}"/>
    <cellStyle name="40% - Accent4 7 2 3 2 2 2" xfId="11736" xr:uid="{00000000-0005-0000-0000-0000347E0000}"/>
    <cellStyle name="40% - Accent4 7 2 3 2 2 2 2" xfId="23037" xr:uid="{00000000-0005-0000-0000-0000357E0000}"/>
    <cellStyle name="40% - Accent4 7 2 3 2 2 2 2 2" xfId="45639" xr:uid="{00000000-0005-0000-0000-0000367E0000}"/>
    <cellStyle name="40% - Accent4 7 2 3 2 2 2 3" xfId="34338" xr:uid="{00000000-0005-0000-0000-0000377E0000}"/>
    <cellStyle name="40% - Accent4 7 2 3 2 2 3" xfId="17387" xr:uid="{00000000-0005-0000-0000-0000387E0000}"/>
    <cellStyle name="40% - Accent4 7 2 3 2 2 3 2" xfId="39989" xr:uid="{00000000-0005-0000-0000-0000397E0000}"/>
    <cellStyle name="40% - Accent4 7 2 3 2 2 4" xfId="28688" xr:uid="{00000000-0005-0000-0000-00003A7E0000}"/>
    <cellStyle name="40% - Accent4 7 2 3 2 3" xfId="8904" xr:uid="{00000000-0005-0000-0000-00003B7E0000}"/>
    <cellStyle name="40% - Accent4 7 2 3 2 3 2" xfId="20205" xr:uid="{00000000-0005-0000-0000-00003C7E0000}"/>
    <cellStyle name="40% - Accent4 7 2 3 2 3 2 2" xfId="42807" xr:uid="{00000000-0005-0000-0000-00003D7E0000}"/>
    <cellStyle name="40% - Accent4 7 2 3 2 3 3" xfId="31506" xr:uid="{00000000-0005-0000-0000-00003E7E0000}"/>
    <cellStyle name="40% - Accent4 7 2 3 2 4" xfId="14555" xr:uid="{00000000-0005-0000-0000-00003F7E0000}"/>
    <cellStyle name="40% - Accent4 7 2 3 2 4 2" xfId="37157" xr:uid="{00000000-0005-0000-0000-0000407E0000}"/>
    <cellStyle name="40% - Accent4 7 2 3 2 5" xfId="25856" xr:uid="{00000000-0005-0000-0000-0000417E0000}"/>
    <cellStyle name="40% - Accent4 7 2 3 3" xfId="4852" xr:uid="{00000000-0005-0000-0000-0000427E0000}"/>
    <cellStyle name="40% - Accent4 7 2 3 3 2" xfId="10502" xr:uid="{00000000-0005-0000-0000-0000437E0000}"/>
    <cellStyle name="40% - Accent4 7 2 3 3 2 2" xfId="21803" xr:uid="{00000000-0005-0000-0000-0000447E0000}"/>
    <cellStyle name="40% - Accent4 7 2 3 3 2 2 2" xfId="44405" xr:uid="{00000000-0005-0000-0000-0000457E0000}"/>
    <cellStyle name="40% - Accent4 7 2 3 3 2 3" xfId="33104" xr:uid="{00000000-0005-0000-0000-0000467E0000}"/>
    <cellStyle name="40% - Accent4 7 2 3 3 3" xfId="16153" xr:uid="{00000000-0005-0000-0000-0000477E0000}"/>
    <cellStyle name="40% - Accent4 7 2 3 3 3 2" xfId="38755" xr:uid="{00000000-0005-0000-0000-0000487E0000}"/>
    <cellStyle name="40% - Accent4 7 2 3 3 4" xfId="27454" xr:uid="{00000000-0005-0000-0000-0000497E0000}"/>
    <cellStyle name="40% - Accent4 7 2 3 4" xfId="7039" xr:uid="{00000000-0005-0000-0000-00004A7E0000}"/>
    <cellStyle name="40% - Accent4 7 2 3 4 2" xfId="18340" xr:uid="{00000000-0005-0000-0000-00004B7E0000}"/>
    <cellStyle name="40% - Accent4 7 2 3 4 2 2" xfId="40942" xr:uid="{00000000-0005-0000-0000-00004C7E0000}"/>
    <cellStyle name="40% - Accent4 7 2 3 4 3" xfId="29641" xr:uid="{00000000-0005-0000-0000-00004D7E0000}"/>
    <cellStyle name="40% - Accent4 7 2 3 5" xfId="12690" xr:uid="{00000000-0005-0000-0000-00004E7E0000}"/>
    <cellStyle name="40% - Accent4 7 2 3 5 2" xfId="35292" xr:uid="{00000000-0005-0000-0000-00004F7E0000}"/>
    <cellStyle name="40% - Accent4 7 2 3 6" xfId="23991" xr:uid="{00000000-0005-0000-0000-0000507E0000}"/>
    <cellStyle name="40% - Accent4 7 2 4" xfId="1984" xr:uid="{00000000-0005-0000-0000-0000517E0000}"/>
    <cellStyle name="40% - Accent4 7 2 4 2" xfId="3794" xr:uid="{00000000-0005-0000-0000-0000527E0000}"/>
    <cellStyle name="40% - Accent4 7 2 4 2 2" xfId="9504" xr:uid="{00000000-0005-0000-0000-0000537E0000}"/>
    <cellStyle name="40% - Accent4 7 2 4 2 2 2" xfId="20805" xr:uid="{00000000-0005-0000-0000-0000547E0000}"/>
    <cellStyle name="40% - Accent4 7 2 4 2 2 2 2" xfId="43407" xr:uid="{00000000-0005-0000-0000-0000557E0000}"/>
    <cellStyle name="40% - Accent4 7 2 4 2 2 3" xfId="32106" xr:uid="{00000000-0005-0000-0000-0000567E0000}"/>
    <cellStyle name="40% - Accent4 7 2 4 2 3" xfId="15155" xr:uid="{00000000-0005-0000-0000-0000577E0000}"/>
    <cellStyle name="40% - Accent4 7 2 4 2 3 2" xfId="37757" xr:uid="{00000000-0005-0000-0000-0000587E0000}"/>
    <cellStyle name="40% - Accent4 7 2 4 2 4" xfId="26456" xr:uid="{00000000-0005-0000-0000-0000597E0000}"/>
    <cellStyle name="40% - Accent4 7 2 4 3" xfId="5462" xr:uid="{00000000-0005-0000-0000-00005A7E0000}"/>
    <cellStyle name="40% - Accent4 7 2 4 3 2" xfId="11112" xr:uid="{00000000-0005-0000-0000-00005B7E0000}"/>
    <cellStyle name="40% - Accent4 7 2 4 3 2 2" xfId="22413" xr:uid="{00000000-0005-0000-0000-00005C7E0000}"/>
    <cellStyle name="40% - Accent4 7 2 4 3 2 2 2" xfId="45015" xr:uid="{00000000-0005-0000-0000-00005D7E0000}"/>
    <cellStyle name="40% - Accent4 7 2 4 3 2 3" xfId="33714" xr:uid="{00000000-0005-0000-0000-00005E7E0000}"/>
    <cellStyle name="40% - Accent4 7 2 4 3 3" xfId="16763" xr:uid="{00000000-0005-0000-0000-00005F7E0000}"/>
    <cellStyle name="40% - Accent4 7 2 4 3 3 2" xfId="39365" xr:uid="{00000000-0005-0000-0000-0000607E0000}"/>
    <cellStyle name="40% - Accent4 7 2 4 3 4" xfId="28064" xr:uid="{00000000-0005-0000-0000-0000617E0000}"/>
    <cellStyle name="40% - Accent4 7 2 4 4" xfId="7840" xr:uid="{00000000-0005-0000-0000-0000627E0000}"/>
    <cellStyle name="40% - Accent4 7 2 4 4 2" xfId="19141" xr:uid="{00000000-0005-0000-0000-0000637E0000}"/>
    <cellStyle name="40% - Accent4 7 2 4 4 2 2" xfId="41743" xr:uid="{00000000-0005-0000-0000-0000647E0000}"/>
    <cellStyle name="40% - Accent4 7 2 4 4 3" xfId="30442" xr:uid="{00000000-0005-0000-0000-0000657E0000}"/>
    <cellStyle name="40% - Accent4 7 2 4 5" xfId="13491" xr:uid="{00000000-0005-0000-0000-0000667E0000}"/>
    <cellStyle name="40% - Accent4 7 2 4 5 2" xfId="36093" xr:uid="{00000000-0005-0000-0000-0000677E0000}"/>
    <cellStyle name="40% - Accent4 7 2 4 6" xfId="24792" xr:uid="{00000000-0005-0000-0000-0000687E0000}"/>
    <cellStyle name="40% - Accent4 7 2 5" xfId="2443" xr:uid="{00000000-0005-0000-0000-0000697E0000}"/>
    <cellStyle name="40% - Accent4 7 2 5 2" xfId="8279" xr:uid="{00000000-0005-0000-0000-00006A7E0000}"/>
    <cellStyle name="40% - Accent4 7 2 5 2 2" xfId="19580" xr:uid="{00000000-0005-0000-0000-00006B7E0000}"/>
    <cellStyle name="40% - Accent4 7 2 5 2 2 2" xfId="42182" xr:uid="{00000000-0005-0000-0000-00006C7E0000}"/>
    <cellStyle name="40% - Accent4 7 2 5 2 3" xfId="30881" xr:uid="{00000000-0005-0000-0000-00006D7E0000}"/>
    <cellStyle name="40% - Accent4 7 2 5 3" xfId="13930" xr:uid="{00000000-0005-0000-0000-00006E7E0000}"/>
    <cellStyle name="40% - Accent4 7 2 5 3 2" xfId="36532" xr:uid="{00000000-0005-0000-0000-00006F7E0000}"/>
    <cellStyle name="40% - Accent4 7 2 5 4" xfId="25231" xr:uid="{00000000-0005-0000-0000-0000707E0000}"/>
    <cellStyle name="40% - Accent4 7 2 6" xfId="4228" xr:uid="{00000000-0005-0000-0000-0000717E0000}"/>
    <cellStyle name="40% - Accent4 7 2 6 2" xfId="9878" xr:uid="{00000000-0005-0000-0000-0000727E0000}"/>
    <cellStyle name="40% - Accent4 7 2 6 2 2" xfId="21179" xr:uid="{00000000-0005-0000-0000-0000737E0000}"/>
    <cellStyle name="40% - Accent4 7 2 6 2 2 2" xfId="43781" xr:uid="{00000000-0005-0000-0000-0000747E0000}"/>
    <cellStyle name="40% - Accent4 7 2 6 2 3" xfId="32480" xr:uid="{00000000-0005-0000-0000-0000757E0000}"/>
    <cellStyle name="40% - Accent4 7 2 6 3" xfId="15529" xr:uid="{00000000-0005-0000-0000-0000767E0000}"/>
    <cellStyle name="40% - Accent4 7 2 6 3 2" xfId="38131" xr:uid="{00000000-0005-0000-0000-0000777E0000}"/>
    <cellStyle name="40% - Accent4 7 2 6 4" xfId="26830" xr:uid="{00000000-0005-0000-0000-0000787E0000}"/>
    <cellStyle name="40% - Accent4 7 2 7" xfId="6708" xr:uid="{00000000-0005-0000-0000-0000797E0000}"/>
    <cellStyle name="40% - Accent4 7 2 7 2" xfId="18009" xr:uid="{00000000-0005-0000-0000-00007A7E0000}"/>
    <cellStyle name="40% - Accent4 7 2 7 2 2" xfId="40611" xr:uid="{00000000-0005-0000-0000-00007B7E0000}"/>
    <cellStyle name="40% - Accent4 7 2 7 3" xfId="29310" xr:uid="{00000000-0005-0000-0000-00007C7E0000}"/>
    <cellStyle name="40% - Accent4 7 2 8" xfId="12359" xr:uid="{00000000-0005-0000-0000-00007D7E0000}"/>
    <cellStyle name="40% - Accent4 7 2 8 2" xfId="34961" xr:uid="{00000000-0005-0000-0000-00007E7E0000}"/>
    <cellStyle name="40% - Accent4 7 2 9" xfId="23660" xr:uid="{00000000-0005-0000-0000-00007F7E0000}"/>
    <cellStyle name="40% - Accent4 7 3" xfId="1215" xr:uid="{00000000-0005-0000-0000-0000807E0000}"/>
    <cellStyle name="40% - Accent4 7 3 2" xfId="1986" xr:uid="{00000000-0005-0000-0000-0000817E0000}"/>
    <cellStyle name="40% - Accent4 7 3 2 2" xfId="3283" xr:uid="{00000000-0005-0000-0000-0000827E0000}"/>
    <cellStyle name="40% - Accent4 7 3 2 2 2" xfId="6255" xr:uid="{00000000-0005-0000-0000-0000837E0000}"/>
    <cellStyle name="40% - Accent4 7 3 2 2 2 2" xfId="11905" xr:uid="{00000000-0005-0000-0000-0000847E0000}"/>
    <cellStyle name="40% - Accent4 7 3 2 2 2 2 2" xfId="23206" xr:uid="{00000000-0005-0000-0000-0000857E0000}"/>
    <cellStyle name="40% - Accent4 7 3 2 2 2 2 2 2" xfId="45808" xr:uid="{00000000-0005-0000-0000-0000867E0000}"/>
    <cellStyle name="40% - Accent4 7 3 2 2 2 2 3" xfId="34507" xr:uid="{00000000-0005-0000-0000-0000877E0000}"/>
    <cellStyle name="40% - Accent4 7 3 2 2 2 3" xfId="17556" xr:uid="{00000000-0005-0000-0000-0000887E0000}"/>
    <cellStyle name="40% - Accent4 7 3 2 2 2 3 2" xfId="40158" xr:uid="{00000000-0005-0000-0000-0000897E0000}"/>
    <cellStyle name="40% - Accent4 7 3 2 2 2 4" xfId="28857" xr:uid="{00000000-0005-0000-0000-00008A7E0000}"/>
    <cellStyle name="40% - Accent4 7 3 2 2 3" xfId="9073" xr:uid="{00000000-0005-0000-0000-00008B7E0000}"/>
    <cellStyle name="40% - Accent4 7 3 2 2 3 2" xfId="20374" xr:uid="{00000000-0005-0000-0000-00008C7E0000}"/>
    <cellStyle name="40% - Accent4 7 3 2 2 3 2 2" xfId="42976" xr:uid="{00000000-0005-0000-0000-00008D7E0000}"/>
    <cellStyle name="40% - Accent4 7 3 2 2 3 3" xfId="31675" xr:uid="{00000000-0005-0000-0000-00008E7E0000}"/>
    <cellStyle name="40% - Accent4 7 3 2 2 4" xfId="14724" xr:uid="{00000000-0005-0000-0000-00008F7E0000}"/>
    <cellStyle name="40% - Accent4 7 3 2 2 4 2" xfId="37326" xr:uid="{00000000-0005-0000-0000-0000907E0000}"/>
    <cellStyle name="40% - Accent4 7 3 2 2 5" xfId="26025" xr:uid="{00000000-0005-0000-0000-0000917E0000}"/>
    <cellStyle name="40% - Accent4 7 3 2 3" xfId="5021" xr:uid="{00000000-0005-0000-0000-0000927E0000}"/>
    <cellStyle name="40% - Accent4 7 3 2 3 2" xfId="10671" xr:uid="{00000000-0005-0000-0000-0000937E0000}"/>
    <cellStyle name="40% - Accent4 7 3 2 3 2 2" xfId="21972" xr:uid="{00000000-0005-0000-0000-0000947E0000}"/>
    <cellStyle name="40% - Accent4 7 3 2 3 2 2 2" xfId="44574" xr:uid="{00000000-0005-0000-0000-0000957E0000}"/>
    <cellStyle name="40% - Accent4 7 3 2 3 2 3" xfId="33273" xr:uid="{00000000-0005-0000-0000-0000967E0000}"/>
    <cellStyle name="40% - Accent4 7 3 2 3 3" xfId="16322" xr:uid="{00000000-0005-0000-0000-0000977E0000}"/>
    <cellStyle name="40% - Accent4 7 3 2 3 3 2" xfId="38924" xr:uid="{00000000-0005-0000-0000-0000987E0000}"/>
    <cellStyle name="40% - Accent4 7 3 2 3 4" xfId="27623" xr:uid="{00000000-0005-0000-0000-0000997E0000}"/>
    <cellStyle name="40% - Accent4 7 3 2 4" xfId="7842" xr:uid="{00000000-0005-0000-0000-00009A7E0000}"/>
    <cellStyle name="40% - Accent4 7 3 2 4 2" xfId="19143" xr:uid="{00000000-0005-0000-0000-00009B7E0000}"/>
    <cellStyle name="40% - Accent4 7 3 2 4 2 2" xfId="41745" xr:uid="{00000000-0005-0000-0000-00009C7E0000}"/>
    <cellStyle name="40% - Accent4 7 3 2 4 3" xfId="30444" xr:uid="{00000000-0005-0000-0000-00009D7E0000}"/>
    <cellStyle name="40% - Accent4 7 3 2 5" xfId="13493" xr:uid="{00000000-0005-0000-0000-00009E7E0000}"/>
    <cellStyle name="40% - Accent4 7 3 2 5 2" xfId="36095" xr:uid="{00000000-0005-0000-0000-00009F7E0000}"/>
    <cellStyle name="40% - Accent4 7 3 2 6" xfId="24794" xr:uid="{00000000-0005-0000-0000-0000A07E0000}"/>
    <cellStyle name="40% - Accent4 7 3 3" xfId="2612" xr:uid="{00000000-0005-0000-0000-0000A17E0000}"/>
    <cellStyle name="40% - Accent4 7 3 3 2" xfId="5631" xr:uid="{00000000-0005-0000-0000-0000A27E0000}"/>
    <cellStyle name="40% - Accent4 7 3 3 2 2" xfId="11281" xr:uid="{00000000-0005-0000-0000-0000A37E0000}"/>
    <cellStyle name="40% - Accent4 7 3 3 2 2 2" xfId="22582" xr:uid="{00000000-0005-0000-0000-0000A47E0000}"/>
    <cellStyle name="40% - Accent4 7 3 3 2 2 2 2" xfId="45184" xr:uid="{00000000-0005-0000-0000-0000A57E0000}"/>
    <cellStyle name="40% - Accent4 7 3 3 2 2 3" xfId="33883" xr:uid="{00000000-0005-0000-0000-0000A67E0000}"/>
    <cellStyle name="40% - Accent4 7 3 3 2 3" xfId="16932" xr:uid="{00000000-0005-0000-0000-0000A77E0000}"/>
    <cellStyle name="40% - Accent4 7 3 3 2 3 2" xfId="39534" xr:uid="{00000000-0005-0000-0000-0000A87E0000}"/>
    <cellStyle name="40% - Accent4 7 3 3 2 4" xfId="28233" xr:uid="{00000000-0005-0000-0000-0000A97E0000}"/>
    <cellStyle name="40% - Accent4 7 3 3 3" xfId="8448" xr:uid="{00000000-0005-0000-0000-0000AA7E0000}"/>
    <cellStyle name="40% - Accent4 7 3 3 3 2" xfId="19749" xr:uid="{00000000-0005-0000-0000-0000AB7E0000}"/>
    <cellStyle name="40% - Accent4 7 3 3 3 2 2" xfId="42351" xr:uid="{00000000-0005-0000-0000-0000AC7E0000}"/>
    <cellStyle name="40% - Accent4 7 3 3 3 3" xfId="31050" xr:uid="{00000000-0005-0000-0000-0000AD7E0000}"/>
    <cellStyle name="40% - Accent4 7 3 3 4" xfId="14099" xr:uid="{00000000-0005-0000-0000-0000AE7E0000}"/>
    <cellStyle name="40% - Accent4 7 3 3 4 2" xfId="36701" xr:uid="{00000000-0005-0000-0000-0000AF7E0000}"/>
    <cellStyle name="40% - Accent4 7 3 3 5" xfId="25400" xr:uid="{00000000-0005-0000-0000-0000B07E0000}"/>
    <cellStyle name="40% - Accent4 7 3 4" xfId="4397" xr:uid="{00000000-0005-0000-0000-0000B17E0000}"/>
    <cellStyle name="40% - Accent4 7 3 4 2" xfId="10047" xr:uid="{00000000-0005-0000-0000-0000B27E0000}"/>
    <cellStyle name="40% - Accent4 7 3 4 2 2" xfId="21348" xr:uid="{00000000-0005-0000-0000-0000B37E0000}"/>
    <cellStyle name="40% - Accent4 7 3 4 2 2 2" xfId="43950" xr:uid="{00000000-0005-0000-0000-0000B47E0000}"/>
    <cellStyle name="40% - Accent4 7 3 4 2 3" xfId="32649" xr:uid="{00000000-0005-0000-0000-0000B57E0000}"/>
    <cellStyle name="40% - Accent4 7 3 4 3" xfId="15698" xr:uid="{00000000-0005-0000-0000-0000B67E0000}"/>
    <cellStyle name="40% - Accent4 7 3 4 3 2" xfId="38300" xr:uid="{00000000-0005-0000-0000-0000B77E0000}"/>
    <cellStyle name="40% - Accent4 7 3 4 4" xfId="26999" xr:uid="{00000000-0005-0000-0000-0000B87E0000}"/>
    <cellStyle name="40% - Accent4 7 3 5" xfId="7194" xr:uid="{00000000-0005-0000-0000-0000B97E0000}"/>
    <cellStyle name="40% - Accent4 7 3 5 2" xfId="18495" xr:uid="{00000000-0005-0000-0000-0000BA7E0000}"/>
    <cellStyle name="40% - Accent4 7 3 5 2 2" xfId="41097" xr:uid="{00000000-0005-0000-0000-0000BB7E0000}"/>
    <cellStyle name="40% - Accent4 7 3 5 3" xfId="29796" xr:uid="{00000000-0005-0000-0000-0000BC7E0000}"/>
    <cellStyle name="40% - Accent4 7 3 6" xfId="12845" xr:uid="{00000000-0005-0000-0000-0000BD7E0000}"/>
    <cellStyle name="40% - Accent4 7 3 6 2" xfId="35447" xr:uid="{00000000-0005-0000-0000-0000BE7E0000}"/>
    <cellStyle name="40% - Accent4 7 3 7" xfId="24146" xr:uid="{00000000-0005-0000-0000-0000BF7E0000}"/>
    <cellStyle name="40% - Accent4 7 4" xfId="906" xr:uid="{00000000-0005-0000-0000-0000C07E0000}"/>
    <cellStyle name="40% - Accent4 7 4 2" xfId="2976" xr:uid="{00000000-0005-0000-0000-0000C17E0000}"/>
    <cellStyle name="40% - Accent4 7 4 2 2" xfId="5948" xr:uid="{00000000-0005-0000-0000-0000C27E0000}"/>
    <cellStyle name="40% - Accent4 7 4 2 2 2" xfId="11598" xr:uid="{00000000-0005-0000-0000-0000C37E0000}"/>
    <cellStyle name="40% - Accent4 7 4 2 2 2 2" xfId="22899" xr:uid="{00000000-0005-0000-0000-0000C47E0000}"/>
    <cellStyle name="40% - Accent4 7 4 2 2 2 2 2" xfId="45501" xr:uid="{00000000-0005-0000-0000-0000C57E0000}"/>
    <cellStyle name="40% - Accent4 7 4 2 2 2 3" xfId="34200" xr:uid="{00000000-0005-0000-0000-0000C67E0000}"/>
    <cellStyle name="40% - Accent4 7 4 2 2 3" xfId="17249" xr:uid="{00000000-0005-0000-0000-0000C77E0000}"/>
    <cellStyle name="40% - Accent4 7 4 2 2 3 2" xfId="39851" xr:uid="{00000000-0005-0000-0000-0000C87E0000}"/>
    <cellStyle name="40% - Accent4 7 4 2 2 4" xfId="28550" xr:uid="{00000000-0005-0000-0000-0000C97E0000}"/>
    <cellStyle name="40% - Accent4 7 4 2 3" xfId="8766" xr:uid="{00000000-0005-0000-0000-0000CA7E0000}"/>
    <cellStyle name="40% - Accent4 7 4 2 3 2" xfId="20067" xr:uid="{00000000-0005-0000-0000-0000CB7E0000}"/>
    <cellStyle name="40% - Accent4 7 4 2 3 2 2" xfId="42669" xr:uid="{00000000-0005-0000-0000-0000CC7E0000}"/>
    <cellStyle name="40% - Accent4 7 4 2 3 3" xfId="31368" xr:uid="{00000000-0005-0000-0000-0000CD7E0000}"/>
    <cellStyle name="40% - Accent4 7 4 2 4" xfId="14417" xr:uid="{00000000-0005-0000-0000-0000CE7E0000}"/>
    <cellStyle name="40% - Accent4 7 4 2 4 2" xfId="37019" xr:uid="{00000000-0005-0000-0000-0000CF7E0000}"/>
    <cellStyle name="40% - Accent4 7 4 2 5" xfId="25718" xr:uid="{00000000-0005-0000-0000-0000D07E0000}"/>
    <cellStyle name="40% - Accent4 7 4 3" xfId="4714" xr:uid="{00000000-0005-0000-0000-0000D17E0000}"/>
    <cellStyle name="40% - Accent4 7 4 3 2" xfId="10364" xr:uid="{00000000-0005-0000-0000-0000D27E0000}"/>
    <cellStyle name="40% - Accent4 7 4 3 2 2" xfId="21665" xr:uid="{00000000-0005-0000-0000-0000D37E0000}"/>
    <cellStyle name="40% - Accent4 7 4 3 2 2 2" xfId="44267" xr:uid="{00000000-0005-0000-0000-0000D47E0000}"/>
    <cellStyle name="40% - Accent4 7 4 3 2 3" xfId="32966" xr:uid="{00000000-0005-0000-0000-0000D57E0000}"/>
    <cellStyle name="40% - Accent4 7 4 3 3" xfId="16015" xr:uid="{00000000-0005-0000-0000-0000D67E0000}"/>
    <cellStyle name="40% - Accent4 7 4 3 3 2" xfId="38617" xr:uid="{00000000-0005-0000-0000-0000D77E0000}"/>
    <cellStyle name="40% - Accent4 7 4 3 4" xfId="27316" xr:uid="{00000000-0005-0000-0000-0000D87E0000}"/>
    <cellStyle name="40% - Accent4 7 4 4" xfId="6901" xr:uid="{00000000-0005-0000-0000-0000D97E0000}"/>
    <cellStyle name="40% - Accent4 7 4 4 2" xfId="18202" xr:uid="{00000000-0005-0000-0000-0000DA7E0000}"/>
    <cellStyle name="40% - Accent4 7 4 4 2 2" xfId="40804" xr:uid="{00000000-0005-0000-0000-0000DB7E0000}"/>
    <cellStyle name="40% - Accent4 7 4 4 3" xfId="29503" xr:uid="{00000000-0005-0000-0000-0000DC7E0000}"/>
    <cellStyle name="40% - Accent4 7 4 5" xfId="12552" xr:uid="{00000000-0005-0000-0000-0000DD7E0000}"/>
    <cellStyle name="40% - Accent4 7 4 5 2" xfId="35154" xr:uid="{00000000-0005-0000-0000-0000DE7E0000}"/>
    <cellStyle name="40% - Accent4 7 4 6" xfId="23853" xr:uid="{00000000-0005-0000-0000-0000DF7E0000}"/>
    <cellStyle name="40% - Accent4 7 5" xfId="1983" xr:uid="{00000000-0005-0000-0000-0000E07E0000}"/>
    <cellStyle name="40% - Accent4 7 5 2" xfId="3793" xr:uid="{00000000-0005-0000-0000-0000E17E0000}"/>
    <cellStyle name="40% - Accent4 7 5 2 2" xfId="9503" xr:uid="{00000000-0005-0000-0000-0000E27E0000}"/>
    <cellStyle name="40% - Accent4 7 5 2 2 2" xfId="20804" xr:uid="{00000000-0005-0000-0000-0000E37E0000}"/>
    <cellStyle name="40% - Accent4 7 5 2 2 2 2" xfId="43406" xr:uid="{00000000-0005-0000-0000-0000E47E0000}"/>
    <cellStyle name="40% - Accent4 7 5 2 2 3" xfId="32105" xr:uid="{00000000-0005-0000-0000-0000E57E0000}"/>
    <cellStyle name="40% - Accent4 7 5 2 3" xfId="15154" xr:uid="{00000000-0005-0000-0000-0000E67E0000}"/>
    <cellStyle name="40% - Accent4 7 5 2 3 2" xfId="37756" xr:uid="{00000000-0005-0000-0000-0000E77E0000}"/>
    <cellStyle name="40% - Accent4 7 5 2 4" xfId="26455" xr:uid="{00000000-0005-0000-0000-0000E87E0000}"/>
    <cellStyle name="40% - Accent4 7 5 3" xfId="5324" xr:uid="{00000000-0005-0000-0000-0000E97E0000}"/>
    <cellStyle name="40% - Accent4 7 5 3 2" xfId="10974" xr:uid="{00000000-0005-0000-0000-0000EA7E0000}"/>
    <cellStyle name="40% - Accent4 7 5 3 2 2" xfId="22275" xr:uid="{00000000-0005-0000-0000-0000EB7E0000}"/>
    <cellStyle name="40% - Accent4 7 5 3 2 2 2" xfId="44877" xr:uid="{00000000-0005-0000-0000-0000EC7E0000}"/>
    <cellStyle name="40% - Accent4 7 5 3 2 3" xfId="33576" xr:uid="{00000000-0005-0000-0000-0000ED7E0000}"/>
    <cellStyle name="40% - Accent4 7 5 3 3" xfId="16625" xr:uid="{00000000-0005-0000-0000-0000EE7E0000}"/>
    <cellStyle name="40% - Accent4 7 5 3 3 2" xfId="39227" xr:uid="{00000000-0005-0000-0000-0000EF7E0000}"/>
    <cellStyle name="40% - Accent4 7 5 3 4" xfId="27926" xr:uid="{00000000-0005-0000-0000-0000F07E0000}"/>
    <cellStyle name="40% - Accent4 7 5 4" xfId="7839" xr:uid="{00000000-0005-0000-0000-0000F17E0000}"/>
    <cellStyle name="40% - Accent4 7 5 4 2" xfId="19140" xr:uid="{00000000-0005-0000-0000-0000F27E0000}"/>
    <cellStyle name="40% - Accent4 7 5 4 2 2" xfId="41742" xr:uid="{00000000-0005-0000-0000-0000F37E0000}"/>
    <cellStyle name="40% - Accent4 7 5 4 3" xfId="30441" xr:uid="{00000000-0005-0000-0000-0000F47E0000}"/>
    <cellStyle name="40% - Accent4 7 5 5" xfId="13490" xr:uid="{00000000-0005-0000-0000-0000F57E0000}"/>
    <cellStyle name="40% - Accent4 7 5 5 2" xfId="36092" xr:uid="{00000000-0005-0000-0000-0000F67E0000}"/>
    <cellStyle name="40% - Accent4 7 5 6" xfId="24791" xr:uid="{00000000-0005-0000-0000-0000F77E0000}"/>
    <cellStyle name="40% - Accent4 7 6" xfId="2303" xr:uid="{00000000-0005-0000-0000-0000F87E0000}"/>
    <cellStyle name="40% - Accent4 7 6 2" xfId="8139" xr:uid="{00000000-0005-0000-0000-0000F97E0000}"/>
    <cellStyle name="40% - Accent4 7 6 2 2" xfId="19440" xr:uid="{00000000-0005-0000-0000-0000FA7E0000}"/>
    <cellStyle name="40% - Accent4 7 6 2 2 2" xfId="42042" xr:uid="{00000000-0005-0000-0000-0000FB7E0000}"/>
    <cellStyle name="40% - Accent4 7 6 2 3" xfId="30741" xr:uid="{00000000-0005-0000-0000-0000FC7E0000}"/>
    <cellStyle name="40% - Accent4 7 6 3" xfId="13790" xr:uid="{00000000-0005-0000-0000-0000FD7E0000}"/>
    <cellStyle name="40% - Accent4 7 6 3 2" xfId="36392" xr:uid="{00000000-0005-0000-0000-0000FE7E0000}"/>
    <cellStyle name="40% - Accent4 7 6 4" xfId="25091" xr:uid="{00000000-0005-0000-0000-0000FF7E0000}"/>
    <cellStyle name="40% - Accent4 7 7" xfId="4090" xr:uid="{00000000-0005-0000-0000-0000007F0000}"/>
    <cellStyle name="40% - Accent4 7 7 2" xfId="9740" xr:uid="{00000000-0005-0000-0000-0000017F0000}"/>
    <cellStyle name="40% - Accent4 7 7 2 2" xfId="21041" xr:uid="{00000000-0005-0000-0000-0000027F0000}"/>
    <cellStyle name="40% - Accent4 7 7 2 2 2" xfId="43643" xr:uid="{00000000-0005-0000-0000-0000037F0000}"/>
    <cellStyle name="40% - Accent4 7 7 2 3" xfId="32342" xr:uid="{00000000-0005-0000-0000-0000047F0000}"/>
    <cellStyle name="40% - Accent4 7 7 3" xfId="15391" xr:uid="{00000000-0005-0000-0000-0000057F0000}"/>
    <cellStyle name="40% - Accent4 7 7 3 2" xfId="37993" xr:uid="{00000000-0005-0000-0000-0000067F0000}"/>
    <cellStyle name="40% - Accent4 7 7 4" xfId="26692" xr:uid="{00000000-0005-0000-0000-0000077F0000}"/>
    <cellStyle name="40% - Accent4 7 8" xfId="6541" xr:uid="{00000000-0005-0000-0000-0000087F0000}"/>
    <cellStyle name="40% - Accent4 7 8 2" xfId="17842" xr:uid="{00000000-0005-0000-0000-0000097F0000}"/>
    <cellStyle name="40% - Accent4 7 8 2 2" xfId="40444" xr:uid="{00000000-0005-0000-0000-00000A7F0000}"/>
    <cellStyle name="40% - Accent4 7 8 3" xfId="29143" xr:uid="{00000000-0005-0000-0000-00000B7F0000}"/>
    <cellStyle name="40% - Accent4 7 9" xfId="12192" xr:uid="{00000000-0005-0000-0000-00000C7F0000}"/>
    <cellStyle name="40% - Accent4 7 9 2" xfId="34794" xr:uid="{00000000-0005-0000-0000-00000D7F0000}"/>
    <cellStyle name="40% - Accent4 8" xfId="501" xr:uid="{00000000-0005-0000-0000-00000E7F0000}"/>
    <cellStyle name="40% - Accent4 8 2" xfId="1272" xr:uid="{00000000-0005-0000-0000-00000F7F0000}"/>
    <cellStyle name="40% - Accent4 8 2 2" xfId="1988" xr:uid="{00000000-0005-0000-0000-0000107F0000}"/>
    <cellStyle name="40% - Accent4 8 2 2 2" xfId="3341" xr:uid="{00000000-0005-0000-0000-0000117F0000}"/>
    <cellStyle name="40% - Accent4 8 2 2 2 2" xfId="6313" xr:uid="{00000000-0005-0000-0000-0000127F0000}"/>
    <cellStyle name="40% - Accent4 8 2 2 2 2 2" xfId="11963" xr:uid="{00000000-0005-0000-0000-0000137F0000}"/>
    <cellStyle name="40% - Accent4 8 2 2 2 2 2 2" xfId="23264" xr:uid="{00000000-0005-0000-0000-0000147F0000}"/>
    <cellStyle name="40% - Accent4 8 2 2 2 2 2 2 2" xfId="45866" xr:uid="{00000000-0005-0000-0000-0000157F0000}"/>
    <cellStyle name="40% - Accent4 8 2 2 2 2 2 3" xfId="34565" xr:uid="{00000000-0005-0000-0000-0000167F0000}"/>
    <cellStyle name="40% - Accent4 8 2 2 2 2 3" xfId="17614" xr:uid="{00000000-0005-0000-0000-0000177F0000}"/>
    <cellStyle name="40% - Accent4 8 2 2 2 2 3 2" xfId="40216" xr:uid="{00000000-0005-0000-0000-0000187F0000}"/>
    <cellStyle name="40% - Accent4 8 2 2 2 2 4" xfId="28915" xr:uid="{00000000-0005-0000-0000-0000197F0000}"/>
    <cellStyle name="40% - Accent4 8 2 2 2 3" xfId="9131" xr:uid="{00000000-0005-0000-0000-00001A7F0000}"/>
    <cellStyle name="40% - Accent4 8 2 2 2 3 2" xfId="20432" xr:uid="{00000000-0005-0000-0000-00001B7F0000}"/>
    <cellStyle name="40% - Accent4 8 2 2 2 3 2 2" xfId="43034" xr:uid="{00000000-0005-0000-0000-00001C7F0000}"/>
    <cellStyle name="40% - Accent4 8 2 2 2 3 3" xfId="31733" xr:uid="{00000000-0005-0000-0000-00001D7F0000}"/>
    <cellStyle name="40% - Accent4 8 2 2 2 4" xfId="14782" xr:uid="{00000000-0005-0000-0000-00001E7F0000}"/>
    <cellStyle name="40% - Accent4 8 2 2 2 4 2" xfId="37384" xr:uid="{00000000-0005-0000-0000-00001F7F0000}"/>
    <cellStyle name="40% - Accent4 8 2 2 2 5" xfId="26083" xr:uid="{00000000-0005-0000-0000-0000207F0000}"/>
    <cellStyle name="40% - Accent4 8 2 2 3" xfId="5079" xr:uid="{00000000-0005-0000-0000-0000217F0000}"/>
    <cellStyle name="40% - Accent4 8 2 2 3 2" xfId="10729" xr:uid="{00000000-0005-0000-0000-0000227F0000}"/>
    <cellStyle name="40% - Accent4 8 2 2 3 2 2" xfId="22030" xr:uid="{00000000-0005-0000-0000-0000237F0000}"/>
    <cellStyle name="40% - Accent4 8 2 2 3 2 2 2" xfId="44632" xr:uid="{00000000-0005-0000-0000-0000247F0000}"/>
    <cellStyle name="40% - Accent4 8 2 2 3 2 3" xfId="33331" xr:uid="{00000000-0005-0000-0000-0000257F0000}"/>
    <cellStyle name="40% - Accent4 8 2 2 3 3" xfId="16380" xr:uid="{00000000-0005-0000-0000-0000267F0000}"/>
    <cellStyle name="40% - Accent4 8 2 2 3 3 2" xfId="38982" xr:uid="{00000000-0005-0000-0000-0000277F0000}"/>
    <cellStyle name="40% - Accent4 8 2 2 3 4" xfId="27681" xr:uid="{00000000-0005-0000-0000-0000287F0000}"/>
    <cellStyle name="40% - Accent4 8 2 2 4" xfId="7844" xr:uid="{00000000-0005-0000-0000-0000297F0000}"/>
    <cellStyle name="40% - Accent4 8 2 2 4 2" xfId="19145" xr:uid="{00000000-0005-0000-0000-00002A7F0000}"/>
    <cellStyle name="40% - Accent4 8 2 2 4 2 2" xfId="41747" xr:uid="{00000000-0005-0000-0000-00002B7F0000}"/>
    <cellStyle name="40% - Accent4 8 2 2 4 3" xfId="30446" xr:uid="{00000000-0005-0000-0000-00002C7F0000}"/>
    <cellStyle name="40% - Accent4 8 2 2 5" xfId="13495" xr:uid="{00000000-0005-0000-0000-00002D7F0000}"/>
    <cellStyle name="40% - Accent4 8 2 2 5 2" xfId="36097" xr:uid="{00000000-0005-0000-0000-00002E7F0000}"/>
    <cellStyle name="40% - Accent4 8 2 2 6" xfId="24796" xr:uid="{00000000-0005-0000-0000-00002F7F0000}"/>
    <cellStyle name="40% - Accent4 8 2 3" xfId="2670" xr:uid="{00000000-0005-0000-0000-0000307F0000}"/>
    <cellStyle name="40% - Accent4 8 2 3 2" xfId="5689" xr:uid="{00000000-0005-0000-0000-0000317F0000}"/>
    <cellStyle name="40% - Accent4 8 2 3 2 2" xfId="11339" xr:uid="{00000000-0005-0000-0000-0000327F0000}"/>
    <cellStyle name="40% - Accent4 8 2 3 2 2 2" xfId="22640" xr:uid="{00000000-0005-0000-0000-0000337F0000}"/>
    <cellStyle name="40% - Accent4 8 2 3 2 2 2 2" xfId="45242" xr:uid="{00000000-0005-0000-0000-0000347F0000}"/>
    <cellStyle name="40% - Accent4 8 2 3 2 2 3" xfId="33941" xr:uid="{00000000-0005-0000-0000-0000357F0000}"/>
    <cellStyle name="40% - Accent4 8 2 3 2 3" xfId="16990" xr:uid="{00000000-0005-0000-0000-0000367F0000}"/>
    <cellStyle name="40% - Accent4 8 2 3 2 3 2" xfId="39592" xr:uid="{00000000-0005-0000-0000-0000377F0000}"/>
    <cellStyle name="40% - Accent4 8 2 3 2 4" xfId="28291" xr:uid="{00000000-0005-0000-0000-0000387F0000}"/>
    <cellStyle name="40% - Accent4 8 2 3 3" xfId="8506" xr:uid="{00000000-0005-0000-0000-0000397F0000}"/>
    <cellStyle name="40% - Accent4 8 2 3 3 2" xfId="19807" xr:uid="{00000000-0005-0000-0000-00003A7F0000}"/>
    <cellStyle name="40% - Accent4 8 2 3 3 2 2" xfId="42409" xr:uid="{00000000-0005-0000-0000-00003B7F0000}"/>
    <cellStyle name="40% - Accent4 8 2 3 3 3" xfId="31108" xr:uid="{00000000-0005-0000-0000-00003C7F0000}"/>
    <cellStyle name="40% - Accent4 8 2 3 4" xfId="14157" xr:uid="{00000000-0005-0000-0000-00003D7F0000}"/>
    <cellStyle name="40% - Accent4 8 2 3 4 2" xfId="36759" xr:uid="{00000000-0005-0000-0000-00003E7F0000}"/>
    <cellStyle name="40% - Accent4 8 2 3 5" xfId="25458" xr:uid="{00000000-0005-0000-0000-00003F7F0000}"/>
    <cellStyle name="40% - Accent4 8 2 4" xfId="4455" xr:uid="{00000000-0005-0000-0000-0000407F0000}"/>
    <cellStyle name="40% - Accent4 8 2 4 2" xfId="10105" xr:uid="{00000000-0005-0000-0000-0000417F0000}"/>
    <cellStyle name="40% - Accent4 8 2 4 2 2" xfId="21406" xr:uid="{00000000-0005-0000-0000-0000427F0000}"/>
    <cellStyle name="40% - Accent4 8 2 4 2 2 2" xfId="44008" xr:uid="{00000000-0005-0000-0000-0000437F0000}"/>
    <cellStyle name="40% - Accent4 8 2 4 2 3" xfId="32707" xr:uid="{00000000-0005-0000-0000-0000447F0000}"/>
    <cellStyle name="40% - Accent4 8 2 4 3" xfId="15756" xr:uid="{00000000-0005-0000-0000-0000457F0000}"/>
    <cellStyle name="40% - Accent4 8 2 4 3 2" xfId="38358" xr:uid="{00000000-0005-0000-0000-0000467F0000}"/>
    <cellStyle name="40% - Accent4 8 2 4 4" xfId="27057" xr:uid="{00000000-0005-0000-0000-0000477F0000}"/>
    <cellStyle name="40% - Accent4 8 2 5" xfId="7251" xr:uid="{00000000-0005-0000-0000-0000487F0000}"/>
    <cellStyle name="40% - Accent4 8 2 5 2" xfId="18552" xr:uid="{00000000-0005-0000-0000-0000497F0000}"/>
    <cellStyle name="40% - Accent4 8 2 5 2 2" xfId="41154" xr:uid="{00000000-0005-0000-0000-00004A7F0000}"/>
    <cellStyle name="40% - Accent4 8 2 5 3" xfId="29853" xr:uid="{00000000-0005-0000-0000-00004B7F0000}"/>
    <cellStyle name="40% - Accent4 8 2 6" xfId="12902" xr:uid="{00000000-0005-0000-0000-00004C7F0000}"/>
    <cellStyle name="40% - Accent4 8 2 6 2" xfId="35504" xr:uid="{00000000-0005-0000-0000-00004D7F0000}"/>
    <cellStyle name="40% - Accent4 8 2 7" xfId="24203" xr:uid="{00000000-0005-0000-0000-00004E7F0000}"/>
    <cellStyle name="40% - Accent4 8 3" xfId="969" xr:uid="{00000000-0005-0000-0000-00004F7F0000}"/>
    <cellStyle name="40% - Accent4 8 3 2" xfId="3033" xr:uid="{00000000-0005-0000-0000-0000507F0000}"/>
    <cellStyle name="40% - Accent4 8 3 2 2" xfId="6005" xr:uid="{00000000-0005-0000-0000-0000517F0000}"/>
    <cellStyle name="40% - Accent4 8 3 2 2 2" xfId="11655" xr:uid="{00000000-0005-0000-0000-0000527F0000}"/>
    <cellStyle name="40% - Accent4 8 3 2 2 2 2" xfId="22956" xr:uid="{00000000-0005-0000-0000-0000537F0000}"/>
    <cellStyle name="40% - Accent4 8 3 2 2 2 2 2" xfId="45558" xr:uid="{00000000-0005-0000-0000-0000547F0000}"/>
    <cellStyle name="40% - Accent4 8 3 2 2 2 3" xfId="34257" xr:uid="{00000000-0005-0000-0000-0000557F0000}"/>
    <cellStyle name="40% - Accent4 8 3 2 2 3" xfId="17306" xr:uid="{00000000-0005-0000-0000-0000567F0000}"/>
    <cellStyle name="40% - Accent4 8 3 2 2 3 2" xfId="39908" xr:uid="{00000000-0005-0000-0000-0000577F0000}"/>
    <cellStyle name="40% - Accent4 8 3 2 2 4" xfId="28607" xr:uid="{00000000-0005-0000-0000-0000587F0000}"/>
    <cellStyle name="40% - Accent4 8 3 2 3" xfId="8823" xr:uid="{00000000-0005-0000-0000-0000597F0000}"/>
    <cellStyle name="40% - Accent4 8 3 2 3 2" xfId="20124" xr:uid="{00000000-0005-0000-0000-00005A7F0000}"/>
    <cellStyle name="40% - Accent4 8 3 2 3 2 2" xfId="42726" xr:uid="{00000000-0005-0000-0000-00005B7F0000}"/>
    <cellStyle name="40% - Accent4 8 3 2 3 3" xfId="31425" xr:uid="{00000000-0005-0000-0000-00005C7F0000}"/>
    <cellStyle name="40% - Accent4 8 3 2 4" xfId="14474" xr:uid="{00000000-0005-0000-0000-00005D7F0000}"/>
    <cellStyle name="40% - Accent4 8 3 2 4 2" xfId="37076" xr:uid="{00000000-0005-0000-0000-00005E7F0000}"/>
    <cellStyle name="40% - Accent4 8 3 2 5" xfId="25775" xr:uid="{00000000-0005-0000-0000-00005F7F0000}"/>
    <cellStyle name="40% - Accent4 8 3 3" xfId="4771" xr:uid="{00000000-0005-0000-0000-0000607F0000}"/>
    <cellStyle name="40% - Accent4 8 3 3 2" xfId="10421" xr:uid="{00000000-0005-0000-0000-0000617F0000}"/>
    <cellStyle name="40% - Accent4 8 3 3 2 2" xfId="21722" xr:uid="{00000000-0005-0000-0000-0000627F0000}"/>
    <cellStyle name="40% - Accent4 8 3 3 2 2 2" xfId="44324" xr:uid="{00000000-0005-0000-0000-0000637F0000}"/>
    <cellStyle name="40% - Accent4 8 3 3 2 3" xfId="33023" xr:uid="{00000000-0005-0000-0000-0000647F0000}"/>
    <cellStyle name="40% - Accent4 8 3 3 3" xfId="16072" xr:uid="{00000000-0005-0000-0000-0000657F0000}"/>
    <cellStyle name="40% - Accent4 8 3 3 3 2" xfId="38674" xr:uid="{00000000-0005-0000-0000-0000667F0000}"/>
    <cellStyle name="40% - Accent4 8 3 3 4" xfId="27373" xr:uid="{00000000-0005-0000-0000-0000677F0000}"/>
    <cellStyle name="40% - Accent4 8 3 4" xfId="6958" xr:uid="{00000000-0005-0000-0000-0000687F0000}"/>
    <cellStyle name="40% - Accent4 8 3 4 2" xfId="18259" xr:uid="{00000000-0005-0000-0000-0000697F0000}"/>
    <cellStyle name="40% - Accent4 8 3 4 2 2" xfId="40861" xr:uid="{00000000-0005-0000-0000-00006A7F0000}"/>
    <cellStyle name="40% - Accent4 8 3 4 3" xfId="29560" xr:uid="{00000000-0005-0000-0000-00006B7F0000}"/>
    <cellStyle name="40% - Accent4 8 3 5" xfId="12609" xr:uid="{00000000-0005-0000-0000-00006C7F0000}"/>
    <cellStyle name="40% - Accent4 8 3 5 2" xfId="35211" xr:uid="{00000000-0005-0000-0000-00006D7F0000}"/>
    <cellStyle name="40% - Accent4 8 3 6" xfId="23910" xr:uid="{00000000-0005-0000-0000-00006E7F0000}"/>
    <cellStyle name="40% - Accent4 8 4" xfId="1987" xr:uid="{00000000-0005-0000-0000-00006F7F0000}"/>
    <cellStyle name="40% - Accent4 8 4 2" xfId="3795" xr:uid="{00000000-0005-0000-0000-0000707F0000}"/>
    <cellStyle name="40% - Accent4 8 4 2 2" xfId="9505" xr:uid="{00000000-0005-0000-0000-0000717F0000}"/>
    <cellStyle name="40% - Accent4 8 4 2 2 2" xfId="20806" xr:uid="{00000000-0005-0000-0000-0000727F0000}"/>
    <cellStyle name="40% - Accent4 8 4 2 2 2 2" xfId="43408" xr:uid="{00000000-0005-0000-0000-0000737F0000}"/>
    <cellStyle name="40% - Accent4 8 4 2 2 3" xfId="32107" xr:uid="{00000000-0005-0000-0000-0000747F0000}"/>
    <cellStyle name="40% - Accent4 8 4 2 3" xfId="15156" xr:uid="{00000000-0005-0000-0000-0000757F0000}"/>
    <cellStyle name="40% - Accent4 8 4 2 3 2" xfId="37758" xr:uid="{00000000-0005-0000-0000-0000767F0000}"/>
    <cellStyle name="40% - Accent4 8 4 2 4" xfId="26457" xr:uid="{00000000-0005-0000-0000-0000777F0000}"/>
    <cellStyle name="40% - Accent4 8 4 3" xfId="5381" xr:uid="{00000000-0005-0000-0000-0000787F0000}"/>
    <cellStyle name="40% - Accent4 8 4 3 2" xfId="11031" xr:uid="{00000000-0005-0000-0000-0000797F0000}"/>
    <cellStyle name="40% - Accent4 8 4 3 2 2" xfId="22332" xr:uid="{00000000-0005-0000-0000-00007A7F0000}"/>
    <cellStyle name="40% - Accent4 8 4 3 2 2 2" xfId="44934" xr:uid="{00000000-0005-0000-0000-00007B7F0000}"/>
    <cellStyle name="40% - Accent4 8 4 3 2 3" xfId="33633" xr:uid="{00000000-0005-0000-0000-00007C7F0000}"/>
    <cellStyle name="40% - Accent4 8 4 3 3" xfId="16682" xr:uid="{00000000-0005-0000-0000-00007D7F0000}"/>
    <cellStyle name="40% - Accent4 8 4 3 3 2" xfId="39284" xr:uid="{00000000-0005-0000-0000-00007E7F0000}"/>
    <cellStyle name="40% - Accent4 8 4 3 4" xfId="27983" xr:uid="{00000000-0005-0000-0000-00007F7F0000}"/>
    <cellStyle name="40% - Accent4 8 4 4" xfId="7843" xr:uid="{00000000-0005-0000-0000-0000807F0000}"/>
    <cellStyle name="40% - Accent4 8 4 4 2" xfId="19144" xr:uid="{00000000-0005-0000-0000-0000817F0000}"/>
    <cellStyle name="40% - Accent4 8 4 4 2 2" xfId="41746" xr:uid="{00000000-0005-0000-0000-0000827F0000}"/>
    <cellStyle name="40% - Accent4 8 4 4 3" xfId="30445" xr:uid="{00000000-0005-0000-0000-0000837F0000}"/>
    <cellStyle name="40% - Accent4 8 4 5" xfId="13494" xr:uid="{00000000-0005-0000-0000-0000847F0000}"/>
    <cellStyle name="40% - Accent4 8 4 5 2" xfId="36096" xr:uid="{00000000-0005-0000-0000-0000857F0000}"/>
    <cellStyle name="40% - Accent4 8 4 6" xfId="24795" xr:uid="{00000000-0005-0000-0000-0000867F0000}"/>
    <cellStyle name="40% - Accent4 8 5" xfId="2362" xr:uid="{00000000-0005-0000-0000-0000877F0000}"/>
    <cellStyle name="40% - Accent4 8 5 2" xfId="8198" xr:uid="{00000000-0005-0000-0000-0000887F0000}"/>
    <cellStyle name="40% - Accent4 8 5 2 2" xfId="19499" xr:uid="{00000000-0005-0000-0000-0000897F0000}"/>
    <cellStyle name="40% - Accent4 8 5 2 2 2" xfId="42101" xr:uid="{00000000-0005-0000-0000-00008A7F0000}"/>
    <cellStyle name="40% - Accent4 8 5 2 3" xfId="30800" xr:uid="{00000000-0005-0000-0000-00008B7F0000}"/>
    <cellStyle name="40% - Accent4 8 5 3" xfId="13849" xr:uid="{00000000-0005-0000-0000-00008C7F0000}"/>
    <cellStyle name="40% - Accent4 8 5 3 2" xfId="36451" xr:uid="{00000000-0005-0000-0000-00008D7F0000}"/>
    <cellStyle name="40% - Accent4 8 5 4" xfId="25150" xr:uid="{00000000-0005-0000-0000-00008E7F0000}"/>
    <cellStyle name="40% - Accent4 8 6" xfId="4147" xr:uid="{00000000-0005-0000-0000-00008F7F0000}"/>
    <cellStyle name="40% - Accent4 8 6 2" xfId="9797" xr:uid="{00000000-0005-0000-0000-0000907F0000}"/>
    <cellStyle name="40% - Accent4 8 6 2 2" xfId="21098" xr:uid="{00000000-0005-0000-0000-0000917F0000}"/>
    <cellStyle name="40% - Accent4 8 6 2 2 2" xfId="43700" xr:uid="{00000000-0005-0000-0000-0000927F0000}"/>
    <cellStyle name="40% - Accent4 8 6 2 3" xfId="32399" xr:uid="{00000000-0005-0000-0000-0000937F0000}"/>
    <cellStyle name="40% - Accent4 8 6 3" xfId="15448" xr:uid="{00000000-0005-0000-0000-0000947F0000}"/>
    <cellStyle name="40% - Accent4 8 6 3 2" xfId="38050" xr:uid="{00000000-0005-0000-0000-0000957F0000}"/>
    <cellStyle name="40% - Accent4 8 6 4" xfId="26749" xr:uid="{00000000-0005-0000-0000-0000967F0000}"/>
    <cellStyle name="40% - Accent4 8 7" xfId="6598" xr:uid="{00000000-0005-0000-0000-0000977F0000}"/>
    <cellStyle name="40% - Accent4 8 7 2" xfId="17899" xr:uid="{00000000-0005-0000-0000-0000987F0000}"/>
    <cellStyle name="40% - Accent4 8 7 2 2" xfId="40501" xr:uid="{00000000-0005-0000-0000-0000997F0000}"/>
    <cellStyle name="40% - Accent4 8 7 3" xfId="29200" xr:uid="{00000000-0005-0000-0000-00009A7F0000}"/>
    <cellStyle name="40% - Accent4 8 8" xfId="12249" xr:uid="{00000000-0005-0000-0000-00009B7F0000}"/>
    <cellStyle name="40% - Accent4 8 8 2" xfId="34851" xr:uid="{00000000-0005-0000-0000-00009C7F0000}"/>
    <cellStyle name="40% - Accent4 8 9" xfId="23550" xr:uid="{00000000-0005-0000-0000-00009D7F0000}"/>
    <cellStyle name="40% - Accent4 9" xfId="703" xr:uid="{00000000-0005-0000-0000-00009E7F0000}"/>
    <cellStyle name="40% - Accent4 9 2" xfId="764" xr:uid="{00000000-0005-0000-0000-00009F7F0000}"/>
    <cellStyle name="40% - Accent4 9 2 2" xfId="3173" xr:uid="{00000000-0005-0000-0000-0000A07F0000}"/>
    <cellStyle name="40% - Accent4 9 2 2 2" xfId="6145" xr:uid="{00000000-0005-0000-0000-0000A17F0000}"/>
    <cellStyle name="40% - Accent4 9 2 2 2 2" xfId="11795" xr:uid="{00000000-0005-0000-0000-0000A27F0000}"/>
    <cellStyle name="40% - Accent4 9 2 2 2 2 2" xfId="23096" xr:uid="{00000000-0005-0000-0000-0000A37F0000}"/>
    <cellStyle name="40% - Accent4 9 2 2 2 2 2 2" xfId="45698" xr:uid="{00000000-0005-0000-0000-0000A47F0000}"/>
    <cellStyle name="40% - Accent4 9 2 2 2 2 3" xfId="34397" xr:uid="{00000000-0005-0000-0000-0000A57F0000}"/>
    <cellStyle name="40% - Accent4 9 2 2 2 3" xfId="17446" xr:uid="{00000000-0005-0000-0000-0000A67F0000}"/>
    <cellStyle name="40% - Accent4 9 2 2 2 3 2" xfId="40048" xr:uid="{00000000-0005-0000-0000-0000A77F0000}"/>
    <cellStyle name="40% - Accent4 9 2 2 2 4" xfId="28747" xr:uid="{00000000-0005-0000-0000-0000A87F0000}"/>
    <cellStyle name="40% - Accent4 9 2 2 3" xfId="8963" xr:uid="{00000000-0005-0000-0000-0000A97F0000}"/>
    <cellStyle name="40% - Accent4 9 2 2 3 2" xfId="20264" xr:uid="{00000000-0005-0000-0000-0000AA7F0000}"/>
    <cellStyle name="40% - Accent4 9 2 2 3 2 2" xfId="42866" xr:uid="{00000000-0005-0000-0000-0000AB7F0000}"/>
    <cellStyle name="40% - Accent4 9 2 2 3 3" xfId="31565" xr:uid="{00000000-0005-0000-0000-0000AC7F0000}"/>
    <cellStyle name="40% - Accent4 9 2 2 4" xfId="14614" xr:uid="{00000000-0005-0000-0000-0000AD7F0000}"/>
    <cellStyle name="40% - Accent4 9 2 2 4 2" xfId="37216" xr:uid="{00000000-0005-0000-0000-0000AE7F0000}"/>
    <cellStyle name="40% - Accent4 9 2 2 5" xfId="25915" xr:uid="{00000000-0005-0000-0000-0000AF7F0000}"/>
    <cellStyle name="40% - Accent4 9 2 3" xfId="4911" xr:uid="{00000000-0005-0000-0000-0000B07F0000}"/>
    <cellStyle name="40% - Accent4 9 2 3 2" xfId="10561" xr:uid="{00000000-0005-0000-0000-0000B17F0000}"/>
    <cellStyle name="40% - Accent4 9 2 3 2 2" xfId="21862" xr:uid="{00000000-0005-0000-0000-0000B27F0000}"/>
    <cellStyle name="40% - Accent4 9 2 3 2 2 2" xfId="44464" xr:uid="{00000000-0005-0000-0000-0000B37F0000}"/>
    <cellStyle name="40% - Accent4 9 2 3 2 3" xfId="33163" xr:uid="{00000000-0005-0000-0000-0000B47F0000}"/>
    <cellStyle name="40% - Accent4 9 2 3 3" xfId="16212" xr:uid="{00000000-0005-0000-0000-0000B57F0000}"/>
    <cellStyle name="40% - Accent4 9 2 3 3 2" xfId="38814" xr:uid="{00000000-0005-0000-0000-0000B67F0000}"/>
    <cellStyle name="40% - Accent4 9 2 3 4" xfId="27513" xr:uid="{00000000-0005-0000-0000-0000B77F0000}"/>
    <cellStyle name="40% - Accent4 9 2 4" xfId="6787" xr:uid="{00000000-0005-0000-0000-0000B87F0000}"/>
    <cellStyle name="40% - Accent4 9 2 4 2" xfId="18088" xr:uid="{00000000-0005-0000-0000-0000B97F0000}"/>
    <cellStyle name="40% - Accent4 9 2 4 2 2" xfId="40690" xr:uid="{00000000-0005-0000-0000-0000BA7F0000}"/>
    <cellStyle name="40% - Accent4 9 2 4 3" xfId="29389" xr:uid="{00000000-0005-0000-0000-0000BB7F0000}"/>
    <cellStyle name="40% - Accent4 9 2 5" xfId="12438" xr:uid="{00000000-0005-0000-0000-0000BC7F0000}"/>
    <cellStyle name="40% - Accent4 9 2 5 2" xfId="35040" xr:uid="{00000000-0005-0000-0000-0000BD7F0000}"/>
    <cellStyle name="40% - Accent4 9 2 6" xfId="23739" xr:uid="{00000000-0005-0000-0000-0000BE7F0000}"/>
    <cellStyle name="40% - Accent4 9 3" xfId="1989" xr:uid="{00000000-0005-0000-0000-0000BF7F0000}"/>
    <cellStyle name="40% - Accent4 9 3 2" xfId="3796" xr:uid="{00000000-0005-0000-0000-0000C07F0000}"/>
    <cellStyle name="40% - Accent4 9 3 2 2" xfId="9506" xr:uid="{00000000-0005-0000-0000-0000C17F0000}"/>
    <cellStyle name="40% - Accent4 9 3 2 2 2" xfId="20807" xr:uid="{00000000-0005-0000-0000-0000C27F0000}"/>
    <cellStyle name="40% - Accent4 9 3 2 2 2 2" xfId="43409" xr:uid="{00000000-0005-0000-0000-0000C37F0000}"/>
    <cellStyle name="40% - Accent4 9 3 2 2 3" xfId="32108" xr:uid="{00000000-0005-0000-0000-0000C47F0000}"/>
    <cellStyle name="40% - Accent4 9 3 2 3" xfId="15157" xr:uid="{00000000-0005-0000-0000-0000C57F0000}"/>
    <cellStyle name="40% - Accent4 9 3 2 3 2" xfId="37759" xr:uid="{00000000-0005-0000-0000-0000C67F0000}"/>
    <cellStyle name="40% - Accent4 9 3 2 4" xfId="26458" xr:uid="{00000000-0005-0000-0000-0000C77F0000}"/>
    <cellStyle name="40% - Accent4 9 3 3" xfId="5521" xr:uid="{00000000-0005-0000-0000-0000C87F0000}"/>
    <cellStyle name="40% - Accent4 9 3 3 2" xfId="11171" xr:uid="{00000000-0005-0000-0000-0000C97F0000}"/>
    <cellStyle name="40% - Accent4 9 3 3 2 2" xfId="22472" xr:uid="{00000000-0005-0000-0000-0000CA7F0000}"/>
    <cellStyle name="40% - Accent4 9 3 3 2 2 2" xfId="45074" xr:uid="{00000000-0005-0000-0000-0000CB7F0000}"/>
    <cellStyle name="40% - Accent4 9 3 3 2 3" xfId="33773" xr:uid="{00000000-0005-0000-0000-0000CC7F0000}"/>
    <cellStyle name="40% - Accent4 9 3 3 3" xfId="16822" xr:uid="{00000000-0005-0000-0000-0000CD7F0000}"/>
    <cellStyle name="40% - Accent4 9 3 3 3 2" xfId="39424" xr:uid="{00000000-0005-0000-0000-0000CE7F0000}"/>
    <cellStyle name="40% - Accent4 9 3 3 4" xfId="28123" xr:uid="{00000000-0005-0000-0000-0000CF7F0000}"/>
    <cellStyle name="40% - Accent4 9 3 4" xfId="7845" xr:uid="{00000000-0005-0000-0000-0000D07F0000}"/>
    <cellStyle name="40% - Accent4 9 3 4 2" xfId="19146" xr:uid="{00000000-0005-0000-0000-0000D17F0000}"/>
    <cellStyle name="40% - Accent4 9 3 4 2 2" xfId="41748" xr:uid="{00000000-0005-0000-0000-0000D27F0000}"/>
    <cellStyle name="40% - Accent4 9 3 4 3" xfId="30447" xr:uid="{00000000-0005-0000-0000-0000D37F0000}"/>
    <cellStyle name="40% - Accent4 9 3 5" xfId="13496" xr:uid="{00000000-0005-0000-0000-0000D47F0000}"/>
    <cellStyle name="40% - Accent4 9 3 5 2" xfId="36098" xr:uid="{00000000-0005-0000-0000-0000D57F0000}"/>
    <cellStyle name="40% - Accent4 9 3 6" xfId="24797" xr:uid="{00000000-0005-0000-0000-0000D67F0000}"/>
    <cellStyle name="40% - Accent4 9 4" xfId="2502" xr:uid="{00000000-0005-0000-0000-0000D77F0000}"/>
    <cellStyle name="40% - Accent4 9 4 2" xfId="8338" xr:uid="{00000000-0005-0000-0000-0000D87F0000}"/>
    <cellStyle name="40% - Accent4 9 4 2 2" xfId="19639" xr:uid="{00000000-0005-0000-0000-0000D97F0000}"/>
    <cellStyle name="40% - Accent4 9 4 2 2 2" xfId="42241" xr:uid="{00000000-0005-0000-0000-0000DA7F0000}"/>
    <cellStyle name="40% - Accent4 9 4 2 3" xfId="30940" xr:uid="{00000000-0005-0000-0000-0000DB7F0000}"/>
    <cellStyle name="40% - Accent4 9 4 3" xfId="13989" xr:uid="{00000000-0005-0000-0000-0000DC7F0000}"/>
    <cellStyle name="40% - Accent4 9 4 3 2" xfId="36591" xr:uid="{00000000-0005-0000-0000-0000DD7F0000}"/>
    <cellStyle name="40% - Accent4 9 4 4" xfId="25290" xr:uid="{00000000-0005-0000-0000-0000DE7F0000}"/>
    <cellStyle name="40% - Accent4 9 5" xfId="4287" xr:uid="{00000000-0005-0000-0000-0000DF7F0000}"/>
    <cellStyle name="40% - Accent4 9 5 2" xfId="9937" xr:uid="{00000000-0005-0000-0000-0000E07F0000}"/>
    <cellStyle name="40% - Accent4 9 5 2 2" xfId="21238" xr:uid="{00000000-0005-0000-0000-0000E17F0000}"/>
    <cellStyle name="40% - Accent4 9 5 2 2 2" xfId="43840" xr:uid="{00000000-0005-0000-0000-0000E27F0000}"/>
    <cellStyle name="40% - Accent4 9 5 2 3" xfId="32539" xr:uid="{00000000-0005-0000-0000-0000E37F0000}"/>
    <cellStyle name="40% - Accent4 9 5 3" xfId="15588" xr:uid="{00000000-0005-0000-0000-0000E47F0000}"/>
    <cellStyle name="40% - Accent4 9 5 3 2" xfId="38190" xr:uid="{00000000-0005-0000-0000-0000E57F0000}"/>
    <cellStyle name="40% - Accent4 9 5 4" xfId="26889" xr:uid="{00000000-0005-0000-0000-0000E67F0000}"/>
    <cellStyle name="40% - Accent4 9 6" xfId="6766" xr:uid="{00000000-0005-0000-0000-0000E77F0000}"/>
    <cellStyle name="40% - Accent4 9 6 2" xfId="18067" xr:uid="{00000000-0005-0000-0000-0000E87F0000}"/>
    <cellStyle name="40% - Accent4 9 6 2 2" xfId="40669" xr:uid="{00000000-0005-0000-0000-0000E97F0000}"/>
    <cellStyle name="40% - Accent4 9 6 3" xfId="29368" xr:uid="{00000000-0005-0000-0000-0000EA7F0000}"/>
    <cellStyle name="40% - Accent4 9 7" xfId="12417" xr:uid="{00000000-0005-0000-0000-0000EB7F0000}"/>
    <cellStyle name="40% - Accent4 9 7 2" xfId="35019" xr:uid="{00000000-0005-0000-0000-0000EC7F0000}"/>
    <cellStyle name="40% - Accent4 9 8" xfId="23718" xr:uid="{00000000-0005-0000-0000-0000ED7F0000}"/>
    <cellStyle name="40% - Accent5" xfId="36" builtinId="47" customBuiltin="1"/>
    <cellStyle name="40% - Accent5 10" xfId="1487" xr:uid="{00000000-0005-0000-0000-0000EF7F0000}"/>
    <cellStyle name="40% - Accent5 10 2" xfId="1990" xr:uid="{00000000-0005-0000-0000-0000F07F0000}"/>
    <cellStyle name="40% - Accent5 10 2 2" xfId="3476" xr:uid="{00000000-0005-0000-0000-0000F17F0000}"/>
    <cellStyle name="40% - Accent5 10 2 2 2" xfId="6448" xr:uid="{00000000-0005-0000-0000-0000F27F0000}"/>
    <cellStyle name="40% - Accent5 10 2 2 2 2" xfId="12098" xr:uid="{00000000-0005-0000-0000-0000F37F0000}"/>
    <cellStyle name="40% - Accent5 10 2 2 2 2 2" xfId="23399" xr:uid="{00000000-0005-0000-0000-0000F47F0000}"/>
    <cellStyle name="40% - Accent5 10 2 2 2 2 2 2" xfId="46001" xr:uid="{00000000-0005-0000-0000-0000F57F0000}"/>
    <cellStyle name="40% - Accent5 10 2 2 2 2 3" xfId="34700" xr:uid="{00000000-0005-0000-0000-0000F67F0000}"/>
    <cellStyle name="40% - Accent5 10 2 2 2 3" xfId="17749" xr:uid="{00000000-0005-0000-0000-0000F77F0000}"/>
    <cellStyle name="40% - Accent5 10 2 2 2 3 2" xfId="40351" xr:uid="{00000000-0005-0000-0000-0000F87F0000}"/>
    <cellStyle name="40% - Accent5 10 2 2 2 4" xfId="29050" xr:uid="{00000000-0005-0000-0000-0000F97F0000}"/>
    <cellStyle name="40% - Accent5 10 2 2 3" xfId="9266" xr:uid="{00000000-0005-0000-0000-0000FA7F0000}"/>
    <cellStyle name="40% - Accent5 10 2 2 3 2" xfId="20567" xr:uid="{00000000-0005-0000-0000-0000FB7F0000}"/>
    <cellStyle name="40% - Accent5 10 2 2 3 2 2" xfId="43169" xr:uid="{00000000-0005-0000-0000-0000FC7F0000}"/>
    <cellStyle name="40% - Accent5 10 2 2 3 3" xfId="31868" xr:uid="{00000000-0005-0000-0000-0000FD7F0000}"/>
    <cellStyle name="40% - Accent5 10 2 2 4" xfId="14917" xr:uid="{00000000-0005-0000-0000-0000FE7F0000}"/>
    <cellStyle name="40% - Accent5 10 2 2 4 2" xfId="37519" xr:uid="{00000000-0005-0000-0000-0000FF7F0000}"/>
    <cellStyle name="40% - Accent5 10 2 2 5" xfId="26218" xr:uid="{00000000-0005-0000-0000-000000800000}"/>
    <cellStyle name="40% - Accent5 10 2 3" xfId="5214" xr:uid="{00000000-0005-0000-0000-000001800000}"/>
    <cellStyle name="40% - Accent5 10 2 3 2" xfId="10864" xr:uid="{00000000-0005-0000-0000-000002800000}"/>
    <cellStyle name="40% - Accent5 10 2 3 2 2" xfId="22165" xr:uid="{00000000-0005-0000-0000-000003800000}"/>
    <cellStyle name="40% - Accent5 10 2 3 2 2 2" xfId="44767" xr:uid="{00000000-0005-0000-0000-000004800000}"/>
    <cellStyle name="40% - Accent5 10 2 3 2 3" xfId="33466" xr:uid="{00000000-0005-0000-0000-000005800000}"/>
    <cellStyle name="40% - Accent5 10 2 3 3" xfId="16515" xr:uid="{00000000-0005-0000-0000-000006800000}"/>
    <cellStyle name="40% - Accent5 10 2 3 3 2" xfId="39117" xr:uid="{00000000-0005-0000-0000-000007800000}"/>
    <cellStyle name="40% - Accent5 10 2 3 4" xfId="27816" xr:uid="{00000000-0005-0000-0000-000008800000}"/>
    <cellStyle name="40% - Accent5 10 2 4" xfId="7846" xr:uid="{00000000-0005-0000-0000-000009800000}"/>
    <cellStyle name="40% - Accent5 10 2 4 2" xfId="19147" xr:uid="{00000000-0005-0000-0000-00000A800000}"/>
    <cellStyle name="40% - Accent5 10 2 4 2 2" xfId="41749" xr:uid="{00000000-0005-0000-0000-00000B800000}"/>
    <cellStyle name="40% - Accent5 10 2 4 3" xfId="30448" xr:uid="{00000000-0005-0000-0000-00000C800000}"/>
    <cellStyle name="40% - Accent5 10 2 5" xfId="13497" xr:uid="{00000000-0005-0000-0000-00000D800000}"/>
    <cellStyle name="40% - Accent5 10 2 5 2" xfId="36099" xr:uid="{00000000-0005-0000-0000-00000E800000}"/>
    <cellStyle name="40% - Accent5 10 2 6" xfId="24798" xr:uid="{00000000-0005-0000-0000-00000F800000}"/>
    <cellStyle name="40% - Accent5 10 3" xfId="2807" xr:uid="{00000000-0005-0000-0000-000010800000}"/>
    <cellStyle name="40% - Accent5 10 3 2" xfId="5824" xr:uid="{00000000-0005-0000-0000-000011800000}"/>
    <cellStyle name="40% - Accent5 10 3 2 2" xfId="11474" xr:uid="{00000000-0005-0000-0000-000012800000}"/>
    <cellStyle name="40% - Accent5 10 3 2 2 2" xfId="22775" xr:uid="{00000000-0005-0000-0000-000013800000}"/>
    <cellStyle name="40% - Accent5 10 3 2 2 2 2" xfId="45377" xr:uid="{00000000-0005-0000-0000-000014800000}"/>
    <cellStyle name="40% - Accent5 10 3 2 2 3" xfId="34076" xr:uid="{00000000-0005-0000-0000-000015800000}"/>
    <cellStyle name="40% - Accent5 10 3 2 3" xfId="17125" xr:uid="{00000000-0005-0000-0000-000016800000}"/>
    <cellStyle name="40% - Accent5 10 3 2 3 2" xfId="39727" xr:uid="{00000000-0005-0000-0000-000017800000}"/>
    <cellStyle name="40% - Accent5 10 3 2 4" xfId="28426" xr:uid="{00000000-0005-0000-0000-000018800000}"/>
    <cellStyle name="40% - Accent5 10 3 3" xfId="8641" xr:uid="{00000000-0005-0000-0000-000019800000}"/>
    <cellStyle name="40% - Accent5 10 3 3 2" xfId="19942" xr:uid="{00000000-0005-0000-0000-00001A800000}"/>
    <cellStyle name="40% - Accent5 10 3 3 2 2" xfId="42544" xr:uid="{00000000-0005-0000-0000-00001B800000}"/>
    <cellStyle name="40% - Accent5 10 3 3 3" xfId="31243" xr:uid="{00000000-0005-0000-0000-00001C800000}"/>
    <cellStyle name="40% - Accent5 10 3 4" xfId="14292" xr:uid="{00000000-0005-0000-0000-00001D800000}"/>
    <cellStyle name="40% - Accent5 10 3 4 2" xfId="36894" xr:uid="{00000000-0005-0000-0000-00001E800000}"/>
    <cellStyle name="40% - Accent5 10 3 5" xfId="25593" xr:uid="{00000000-0005-0000-0000-00001F800000}"/>
    <cellStyle name="40% - Accent5 10 4" xfId="4590" xr:uid="{00000000-0005-0000-0000-000020800000}"/>
    <cellStyle name="40% - Accent5 10 4 2" xfId="10240" xr:uid="{00000000-0005-0000-0000-000021800000}"/>
    <cellStyle name="40% - Accent5 10 4 2 2" xfId="21541" xr:uid="{00000000-0005-0000-0000-000022800000}"/>
    <cellStyle name="40% - Accent5 10 4 2 2 2" xfId="44143" xr:uid="{00000000-0005-0000-0000-000023800000}"/>
    <cellStyle name="40% - Accent5 10 4 2 3" xfId="32842" xr:uid="{00000000-0005-0000-0000-000024800000}"/>
    <cellStyle name="40% - Accent5 10 4 3" xfId="15891" xr:uid="{00000000-0005-0000-0000-000025800000}"/>
    <cellStyle name="40% - Accent5 10 4 3 2" xfId="38493" xr:uid="{00000000-0005-0000-0000-000026800000}"/>
    <cellStyle name="40% - Accent5 10 4 4" xfId="27192" xr:uid="{00000000-0005-0000-0000-000027800000}"/>
    <cellStyle name="40% - Accent5 10 5" xfId="7390" xr:uid="{00000000-0005-0000-0000-000028800000}"/>
    <cellStyle name="40% - Accent5 10 5 2" xfId="18691" xr:uid="{00000000-0005-0000-0000-000029800000}"/>
    <cellStyle name="40% - Accent5 10 5 2 2" xfId="41293" xr:uid="{00000000-0005-0000-0000-00002A800000}"/>
    <cellStyle name="40% - Accent5 10 5 3" xfId="29992" xr:uid="{00000000-0005-0000-0000-00002B800000}"/>
    <cellStyle name="40% - Accent5 10 6" xfId="13041" xr:uid="{00000000-0005-0000-0000-00002C800000}"/>
    <cellStyle name="40% - Accent5 10 6 2" xfId="35643" xr:uid="{00000000-0005-0000-0000-00002D800000}"/>
    <cellStyle name="40% - Accent5 10 7" xfId="24342" xr:uid="{00000000-0005-0000-0000-00002E800000}"/>
    <cellStyle name="40% - Accent5 11" xfId="1475" xr:uid="{00000000-0005-0000-0000-00002F800000}"/>
    <cellStyle name="40% - Accent5 11 2" xfId="1991" xr:uid="{00000000-0005-0000-0000-000030800000}"/>
    <cellStyle name="40% - Accent5 11 2 2" xfId="3797" xr:uid="{00000000-0005-0000-0000-000031800000}"/>
    <cellStyle name="40% - Accent5 11 2 2 2" xfId="9507" xr:uid="{00000000-0005-0000-0000-000032800000}"/>
    <cellStyle name="40% - Accent5 11 2 2 2 2" xfId="20808" xr:uid="{00000000-0005-0000-0000-000033800000}"/>
    <cellStyle name="40% - Accent5 11 2 2 2 2 2" xfId="43410" xr:uid="{00000000-0005-0000-0000-000034800000}"/>
    <cellStyle name="40% - Accent5 11 2 2 2 3" xfId="32109" xr:uid="{00000000-0005-0000-0000-000035800000}"/>
    <cellStyle name="40% - Accent5 11 2 2 3" xfId="15158" xr:uid="{00000000-0005-0000-0000-000036800000}"/>
    <cellStyle name="40% - Accent5 11 2 2 3 2" xfId="37760" xr:uid="{00000000-0005-0000-0000-000037800000}"/>
    <cellStyle name="40% - Accent5 11 2 2 4" xfId="26459" xr:uid="{00000000-0005-0000-0000-000038800000}"/>
    <cellStyle name="40% - Accent5 11 2 3" xfId="7847" xr:uid="{00000000-0005-0000-0000-000039800000}"/>
    <cellStyle name="40% - Accent5 11 2 3 2" xfId="19148" xr:uid="{00000000-0005-0000-0000-00003A800000}"/>
    <cellStyle name="40% - Accent5 11 2 3 2 2" xfId="41750" xr:uid="{00000000-0005-0000-0000-00003B800000}"/>
    <cellStyle name="40% - Accent5 11 2 3 3" xfId="30449" xr:uid="{00000000-0005-0000-0000-00003C800000}"/>
    <cellStyle name="40% - Accent5 11 2 4" xfId="13498" xr:uid="{00000000-0005-0000-0000-00003D800000}"/>
    <cellStyle name="40% - Accent5 11 2 4 2" xfId="36100" xr:uid="{00000000-0005-0000-0000-00003E800000}"/>
    <cellStyle name="40% - Accent5 11 2 5" xfId="24799" xr:uid="{00000000-0005-0000-0000-00003F800000}"/>
    <cellStyle name="40% - Accent5 11 3" xfId="2186" xr:uid="{00000000-0005-0000-0000-000040800000}"/>
    <cellStyle name="40% - Accent5 11 3 2" xfId="8030" xr:uid="{00000000-0005-0000-0000-000041800000}"/>
    <cellStyle name="40% - Accent5 11 3 2 2" xfId="19331" xr:uid="{00000000-0005-0000-0000-000042800000}"/>
    <cellStyle name="40% - Accent5 11 3 2 2 2" xfId="41933" xr:uid="{00000000-0005-0000-0000-000043800000}"/>
    <cellStyle name="40% - Accent5 11 3 2 3" xfId="30632" xr:uid="{00000000-0005-0000-0000-000044800000}"/>
    <cellStyle name="40% - Accent5 11 3 3" xfId="13681" xr:uid="{00000000-0005-0000-0000-000045800000}"/>
    <cellStyle name="40% - Accent5 11 3 3 2" xfId="36283" xr:uid="{00000000-0005-0000-0000-000046800000}"/>
    <cellStyle name="40% - Accent5 11 3 4" xfId="24982" xr:uid="{00000000-0005-0000-0000-000047800000}"/>
    <cellStyle name="40% - Accent5 11 4" xfId="3982" xr:uid="{00000000-0005-0000-0000-000048800000}"/>
    <cellStyle name="40% - Accent5 11 4 2" xfId="9632" xr:uid="{00000000-0005-0000-0000-000049800000}"/>
    <cellStyle name="40% - Accent5 11 4 2 2" xfId="20933" xr:uid="{00000000-0005-0000-0000-00004A800000}"/>
    <cellStyle name="40% - Accent5 11 4 2 2 2" xfId="43535" xr:uid="{00000000-0005-0000-0000-00004B800000}"/>
    <cellStyle name="40% - Accent5 11 4 2 3" xfId="32234" xr:uid="{00000000-0005-0000-0000-00004C800000}"/>
    <cellStyle name="40% - Accent5 11 4 3" xfId="15283" xr:uid="{00000000-0005-0000-0000-00004D800000}"/>
    <cellStyle name="40% - Accent5 11 4 3 2" xfId="37885" xr:uid="{00000000-0005-0000-0000-00004E800000}"/>
    <cellStyle name="40% - Accent5 11 4 4" xfId="26584" xr:uid="{00000000-0005-0000-0000-00004F800000}"/>
    <cellStyle name="40% - Accent5 11 5" xfId="7387" xr:uid="{00000000-0005-0000-0000-000050800000}"/>
    <cellStyle name="40% - Accent5 11 5 2" xfId="18688" xr:uid="{00000000-0005-0000-0000-000051800000}"/>
    <cellStyle name="40% - Accent5 11 5 2 2" xfId="41290" xr:uid="{00000000-0005-0000-0000-000052800000}"/>
    <cellStyle name="40% - Accent5 11 5 3" xfId="29989" xr:uid="{00000000-0005-0000-0000-000053800000}"/>
    <cellStyle name="40% - Accent5 11 6" xfId="13038" xr:uid="{00000000-0005-0000-0000-000054800000}"/>
    <cellStyle name="40% - Accent5 11 6 2" xfId="35640" xr:uid="{00000000-0005-0000-0000-000055800000}"/>
    <cellStyle name="40% - Accent5 11 7" xfId="24339" xr:uid="{00000000-0005-0000-0000-000056800000}"/>
    <cellStyle name="40% - Accent5 12" xfId="832" xr:uid="{00000000-0005-0000-0000-000057800000}"/>
    <cellStyle name="40% - Accent5 12 2" xfId="3935" xr:uid="{00000000-0005-0000-0000-000058800000}"/>
    <cellStyle name="40% - Accent5 12 2 2" xfId="9612" xr:uid="{00000000-0005-0000-0000-000059800000}"/>
    <cellStyle name="40% - Accent5 12 2 2 2" xfId="20913" xr:uid="{00000000-0005-0000-0000-00005A800000}"/>
    <cellStyle name="40% - Accent5 12 2 2 2 2" xfId="43515" xr:uid="{00000000-0005-0000-0000-00005B800000}"/>
    <cellStyle name="40% - Accent5 12 2 2 3" xfId="32214" xr:uid="{00000000-0005-0000-0000-00005C800000}"/>
    <cellStyle name="40% - Accent5 12 2 3" xfId="15263" xr:uid="{00000000-0005-0000-0000-00005D800000}"/>
    <cellStyle name="40% - Accent5 12 2 3 2" xfId="37865" xr:uid="{00000000-0005-0000-0000-00005E800000}"/>
    <cellStyle name="40% - Accent5 12 2 4" xfId="26564" xr:uid="{00000000-0005-0000-0000-00005F800000}"/>
    <cellStyle name="40% - Accent5 13" xfId="3557" xr:uid="{00000000-0005-0000-0000-000060800000}"/>
    <cellStyle name="40% - Accent5 14" xfId="116" xr:uid="{00000000-0005-0000-0000-000061800000}"/>
    <cellStyle name="40% - Accent5 2" xfId="57" xr:uid="{00000000-0005-0000-0000-000062800000}"/>
    <cellStyle name="40% - Accent5 2 2" xfId="331" xr:uid="{00000000-0005-0000-0000-000063800000}"/>
    <cellStyle name="40% - Accent5 2 2 10" xfId="23449" xr:uid="{00000000-0005-0000-0000-000064800000}"/>
    <cellStyle name="40% - Accent5 2 2 2" xfId="599" xr:uid="{00000000-0005-0000-0000-000065800000}"/>
    <cellStyle name="40% - Accent5 2 2 2 2" xfId="1309" xr:uid="{00000000-0005-0000-0000-000066800000}"/>
    <cellStyle name="40% - Accent5 2 2 2 2 2" xfId="1994" xr:uid="{00000000-0005-0000-0000-000067800000}"/>
    <cellStyle name="40% - Accent5 2 2 2 2 2 2" xfId="3378" xr:uid="{00000000-0005-0000-0000-000068800000}"/>
    <cellStyle name="40% - Accent5 2 2 2 2 2 2 2" xfId="6350" xr:uid="{00000000-0005-0000-0000-000069800000}"/>
    <cellStyle name="40% - Accent5 2 2 2 2 2 2 2 2" xfId="12000" xr:uid="{00000000-0005-0000-0000-00006A800000}"/>
    <cellStyle name="40% - Accent5 2 2 2 2 2 2 2 2 2" xfId="23301" xr:uid="{00000000-0005-0000-0000-00006B800000}"/>
    <cellStyle name="40% - Accent5 2 2 2 2 2 2 2 2 2 2" xfId="45903" xr:uid="{00000000-0005-0000-0000-00006C800000}"/>
    <cellStyle name="40% - Accent5 2 2 2 2 2 2 2 2 3" xfId="34602" xr:uid="{00000000-0005-0000-0000-00006D800000}"/>
    <cellStyle name="40% - Accent5 2 2 2 2 2 2 2 3" xfId="17651" xr:uid="{00000000-0005-0000-0000-00006E800000}"/>
    <cellStyle name="40% - Accent5 2 2 2 2 2 2 2 3 2" xfId="40253" xr:uid="{00000000-0005-0000-0000-00006F800000}"/>
    <cellStyle name="40% - Accent5 2 2 2 2 2 2 2 4" xfId="28952" xr:uid="{00000000-0005-0000-0000-000070800000}"/>
    <cellStyle name="40% - Accent5 2 2 2 2 2 2 3" xfId="9168" xr:uid="{00000000-0005-0000-0000-000071800000}"/>
    <cellStyle name="40% - Accent5 2 2 2 2 2 2 3 2" xfId="20469" xr:uid="{00000000-0005-0000-0000-000072800000}"/>
    <cellStyle name="40% - Accent5 2 2 2 2 2 2 3 2 2" xfId="43071" xr:uid="{00000000-0005-0000-0000-000073800000}"/>
    <cellStyle name="40% - Accent5 2 2 2 2 2 2 3 3" xfId="31770" xr:uid="{00000000-0005-0000-0000-000074800000}"/>
    <cellStyle name="40% - Accent5 2 2 2 2 2 2 4" xfId="14819" xr:uid="{00000000-0005-0000-0000-000075800000}"/>
    <cellStyle name="40% - Accent5 2 2 2 2 2 2 4 2" xfId="37421" xr:uid="{00000000-0005-0000-0000-000076800000}"/>
    <cellStyle name="40% - Accent5 2 2 2 2 2 2 5" xfId="26120" xr:uid="{00000000-0005-0000-0000-000077800000}"/>
    <cellStyle name="40% - Accent5 2 2 2 2 2 3" xfId="5116" xr:uid="{00000000-0005-0000-0000-000078800000}"/>
    <cellStyle name="40% - Accent5 2 2 2 2 2 3 2" xfId="10766" xr:uid="{00000000-0005-0000-0000-000079800000}"/>
    <cellStyle name="40% - Accent5 2 2 2 2 2 3 2 2" xfId="22067" xr:uid="{00000000-0005-0000-0000-00007A800000}"/>
    <cellStyle name="40% - Accent5 2 2 2 2 2 3 2 2 2" xfId="44669" xr:uid="{00000000-0005-0000-0000-00007B800000}"/>
    <cellStyle name="40% - Accent5 2 2 2 2 2 3 2 3" xfId="33368" xr:uid="{00000000-0005-0000-0000-00007C800000}"/>
    <cellStyle name="40% - Accent5 2 2 2 2 2 3 3" xfId="16417" xr:uid="{00000000-0005-0000-0000-00007D800000}"/>
    <cellStyle name="40% - Accent5 2 2 2 2 2 3 3 2" xfId="39019" xr:uid="{00000000-0005-0000-0000-00007E800000}"/>
    <cellStyle name="40% - Accent5 2 2 2 2 2 3 4" xfId="27718" xr:uid="{00000000-0005-0000-0000-00007F800000}"/>
    <cellStyle name="40% - Accent5 2 2 2 2 2 4" xfId="7850" xr:uid="{00000000-0005-0000-0000-000080800000}"/>
    <cellStyle name="40% - Accent5 2 2 2 2 2 4 2" xfId="19151" xr:uid="{00000000-0005-0000-0000-000081800000}"/>
    <cellStyle name="40% - Accent5 2 2 2 2 2 4 2 2" xfId="41753" xr:uid="{00000000-0005-0000-0000-000082800000}"/>
    <cellStyle name="40% - Accent5 2 2 2 2 2 4 3" xfId="30452" xr:uid="{00000000-0005-0000-0000-000083800000}"/>
    <cellStyle name="40% - Accent5 2 2 2 2 2 5" xfId="13501" xr:uid="{00000000-0005-0000-0000-000084800000}"/>
    <cellStyle name="40% - Accent5 2 2 2 2 2 5 2" xfId="36103" xr:uid="{00000000-0005-0000-0000-000085800000}"/>
    <cellStyle name="40% - Accent5 2 2 2 2 2 6" xfId="24802" xr:uid="{00000000-0005-0000-0000-000086800000}"/>
    <cellStyle name="40% - Accent5 2 2 2 2 3" xfId="2707" xr:uid="{00000000-0005-0000-0000-000087800000}"/>
    <cellStyle name="40% - Accent5 2 2 2 2 3 2" xfId="5726" xr:uid="{00000000-0005-0000-0000-000088800000}"/>
    <cellStyle name="40% - Accent5 2 2 2 2 3 2 2" xfId="11376" xr:uid="{00000000-0005-0000-0000-000089800000}"/>
    <cellStyle name="40% - Accent5 2 2 2 2 3 2 2 2" xfId="22677" xr:uid="{00000000-0005-0000-0000-00008A800000}"/>
    <cellStyle name="40% - Accent5 2 2 2 2 3 2 2 2 2" xfId="45279" xr:uid="{00000000-0005-0000-0000-00008B800000}"/>
    <cellStyle name="40% - Accent5 2 2 2 2 3 2 2 3" xfId="33978" xr:uid="{00000000-0005-0000-0000-00008C800000}"/>
    <cellStyle name="40% - Accent5 2 2 2 2 3 2 3" xfId="17027" xr:uid="{00000000-0005-0000-0000-00008D800000}"/>
    <cellStyle name="40% - Accent5 2 2 2 2 3 2 3 2" xfId="39629" xr:uid="{00000000-0005-0000-0000-00008E800000}"/>
    <cellStyle name="40% - Accent5 2 2 2 2 3 2 4" xfId="28328" xr:uid="{00000000-0005-0000-0000-00008F800000}"/>
    <cellStyle name="40% - Accent5 2 2 2 2 3 3" xfId="8543" xr:uid="{00000000-0005-0000-0000-000090800000}"/>
    <cellStyle name="40% - Accent5 2 2 2 2 3 3 2" xfId="19844" xr:uid="{00000000-0005-0000-0000-000091800000}"/>
    <cellStyle name="40% - Accent5 2 2 2 2 3 3 2 2" xfId="42446" xr:uid="{00000000-0005-0000-0000-000092800000}"/>
    <cellStyle name="40% - Accent5 2 2 2 2 3 3 3" xfId="31145" xr:uid="{00000000-0005-0000-0000-000093800000}"/>
    <cellStyle name="40% - Accent5 2 2 2 2 3 4" xfId="14194" xr:uid="{00000000-0005-0000-0000-000094800000}"/>
    <cellStyle name="40% - Accent5 2 2 2 2 3 4 2" xfId="36796" xr:uid="{00000000-0005-0000-0000-000095800000}"/>
    <cellStyle name="40% - Accent5 2 2 2 2 3 5" xfId="25495" xr:uid="{00000000-0005-0000-0000-000096800000}"/>
    <cellStyle name="40% - Accent5 2 2 2 2 4" xfId="4492" xr:uid="{00000000-0005-0000-0000-000097800000}"/>
    <cellStyle name="40% - Accent5 2 2 2 2 4 2" xfId="10142" xr:uid="{00000000-0005-0000-0000-000098800000}"/>
    <cellStyle name="40% - Accent5 2 2 2 2 4 2 2" xfId="21443" xr:uid="{00000000-0005-0000-0000-000099800000}"/>
    <cellStyle name="40% - Accent5 2 2 2 2 4 2 2 2" xfId="44045" xr:uid="{00000000-0005-0000-0000-00009A800000}"/>
    <cellStyle name="40% - Accent5 2 2 2 2 4 2 3" xfId="32744" xr:uid="{00000000-0005-0000-0000-00009B800000}"/>
    <cellStyle name="40% - Accent5 2 2 2 2 4 3" xfId="15793" xr:uid="{00000000-0005-0000-0000-00009C800000}"/>
    <cellStyle name="40% - Accent5 2 2 2 2 4 3 2" xfId="38395" xr:uid="{00000000-0005-0000-0000-00009D800000}"/>
    <cellStyle name="40% - Accent5 2 2 2 2 4 4" xfId="27094" xr:uid="{00000000-0005-0000-0000-00009E800000}"/>
    <cellStyle name="40% - Accent5 2 2 2 2 5" xfId="7288" xr:uid="{00000000-0005-0000-0000-00009F800000}"/>
    <cellStyle name="40% - Accent5 2 2 2 2 5 2" xfId="18589" xr:uid="{00000000-0005-0000-0000-0000A0800000}"/>
    <cellStyle name="40% - Accent5 2 2 2 2 5 2 2" xfId="41191" xr:uid="{00000000-0005-0000-0000-0000A1800000}"/>
    <cellStyle name="40% - Accent5 2 2 2 2 5 3" xfId="29890" xr:uid="{00000000-0005-0000-0000-0000A2800000}"/>
    <cellStyle name="40% - Accent5 2 2 2 2 6" xfId="12939" xr:uid="{00000000-0005-0000-0000-0000A3800000}"/>
    <cellStyle name="40% - Accent5 2 2 2 2 6 2" xfId="35541" xr:uid="{00000000-0005-0000-0000-0000A4800000}"/>
    <cellStyle name="40% - Accent5 2 2 2 2 7" xfId="24240" xr:uid="{00000000-0005-0000-0000-0000A5800000}"/>
    <cellStyle name="40% - Accent5 2 2 2 3" xfId="1007" xr:uid="{00000000-0005-0000-0000-0000A6800000}"/>
    <cellStyle name="40% - Accent5 2 2 2 3 2" xfId="3070" xr:uid="{00000000-0005-0000-0000-0000A7800000}"/>
    <cellStyle name="40% - Accent5 2 2 2 3 2 2" xfId="6042" xr:uid="{00000000-0005-0000-0000-0000A8800000}"/>
    <cellStyle name="40% - Accent5 2 2 2 3 2 2 2" xfId="11692" xr:uid="{00000000-0005-0000-0000-0000A9800000}"/>
    <cellStyle name="40% - Accent5 2 2 2 3 2 2 2 2" xfId="22993" xr:uid="{00000000-0005-0000-0000-0000AA800000}"/>
    <cellStyle name="40% - Accent5 2 2 2 3 2 2 2 2 2" xfId="45595" xr:uid="{00000000-0005-0000-0000-0000AB800000}"/>
    <cellStyle name="40% - Accent5 2 2 2 3 2 2 2 3" xfId="34294" xr:uid="{00000000-0005-0000-0000-0000AC800000}"/>
    <cellStyle name="40% - Accent5 2 2 2 3 2 2 3" xfId="17343" xr:uid="{00000000-0005-0000-0000-0000AD800000}"/>
    <cellStyle name="40% - Accent5 2 2 2 3 2 2 3 2" xfId="39945" xr:uid="{00000000-0005-0000-0000-0000AE800000}"/>
    <cellStyle name="40% - Accent5 2 2 2 3 2 2 4" xfId="28644" xr:uid="{00000000-0005-0000-0000-0000AF800000}"/>
    <cellStyle name="40% - Accent5 2 2 2 3 2 3" xfId="8860" xr:uid="{00000000-0005-0000-0000-0000B0800000}"/>
    <cellStyle name="40% - Accent5 2 2 2 3 2 3 2" xfId="20161" xr:uid="{00000000-0005-0000-0000-0000B1800000}"/>
    <cellStyle name="40% - Accent5 2 2 2 3 2 3 2 2" xfId="42763" xr:uid="{00000000-0005-0000-0000-0000B2800000}"/>
    <cellStyle name="40% - Accent5 2 2 2 3 2 3 3" xfId="31462" xr:uid="{00000000-0005-0000-0000-0000B3800000}"/>
    <cellStyle name="40% - Accent5 2 2 2 3 2 4" xfId="14511" xr:uid="{00000000-0005-0000-0000-0000B4800000}"/>
    <cellStyle name="40% - Accent5 2 2 2 3 2 4 2" xfId="37113" xr:uid="{00000000-0005-0000-0000-0000B5800000}"/>
    <cellStyle name="40% - Accent5 2 2 2 3 2 5" xfId="25812" xr:uid="{00000000-0005-0000-0000-0000B6800000}"/>
    <cellStyle name="40% - Accent5 2 2 2 3 3" xfId="4808" xr:uid="{00000000-0005-0000-0000-0000B7800000}"/>
    <cellStyle name="40% - Accent5 2 2 2 3 3 2" xfId="10458" xr:uid="{00000000-0005-0000-0000-0000B8800000}"/>
    <cellStyle name="40% - Accent5 2 2 2 3 3 2 2" xfId="21759" xr:uid="{00000000-0005-0000-0000-0000B9800000}"/>
    <cellStyle name="40% - Accent5 2 2 2 3 3 2 2 2" xfId="44361" xr:uid="{00000000-0005-0000-0000-0000BA800000}"/>
    <cellStyle name="40% - Accent5 2 2 2 3 3 2 3" xfId="33060" xr:uid="{00000000-0005-0000-0000-0000BB800000}"/>
    <cellStyle name="40% - Accent5 2 2 2 3 3 3" xfId="16109" xr:uid="{00000000-0005-0000-0000-0000BC800000}"/>
    <cellStyle name="40% - Accent5 2 2 2 3 3 3 2" xfId="38711" xr:uid="{00000000-0005-0000-0000-0000BD800000}"/>
    <cellStyle name="40% - Accent5 2 2 2 3 3 4" xfId="27410" xr:uid="{00000000-0005-0000-0000-0000BE800000}"/>
    <cellStyle name="40% - Accent5 2 2 2 3 4" xfId="6995" xr:uid="{00000000-0005-0000-0000-0000BF800000}"/>
    <cellStyle name="40% - Accent5 2 2 2 3 4 2" xfId="18296" xr:uid="{00000000-0005-0000-0000-0000C0800000}"/>
    <cellStyle name="40% - Accent5 2 2 2 3 4 2 2" xfId="40898" xr:uid="{00000000-0005-0000-0000-0000C1800000}"/>
    <cellStyle name="40% - Accent5 2 2 2 3 4 3" xfId="29597" xr:uid="{00000000-0005-0000-0000-0000C2800000}"/>
    <cellStyle name="40% - Accent5 2 2 2 3 5" xfId="12646" xr:uid="{00000000-0005-0000-0000-0000C3800000}"/>
    <cellStyle name="40% - Accent5 2 2 2 3 5 2" xfId="35248" xr:uid="{00000000-0005-0000-0000-0000C4800000}"/>
    <cellStyle name="40% - Accent5 2 2 2 3 6" xfId="23947" xr:uid="{00000000-0005-0000-0000-0000C5800000}"/>
    <cellStyle name="40% - Accent5 2 2 2 4" xfId="1993" xr:uid="{00000000-0005-0000-0000-0000C6800000}"/>
    <cellStyle name="40% - Accent5 2 2 2 4 2" xfId="3799" xr:uid="{00000000-0005-0000-0000-0000C7800000}"/>
    <cellStyle name="40% - Accent5 2 2 2 4 2 2" xfId="9509" xr:uid="{00000000-0005-0000-0000-0000C8800000}"/>
    <cellStyle name="40% - Accent5 2 2 2 4 2 2 2" xfId="20810" xr:uid="{00000000-0005-0000-0000-0000C9800000}"/>
    <cellStyle name="40% - Accent5 2 2 2 4 2 2 2 2" xfId="43412" xr:uid="{00000000-0005-0000-0000-0000CA800000}"/>
    <cellStyle name="40% - Accent5 2 2 2 4 2 2 3" xfId="32111" xr:uid="{00000000-0005-0000-0000-0000CB800000}"/>
    <cellStyle name="40% - Accent5 2 2 2 4 2 3" xfId="15160" xr:uid="{00000000-0005-0000-0000-0000CC800000}"/>
    <cellStyle name="40% - Accent5 2 2 2 4 2 3 2" xfId="37762" xr:uid="{00000000-0005-0000-0000-0000CD800000}"/>
    <cellStyle name="40% - Accent5 2 2 2 4 2 4" xfId="26461" xr:uid="{00000000-0005-0000-0000-0000CE800000}"/>
    <cellStyle name="40% - Accent5 2 2 2 4 3" xfId="5418" xr:uid="{00000000-0005-0000-0000-0000CF800000}"/>
    <cellStyle name="40% - Accent5 2 2 2 4 3 2" xfId="11068" xr:uid="{00000000-0005-0000-0000-0000D0800000}"/>
    <cellStyle name="40% - Accent5 2 2 2 4 3 2 2" xfId="22369" xr:uid="{00000000-0005-0000-0000-0000D1800000}"/>
    <cellStyle name="40% - Accent5 2 2 2 4 3 2 2 2" xfId="44971" xr:uid="{00000000-0005-0000-0000-0000D2800000}"/>
    <cellStyle name="40% - Accent5 2 2 2 4 3 2 3" xfId="33670" xr:uid="{00000000-0005-0000-0000-0000D3800000}"/>
    <cellStyle name="40% - Accent5 2 2 2 4 3 3" xfId="16719" xr:uid="{00000000-0005-0000-0000-0000D4800000}"/>
    <cellStyle name="40% - Accent5 2 2 2 4 3 3 2" xfId="39321" xr:uid="{00000000-0005-0000-0000-0000D5800000}"/>
    <cellStyle name="40% - Accent5 2 2 2 4 3 4" xfId="28020" xr:uid="{00000000-0005-0000-0000-0000D6800000}"/>
    <cellStyle name="40% - Accent5 2 2 2 4 4" xfId="7849" xr:uid="{00000000-0005-0000-0000-0000D7800000}"/>
    <cellStyle name="40% - Accent5 2 2 2 4 4 2" xfId="19150" xr:uid="{00000000-0005-0000-0000-0000D8800000}"/>
    <cellStyle name="40% - Accent5 2 2 2 4 4 2 2" xfId="41752" xr:uid="{00000000-0005-0000-0000-0000D9800000}"/>
    <cellStyle name="40% - Accent5 2 2 2 4 4 3" xfId="30451" xr:uid="{00000000-0005-0000-0000-0000DA800000}"/>
    <cellStyle name="40% - Accent5 2 2 2 4 5" xfId="13500" xr:uid="{00000000-0005-0000-0000-0000DB800000}"/>
    <cellStyle name="40% - Accent5 2 2 2 4 5 2" xfId="36102" xr:uid="{00000000-0005-0000-0000-0000DC800000}"/>
    <cellStyle name="40% - Accent5 2 2 2 4 6" xfId="24801" xr:uid="{00000000-0005-0000-0000-0000DD800000}"/>
    <cellStyle name="40% - Accent5 2 2 2 5" xfId="2399" xr:uid="{00000000-0005-0000-0000-0000DE800000}"/>
    <cellStyle name="40% - Accent5 2 2 2 5 2" xfId="8235" xr:uid="{00000000-0005-0000-0000-0000DF800000}"/>
    <cellStyle name="40% - Accent5 2 2 2 5 2 2" xfId="19536" xr:uid="{00000000-0005-0000-0000-0000E0800000}"/>
    <cellStyle name="40% - Accent5 2 2 2 5 2 2 2" xfId="42138" xr:uid="{00000000-0005-0000-0000-0000E1800000}"/>
    <cellStyle name="40% - Accent5 2 2 2 5 2 3" xfId="30837" xr:uid="{00000000-0005-0000-0000-0000E2800000}"/>
    <cellStyle name="40% - Accent5 2 2 2 5 3" xfId="13886" xr:uid="{00000000-0005-0000-0000-0000E3800000}"/>
    <cellStyle name="40% - Accent5 2 2 2 5 3 2" xfId="36488" xr:uid="{00000000-0005-0000-0000-0000E4800000}"/>
    <cellStyle name="40% - Accent5 2 2 2 5 4" xfId="25187" xr:uid="{00000000-0005-0000-0000-0000E5800000}"/>
    <cellStyle name="40% - Accent5 2 2 2 6" xfId="4184" xr:uid="{00000000-0005-0000-0000-0000E6800000}"/>
    <cellStyle name="40% - Accent5 2 2 2 6 2" xfId="9834" xr:uid="{00000000-0005-0000-0000-0000E7800000}"/>
    <cellStyle name="40% - Accent5 2 2 2 6 2 2" xfId="21135" xr:uid="{00000000-0005-0000-0000-0000E8800000}"/>
    <cellStyle name="40% - Accent5 2 2 2 6 2 2 2" xfId="43737" xr:uid="{00000000-0005-0000-0000-0000E9800000}"/>
    <cellStyle name="40% - Accent5 2 2 2 6 2 3" xfId="32436" xr:uid="{00000000-0005-0000-0000-0000EA800000}"/>
    <cellStyle name="40% - Accent5 2 2 2 6 3" xfId="15485" xr:uid="{00000000-0005-0000-0000-0000EB800000}"/>
    <cellStyle name="40% - Accent5 2 2 2 6 3 2" xfId="38087" xr:uid="{00000000-0005-0000-0000-0000EC800000}"/>
    <cellStyle name="40% - Accent5 2 2 2 6 4" xfId="26786" xr:uid="{00000000-0005-0000-0000-0000ED800000}"/>
    <cellStyle name="40% - Accent5 2 2 2 7" xfId="6664" xr:uid="{00000000-0005-0000-0000-0000EE800000}"/>
    <cellStyle name="40% - Accent5 2 2 2 7 2" xfId="17965" xr:uid="{00000000-0005-0000-0000-0000EF800000}"/>
    <cellStyle name="40% - Accent5 2 2 2 7 2 2" xfId="40567" xr:uid="{00000000-0005-0000-0000-0000F0800000}"/>
    <cellStyle name="40% - Accent5 2 2 2 7 3" xfId="29266" xr:uid="{00000000-0005-0000-0000-0000F1800000}"/>
    <cellStyle name="40% - Accent5 2 2 2 8" xfId="12315" xr:uid="{00000000-0005-0000-0000-0000F2800000}"/>
    <cellStyle name="40% - Accent5 2 2 2 8 2" xfId="34917" xr:uid="{00000000-0005-0000-0000-0000F3800000}"/>
    <cellStyle name="40% - Accent5 2 2 2 9" xfId="23616" xr:uid="{00000000-0005-0000-0000-0000F4800000}"/>
    <cellStyle name="40% - Accent5 2 2 3" xfId="1171" xr:uid="{00000000-0005-0000-0000-0000F5800000}"/>
    <cellStyle name="40% - Accent5 2 2 3 2" xfId="1995" xr:uid="{00000000-0005-0000-0000-0000F6800000}"/>
    <cellStyle name="40% - Accent5 2 2 3 2 2" xfId="3239" xr:uid="{00000000-0005-0000-0000-0000F7800000}"/>
    <cellStyle name="40% - Accent5 2 2 3 2 2 2" xfId="6211" xr:uid="{00000000-0005-0000-0000-0000F8800000}"/>
    <cellStyle name="40% - Accent5 2 2 3 2 2 2 2" xfId="11861" xr:uid="{00000000-0005-0000-0000-0000F9800000}"/>
    <cellStyle name="40% - Accent5 2 2 3 2 2 2 2 2" xfId="23162" xr:uid="{00000000-0005-0000-0000-0000FA800000}"/>
    <cellStyle name="40% - Accent5 2 2 3 2 2 2 2 2 2" xfId="45764" xr:uid="{00000000-0005-0000-0000-0000FB800000}"/>
    <cellStyle name="40% - Accent5 2 2 3 2 2 2 2 3" xfId="34463" xr:uid="{00000000-0005-0000-0000-0000FC800000}"/>
    <cellStyle name="40% - Accent5 2 2 3 2 2 2 3" xfId="17512" xr:uid="{00000000-0005-0000-0000-0000FD800000}"/>
    <cellStyle name="40% - Accent5 2 2 3 2 2 2 3 2" xfId="40114" xr:uid="{00000000-0005-0000-0000-0000FE800000}"/>
    <cellStyle name="40% - Accent5 2 2 3 2 2 2 4" xfId="28813" xr:uid="{00000000-0005-0000-0000-0000FF800000}"/>
    <cellStyle name="40% - Accent5 2 2 3 2 2 3" xfId="9029" xr:uid="{00000000-0005-0000-0000-000000810000}"/>
    <cellStyle name="40% - Accent5 2 2 3 2 2 3 2" xfId="20330" xr:uid="{00000000-0005-0000-0000-000001810000}"/>
    <cellStyle name="40% - Accent5 2 2 3 2 2 3 2 2" xfId="42932" xr:uid="{00000000-0005-0000-0000-000002810000}"/>
    <cellStyle name="40% - Accent5 2 2 3 2 2 3 3" xfId="31631" xr:uid="{00000000-0005-0000-0000-000003810000}"/>
    <cellStyle name="40% - Accent5 2 2 3 2 2 4" xfId="14680" xr:uid="{00000000-0005-0000-0000-000004810000}"/>
    <cellStyle name="40% - Accent5 2 2 3 2 2 4 2" xfId="37282" xr:uid="{00000000-0005-0000-0000-000005810000}"/>
    <cellStyle name="40% - Accent5 2 2 3 2 2 5" xfId="25981" xr:uid="{00000000-0005-0000-0000-000006810000}"/>
    <cellStyle name="40% - Accent5 2 2 3 2 3" xfId="4977" xr:uid="{00000000-0005-0000-0000-000007810000}"/>
    <cellStyle name="40% - Accent5 2 2 3 2 3 2" xfId="10627" xr:uid="{00000000-0005-0000-0000-000008810000}"/>
    <cellStyle name="40% - Accent5 2 2 3 2 3 2 2" xfId="21928" xr:uid="{00000000-0005-0000-0000-000009810000}"/>
    <cellStyle name="40% - Accent5 2 2 3 2 3 2 2 2" xfId="44530" xr:uid="{00000000-0005-0000-0000-00000A810000}"/>
    <cellStyle name="40% - Accent5 2 2 3 2 3 2 3" xfId="33229" xr:uid="{00000000-0005-0000-0000-00000B810000}"/>
    <cellStyle name="40% - Accent5 2 2 3 2 3 3" xfId="16278" xr:uid="{00000000-0005-0000-0000-00000C810000}"/>
    <cellStyle name="40% - Accent5 2 2 3 2 3 3 2" xfId="38880" xr:uid="{00000000-0005-0000-0000-00000D810000}"/>
    <cellStyle name="40% - Accent5 2 2 3 2 3 4" xfId="27579" xr:uid="{00000000-0005-0000-0000-00000E810000}"/>
    <cellStyle name="40% - Accent5 2 2 3 2 4" xfId="7851" xr:uid="{00000000-0005-0000-0000-00000F810000}"/>
    <cellStyle name="40% - Accent5 2 2 3 2 4 2" xfId="19152" xr:uid="{00000000-0005-0000-0000-000010810000}"/>
    <cellStyle name="40% - Accent5 2 2 3 2 4 2 2" xfId="41754" xr:uid="{00000000-0005-0000-0000-000011810000}"/>
    <cellStyle name="40% - Accent5 2 2 3 2 4 3" xfId="30453" xr:uid="{00000000-0005-0000-0000-000012810000}"/>
    <cellStyle name="40% - Accent5 2 2 3 2 5" xfId="13502" xr:uid="{00000000-0005-0000-0000-000013810000}"/>
    <cellStyle name="40% - Accent5 2 2 3 2 5 2" xfId="36104" xr:uid="{00000000-0005-0000-0000-000014810000}"/>
    <cellStyle name="40% - Accent5 2 2 3 2 6" xfId="24803" xr:uid="{00000000-0005-0000-0000-000015810000}"/>
    <cellStyle name="40% - Accent5 2 2 3 3" xfId="2568" xr:uid="{00000000-0005-0000-0000-000016810000}"/>
    <cellStyle name="40% - Accent5 2 2 3 3 2" xfId="5587" xr:uid="{00000000-0005-0000-0000-000017810000}"/>
    <cellStyle name="40% - Accent5 2 2 3 3 2 2" xfId="11237" xr:uid="{00000000-0005-0000-0000-000018810000}"/>
    <cellStyle name="40% - Accent5 2 2 3 3 2 2 2" xfId="22538" xr:uid="{00000000-0005-0000-0000-000019810000}"/>
    <cellStyle name="40% - Accent5 2 2 3 3 2 2 2 2" xfId="45140" xr:uid="{00000000-0005-0000-0000-00001A810000}"/>
    <cellStyle name="40% - Accent5 2 2 3 3 2 2 3" xfId="33839" xr:uid="{00000000-0005-0000-0000-00001B810000}"/>
    <cellStyle name="40% - Accent5 2 2 3 3 2 3" xfId="16888" xr:uid="{00000000-0005-0000-0000-00001C810000}"/>
    <cellStyle name="40% - Accent5 2 2 3 3 2 3 2" xfId="39490" xr:uid="{00000000-0005-0000-0000-00001D810000}"/>
    <cellStyle name="40% - Accent5 2 2 3 3 2 4" xfId="28189" xr:uid="{00000000-0005-0000-0000-00001E810000}"/>
    <cellStyle name="40% - Accent5 2 2 3 3 3" xfId="8404" xr:uid="{00000000-0005-0000-0000-00001F810000}"/>
    <cellStyle name="40% - Accent5 2 2 3 3 3 2" xfId="19705" xr:uid="{00000000-0005-0000-0000-000020810000}"/>
    <cellStyle name="40% - Accent5 2 2 3 3 3 2 2" xfId="42307" xr:uid="{00000000-0005-0000-0000-000021810000}"/>
    <cellStyle name="40% - Accent5 2 2 3 3 3 3" xfId="31006" xr:uid="{00000000-0005-0000-0000-000022810000}"/>
    <cellStyle name="40% - Accent5 2 2 3 3 4" xfId="14055" xr:uid="{00000000-0005-0000-0000-000023810000}"/>
    <cellStyle name="40% - Accent5 2 2 3 3 4 2" xfId="36657" xr:uid="{00000000-0005-0000-0000-000024810000}"/>
    <cellStyle name="40% - Accent5 2 2 3 3 5" xfId="25356" xr:uid="{00000000-0005-0000-0000-000025810000}"/>
    <cellStyle name="40% - Accent5 2 2 3 4" xfId="4353" xr:uid="{00000000-0005-0000-0000-000026810000}"/>
    <cellStyle name="40% - Accent5 2 2 3 4 2" xfId="10003" xr:uid="{00000000-0005-0000-0000-000027810000}"/>
    <cellStyle name="40% - Accent5 2 2 3 4 2 2" xfId="21304" xr:uid="{00000000-0005-0000-0000-000028810000}"/>
    <cellStyle name="40% - Accent5 2 2 3 4 2 2 2" xfId="43906" xr:uid="{00000000-0005-0000-0000-000029810000}"/>
    <cellStyle name="40% - Accent5 2 2 3 4 2 3" xfId="32605" xr:uid="{00000000-0005-0000-0000-00002A810000}"/>
    <cellStyle name="40% - Accent5 2 2 3 4 3" xfId="15654" xr:uid="{00000000-0005-0000-0000-00002B810000}"/>
    <cellStyle name="40% - Accent5 2 2 3 4 3 2" xfId="38256" xr:uid="{00000000-0005-0000-0000-00002C810000}"/>
    <cellStyle name="40% - Accent5 2 2 3 4 4" xfId="26955" xr:uid="{00000000-0005-0000-0000-00002D810000}"/>
    <cellStyle name="40% - Accent5 2 2 3 5" xfId="7150" xr:uid="{00000000-0005-0000-0000-00002E810000}"/>
    <cellStyle name="40% - Accent5 2 2 3 5 2" xfId="18451" xr:uid="{00000000-0005-0000-0000-00002F810000}"/>
    <cellStyle name="40% - Accent5 2 2 3 5 2 2" xfId="41053" xr:uid="{00000000-0005-0000-0000-000030810000}"/>
    <cellStyle name="40% - Accent5 2 2 3 5 3" xfId="29752" xr:uid="{00000000-0005-0000-0000-000031810000}"/>
    <cellStyle name="40% - Accent5 2 2 3 6" xfId="12801" xr:uid="{00000000-0005-0000-0000-000032810000}"/>
    <cellStyle name="40% - Accent5 2 2 3 6 2" xfId="35403" xr:uid="{00000000-0005-0000-0000-000033810000}"/>
    <cellStyle name="40% - Accent5 2 2 3 7" xfId="24102" xr:uid="{00000000-0005-0000-0000-000034810000}"/>
    <cellStyle name="40% - Accent5 2 2 4" xfId="859" xr:uid="{00000000-0005-0000-0000-000035810000}"/>
    <cellStyle name="40% - Accent5 2 2 4 2" xfId="2932" xr:uid="{00000000-0005-0000-0000-000036810000}"/>
    <cellStyle name="40% - Accent5 2 2 4 2 2" xfId="5904" xr:uid="{00000000-0005-0000-0000-000037810000}"/>
    <cellStyle name="40% - Accent5 2 2 4 2 2 2" xfId="11554" xr:uid="{00000000-0005-0000-0000-000038810000}"/>
    <cellStyle name="40% - Accent5 2 2 4 2 2 2 2" xfId="22855" xr:uid="{00000000-0005-0000-0000-000039810000}"/>
    <cellStyle name="40% - Accent5 2 2 4 2 2 2 2 2" xfId="45457" xr:uid="{00000000-0005-0000-0000-00003A810000}"/>
    <cellStyle name="40% - Accent5 2 2 4 2 2 2 3" xfId="34156" xr:uid="{00000000-0005-0000-0000-00003B810000}"/>
    <cellStyle name="40% - Accent5 2 2 4 2 2 3" xfId="17205" xr:uid="{00000000-0005-0000-0000-00003C810000}"/>
    <cellStyle name="40% - Accent5 2 2 4 2 2 3 2" xfId="39807" xr:uid="{00000000-0005-0000-0000-00003D810000}"/>
    <cellStyle name="40% - Accent5 2 2 4 2 2 4" xfId="28506" xr:uid="{00000000-0005-0000-0000-00003E810000}"/>
    <cellStyle name="40% - Accent5 2 2 4 2 3" xfId="8722" xr:uid="{00000000-0005-0000-0000-00003F810000}"/>
    <cellStyle name="40% - Accent5 2 2 4 2 3 2" xfId="20023" xr:uid="{00000000-0005-0000-0000-000040810000}"/>
    <cellStyle name="40% - Accent5 2 2 4 2 3 2 2" xfId="42625" xr:uid="{00000000-0005-0000-0000-000041810000}"/>
    <cellStyle name="40% - Accent5 2 2 4 2 3 3" xfId="31324" xr:uid="{00000000-0005-0000-0000-000042810000}"/>
    <cellStyle name="40% - Accent5 2 2 4 2 4" xfId="14373" xr:uid="{00000000-0005-0000-0000-000043810000}"/>
    <cellStyle name="40% - Accent5 2 2 4 2 4 2" xfId="36975" xr:uid="{00000000-0005-0000-0000-000044810000}"/>
    <cellStyle name="40% - Accent5 2 2 4 2 5" xfId="25674" xr:uid="{00000000-0005-0000-0000-000045810000}"/>
    <cellStyle name="40% - Accent5 2 2 4 3" xfId="4670" xr:uid="{00000000-0005-0000-0000-000046810000}"/>
    <cellStyle name="40% - Accent5 2 2 4 3 2" xfId="10320" xr:uid="{00000000-0005-0000-0000-000047810000}"/>
    <cellStyle name="40% - Accent5 2 2 4 3 2 2" xfId="21621" xr:uid="{00000000-0005-0000-0000-000048810000}"/>
    <cellStyle name="40% - Accent5 2 2 4 3 2 2 2" xfId="44223" xr:uid="{00000000-0005-0000-0000-000049810000}"/>
    <cellStyle name="40% - Accent5 2 2 4 3 2 3" xfId="32922" xr:uid="{00000000-0005-0000-0000-00004A810000}"/>
    <cellStyle name="40% - Accent5 2 2 4 3 3" xfId="15971" xr:uid="{00000000-0005-0000-0000-00004B810000}"/>
    <cellStyle name="40% - Accent5 2 2 4 3 3 2" xfId="38573" xr:uid="{00000000-0005-0000-0000-00004C810000}"/>
    <cellStyle name="40% - Accent5 2 2 4 3 4" xfId="27272" xr:uid="{00000000-0005-0000-0000-00004D810000}"/>
    <cellStyle name="40% - Accent5 2 2 4 4" xfId="6857" xr:uid="{00000000-0005-0000-0000-00004E810000}"/>
    <cellStyle name="40% - Accent5 2 2 4 4 2" xfId="18158" xr:uid="{00000000-0005-0000-0000-00004F810000}"/>
    <cellStyle name="40% - Accent5 2 2 4 4 2 2" xfId="40760" xr:uid="{00000000-0005-0000-0000-000050810000}"/>
    <cellStyle name="40% - Accent5 2 2 4 4 3" xfId="29459" xr:uid="{00000000-0005-0000-0000-000051810000}"/>
    <cellStyle name="40% - Accent5 2 2 4 5" xfId="12508" xr:uid="{00000000-0005-0000-0000-000052810000}"/>
    <cellStyle name="40% - Accent5 2 2 4 5 2" xfId="35110" xr:uid="{00000000-0005-0000-0000-000053810000}"/>
    <cellStyle name="40% - Accent5 2 2 4 6" xfId="23809" xr:uid="{00000000-0005-0000-0000-000054810000}"/>
    <cellStyle name="40% - Accent5 2 2 5" xfId="1992" xr:uid="{00000000-0005-0000-0000-000055810000}"/>
    <cellStyle name="40% - Accent5 2 2 5 2" xfId="3798" xr:uid="{00000000-0005-0000-0000-000056810000}"/>
    <cellStyle name="40% - Accent5 2 2 5 2 2" xfId="9508" xr:uid="{00000000-0005-0000-0000-000057810000}"/>
    <cellStyle name="40% - Accent5 2 2 5 2 2 2" xfId="20809" xr:uid="{00000000-0005-0000-0000-000058810000}"/>
    <cellStyle name="40% - Accent5 2 2 5 2 2 2 2" xfId="43411" xr:uid="{00000000-0005-0000-0000-000059810000}"/>
    <cellStyle name="40% - Accent5 2 2 5 2 2 3" xfId="32110" xr:uid="{00000000-0005-0000-0000-00005A810000}"/>
    <cellStyle name="40% - Accent5 2 2 5 2 3" xfId="15159" xr:uid="{00000000-0005-0000-0000-00005B810000}"/>
    <cellStyle name="40% - Accent5 2 2 5 2 3 2" xfId="37761" xr:uid="{00000000-0005-0000-0000-00005C810000}"/>
    <cellStyle name="40% - Accent5 2 2 5 2 4" xfId="26460" xr:uid="{00000000-0005-0000-0000-00005D810000}"/>
    <cellStyle name="40% - Accent5 2 2 5 3" xfId="5280" xr:uid="{00000000-0005-0000-0000-00005E810000}"/>
    <cellStyle name="40% - Accent5 2 2 5 3 2" xfId="10930" xr:uid="{00000000-0005-0000-0000-00005F810000}"/>
    <cellStyle name="40% - Accent5 2 2 5 3 2 2" xfId="22231" xr:uid="{00000000-0005-0000-0000-000060810000}"/>
    <cellStyle name="40% - Accent5 2 2 5 3 2 2 2" xfId="44833" xr:uid="{00000000-0005-0000-0000-000061810000}"/>
    <cellStyle name="40% - Accent5 2 2 5 3 2 3" xfId="33532" xr:uid="{00000000-0005-0000-0000-000062810000}"/>
    <cellStyle name="40% - Accent5 2 2 5 3 3" xfId="16581" xr:uid="{00000000-0005-0000-0000-000063810000}"/>
    <cellStyle name="40% - Accent5 2 2 5 3 3 2" xfId="39183" xr:uid="{00000000-0005-0000-0000-000064810000}"/>
    <cellStyle name="40% - Accent5 2 2 5 3 4" xfId="27882" xr:uid="{00000000-0005-0000-0000-000065810000}"/>
    <cellStyle name="40% - Accent5 2 2 5 4" xfId="7848" xr:uid="{00000000-0005-0000-0000-000066810000}"/>
    <cellStyle name="40% - Accent5 2 2 5 4 2" xfId="19149" xr:uid="{00000000-0005-0000-0000-000067810000}"/>
    <cellStyle name="40% - Accent5 2 2 5 4 2 2" xfId="41751" xr:uid="{00000000-0005-0000-0000-000068810000}"/>
    <cellStyle name="40% - Accent5 2 2 5 4 3" xfId="30450" xr:uid="{00000000-0005-0000-0000-000069810000}"/>
    <cellStyle name="40% - Accent5 2 2 5 5" xfId="13499" xr:uid="{00000000-0005-0000-0000-00006A810000}"/>
    <cellStyle name="40% - Accent5 2 2 5 5 2" xfId="36101" xr:uid="{00000000-0005-0000-0000-00006B810000}"/>
    <cellStyle name="40% - Accent5 2 2 5 6" xfId="24800" xr:uid="{00000000-0005-0000-0000-00006C810000}"/>
    <cellStyle name="40% - Accent5 2 2 6" xfId="2257" xr:uid="{00000000-0005-0000-0000-00006D810000}"/>
    <cellStyle name="40% - Accent5 2 2 6 2" xfId="8094" xr:uid="{00000000-0005-0000-0000-00006E810000}"/>
    <cellStyle name="40% - Accent5 2 2 6 2 2" xfId="19395" xr:uid="{00000000-0005-0000-0000-00006F810000}"/>
    <cellStyle name="40% - Accent5 2 2 6 2 2 2" xfId="41997" xr:uid="{00000000-0005-0000-0000-000070810000}"/>
    <cellStyle name="40% - Accent5 2 2 6 2 3" xfId="30696" xr:uid="{00000000-0005-0000-0000-000071810000}"/>
    <cellStyle name="40% - Accent5 2 2 6 3" xfId="13745" xr:uid="{00000000-0005-0000-0000-000072810000}"/>
    <cellStyle name="40% - Accent5 2 2 6 3 2" xfId="36347" xr:uid="{00000000-0005-0000-0000-000073810000}"/>
    <cellStyle name="40% - Accent5 2 2 6 4" xfId="25046" xr:uid="{00000000-0005-0000-0000-000074810000}"/>
    <cellStyle name="40% - Accent5 2 2 7" xfId="4046" xr:uid="{00000000-0005-0000-0000-000075810000}"/>
    <cellStyle name="40% - Accent5 2 2 7 2" xfId="9696" xr:uid="{00000000-0005-0000-0000-000076810000}"/>
    <cellStyle name="40% - Accent5 2 2 7 2 2" xfId="20997" xr:uid="{00000000-0005-0000-0000-000077810000}"/>
    <cellStyle name="40% - Accent5 2 2 7 2 2 2" xfId="43599" xr:uid="{00000000-0005-0000-0000-000078810000}"/>
    <cellStyle name="40% - Accent5 2 2 7 2 3" xfId="32298" xr:uid="{00000000-0005-0000-0000-000079810000}"/>
    <cellStyle name="40% - Accent5 2 2 7 3" xfId="15347" xr:uid="{00000000-0005-0000-0000-00007A810000}"/>
    <cellStyle name="40% - Accent5 2 2 7 3 2" xfId="37949" xr:uid="{00000000-0005-0000-0000-00007B810000}"/>
    <cellStyle name="40% - Accent5 2 2 7 4" xfId="26648" xr:uid="{00000000-0005-0000-0000-00007C810000}"/>
    <cellStyle name="40% - Accent5 2 2 8" xfId="6497" xr:uid="{00000000-0005-0000-0000-00007D810000}"/>
    <cellStyle name="40% - Accent5 2 2 8 2" xfId="17798" xr:uid="{00000000-0005-0000-0000-00007E810000}"/>
    <cellStyle name="40% - Accent5 2 2 8 2 2" xfId="40400" xr:uid="{00000000-0005-0000-0000-00007F810000}"/>
    <cellStyle name="40% - Accent5 2 2 8 3" xfId="29099" xr:uid="{00000000-0005-0000-0000-000080810000}"/>
    <cellStyle name="40% - Accent5 2 2 9" xfId="12148" xr:uid="{00000000-0005-0000-0000-000081810000}"/>
    <cellStyle name="40% - Accent5 2 2 9 2" xfId="34750" xr:uid="{00000000-0005-0000-0000-000082810000}"/>
    <cellStyle name="40% - Accent5 2 3" xfId="2823" xr:uid="{00000000-0005-0000-0000-000083810000}"/>
    <cellStyle name="40% - Accent5 2 3 2" xfId="3567" xr:uid="{00000000-0005-0000-0000-000084810000}"/>
    <cellStyle name="40% - Accent5 2 3 2 2" xfId="5838" xr:uid="{00000000-0005-0000-0000-000085810000}"/>
    <cellStyle name="40% - Accent5 2 3 2 2 2" xfId="11488" xr:uid="{00000000-0005-0000-0000-000086810000}"/>
    <cellStyle name="40% - Accent5 2 3 2 2 2 2" xfId="22789" xr:uid="{00000000-0005-0000-0000-000087810000}"/>
    <cellStyle name="40% - Accent5 2 3 2 2 2 2 2" xfId="45391" xr:uid="{00000000-0005-0000-0000-000088810000}"/>
    <cellStyle name="40% - Accent5 2 3 2 2 2 3" xfId="34090" xr:uid="{00000000-0005-0000-0000-000089810000}"/>
    <cellStyle name="40% - Accent5 2 3 2 2 3" xfId="17139" xr:uid="{00000000-0005-0000-0000-00008A810000}"/>
    <cellStyle name="40% - Accent5 2 3 2 2 3 2" xfId="39741" xr:uid="{00000000-0005-0000-0000-00008B810000}"/>
    <cellStyle name="40% - Accent5 2 3 2 2 4" xfId="28440" xr:uid="{00000000-0005-0000-0000-00008C810000}"/>
    <cellStyle name="40% - Accent5 2 3 2 3" xfId="9300" xr:uid="{00000000-0005-0000-0000-00008D810000}"/>
    <cellStyle name="40% - Accent5 2 3 2 3 2" xfId="20601" xr:uid="{00000000-0005-0000-0000-00008E810000}"/>
    <cellStyle name="40% - Accent5 2 3 2 3 2 2" xfId="43203" xr:uid="{00000000-0005-0000-0000-00008F810000}"/>
    <cellStyle name="40% - Accent5 2 3 2 3 3" xfId="31902" xr:uid="{00000000-0005-0000-0000-000090810000}"/>
    <cellStyle name="40% - Accent5 2 3 2 4" xfId="14951" xr:uid="{00000000-0005-0000-0000-000091810000}"/>
    <cellStyle name="40% - Accent5 2 3 2 4 2" xfId="37553" xr:uid="{00000000-0005-0000-0000-000092810000}"/>
    <cellStyle name="40% - Accent5 2 3 2 5" xfId="26252" xr:uid="{00000000-0005-0000-0000-000093810000}"/>
    <cellStyle name="40% - Accent5 2 3 3" xfId="4604" xr:uid="{00000000-0005-0000-0000-000094810000}"/>
    <cellStyle name="40% - Accent5 2 3 3 2" xfId="10254" xr:uid="{00000000-0005-0000-0000-000095810000}"/>
    <cellStyle name="40% - Accent5 2 3 3 2 2" xfId="21555" xr:uid="{00000000-0005-0000-0000-000096810000}"/>
    <cellStyle name="40% - Accent5 2 3 3 2 2 2" xfId="44157" xr:uid="{00000000-0005-0000-0000-000097810000}"/>
    <cellStyle name="40% - Accent5 2 3 3 2 3" xfId="32856" xr:uid="{00000000-0005-0000-0000-000098810000}"/>
    <cellStyle name="40% - Accent5 2 3 3 3" xfId="15905" xr:uid="{00000000-0005-0000-0000-000099810000}"/>
    <cellStyle name="40% - Accent5 2 3 3 3 2" xfId="38507" xr:uid="{00000000-0005-0000-0000-00009A810000}"/>
    <cellStyle name="40% - Accent5 2 3 3 4" xfId="27206" xr:uid="{00000000-0005-0000-0000-00009B810000}"/>
    <cellStyle name="40% - Accent5 2 3 4" xfId="8656" xr:uid="{00000000-0005-0000-0000-00009C810000}"/>
    <cellStyle name="40% - Accent5 2 3 4 2" xfId="19957" xr:uid="{00000000-0005-0000-0000-00009D810000}"/>
    <cellStyle name="40% - Accent5 2 3 4 2 2" xfId="42559" xr:uid="{00000000-0005-0000-0000-00009E810000}"/>
    <cellStyle name="40% - Accent5 2 3 4 3" xfId="31258" xr:uid="{00000000-0005-0000-0000-00009F810000}"/>
    <cellStyle name="40% - Accent5 2 3 5" xfId="14307" xr:uid="{00000000-0005-0000-0000-0000A0810000}"/>
    <cellStyle name="40% - Accent5 2 3 5 2" xfId="36909" xr:uid="{00000000-0005-0000-0000-0000A1810000}"/>
    <cellStyle name="40% - Accent5 2 3 6" xfId="25608" xr:uid="{00000000-0005-0000-0000-0000A2810000}"/>
    <cellStyle name="40% - Accent5 2 4" xfId="2832" xr:uid="{00000000-0005-0000-0000-0000A3810000}"/>
    <cellStyle name="40% - Accent5 2 5" xfId="3916" xr:uid="{00000000-0005-0000-0000-0000A4810000}"/>
    <cellStyle name="40% - Accent5 2 5 2" xfId="9609" xr:uid="{00000000-0005-0000-0000-0000A5810000}"/>
    <cellStyle name="40% - Accent5 2 5 2 2" xfId="20910" xr:uid="{00000000-0005-0000-0000-0000A6810000}"/>
    <cellStyle name="40% - Accent5 2 5 2 2 2" xfId="43512" xr:uid="{00000000-0005-0000-0000-0000A7810000}"/>
    <cellStyle name="40% - Accent5 2 5 2 3" xfId="32211" xr:uid="{00000000-0005-0000-0000-0000A8810000}"/>
    <cellStyle name="40% - Accent5 2 5 3" xfId="15260" xr:uid="{00000000-0005-0000-0000-0000A9810000}"/>
    <cellStyle name="40% - Accent5 2 5 3 2" xfId="37862" xr:uid="{00000000-0005-0000-0000-0000AA810000}"/>
    <cellStyle name="40% - Accent5 2 5 4" xfId="26561" xr:uid="{00000000-0005-0000-0000-0000AB810000}"/>
    <cellStyle name="40% - Accent5 2 6" xfId="3909" xr:uid="{00000000-0005-0000-0000-0000AC810000}"/>
    <cellStyle name="40% - Accent5 2 7" xfId="152" xr:uid="{00000000-0005-0000-0000-0000AD810000}"/>
    <cellStyle name="40% - Accent5 3" xfId="227" xr:uid="{00000000-0005-0000-0000-0000AE810000}"/>
    <cellStyle name="40% - Accent5 3 2" xfId="352" xr:uid="{00000000-0005-0000-0000-0000AF810000}"/>
    <cellStyle name="40% - Accent5 3 2 10" xfId="23462" xr:uid="{00000000-0005-0000-0000-0000B0810000}"/>
    <cellStyle name="40% - Accent5 3 2 2" xfId="612" xr:uid="{00000000-0005-0000-0000-0000B1810000}"/>
    <cellStyle name="40% - Accent5 3 2 2 2" xfId="1322" xr:uid="{00000000-0005-0000-0000-0000B2810000}"/>
    <cellStyle name="40% - Accent5 3 2 2 2 2" xfId="1998" xr:uid="{00000000-0005-0000-0000-0000B3810000}"/>
    <cellStyle name="40% - Accent5 3 2 2 2 2 2" xfId="3391" xr:uid="{00000000-0005-0000-0000-0000B4810000}"/>
    <cellStyle name="40% - Accent5 3 2 2 2 2 2 2" xfId="6363" xr:uid="{00000000-0005-0000-0000-0000B5810000}"/>
    <cellStyle name="40% - Accent5 3 2 2 2 2 2 2 2" xfId="12013" xr:uid="{00000000-0005-0000-0000-0000B6810000}"/>
    <cellStyle name="40% - Accent5 3 2 2 2 2 2 2 2 2" xfId="23314" xr:uid="{00000000-0005-0000-0000-0000B7810000}"/>
    <cellStyle name="40% - Accent5 3 2 2 2 2 2 2 2 2 2" xfId="45916" xr:uid="{00000000-0005-0000-0000-0000B8810000}"/>
    <cellStyle name="40% - Accent5 3 2 2 2 2 2 2 2 3" xfId="34615" xr:uid="{00000000-0005-0000-0000-0000B9810000}"/>
    <cellStyle name="40% - Accent5 3 2 2 2 2 2 2 3" xfId="17664" xr:uid="{00000000-0005-0000-0000-0000BA810000}"/>
    <cellStyle name="40% - Accent5 3 2 2 2 2 2 2 3 2" xfId="40266" xr:uid="{00000000-0005-0000-0000-0000BB810000}"/>
    <cellStyle name="40% - Accent5 3 2 2 2 2 2 2 4" xfId="28965" xr:uid="{00000000-0005-0000-0000-0000BC810000}"/>
    <cellStyle name="40% - Accent5 3 2 2 2 2 2 3" xfId="9181" xr:uid="{00000000-0005-0000-0000-0000BD810000}"/>
    <cellStyle name="40% - Accent5 3 2 2 2 2 2 3 2" xfId="20482" xr:uid="{00000000-0005-0000-0000-0000BE810000}"/>
    <cellStyle name="40% - Accent5 3 2 2 2 2 2 3 2 2" xfId="43084" xr:uid="{00000000-0005-0000-0000-0000BF810000}"/>
    <cellStyle name="40% - Accent5 3 2 2 2 2 2 3 3" xfId="31783" xr:uid="{00000000-0005-0000-0000-0000C0810000}"/>
    <cellStyle name="40% - Accent5 3 2 2 2 2 2 4" xfId="14832" xr:uid="{00000000-0005-0000-0000-0000C1810000}"/>
    <cellStyle name="40% - Accent5 3 2 2 2 2 2 4 2" xfId="37434" xr:uid="{00000000-0005-0000-0000-0000C2810000}"/>
    <cellStyle name="40% - Accent5 3 2 2 2 2 2 5" xfId="26133" xr:uid="{00000000-0005-0000-0000-0000C3810000}"/>
    <cellStyle name="40% - Accent5 3 2 2 2 2 3" xfId="5129" xr:uid="{00000000-0005-0000-0000-0000C4810000}"/>
    <cellStyle name="40% - Accent5 3 2 2 2 2 3 2" xfId="10779" xr:uid="{00000000-0005-0000-0000-0000C5810000}"/>
    <cellStyle name="40% - Accent5 3 2 2 2 2 3 2 2" xfId="22080" xr:uid="{00000000-0005-0000-0000-0000C6810000}"/>
    <cellStyle name="40% - Accent5 3 2 2 2 2 3 2 2 2" xfId="44682" xr:uid="{00000000-0005-0000-0000-0000C7810000}"/>
    <cellStyle name="40% - Accent5 3 2 2 2 2 3 2 3" xfId="33381" xr:uid="{00000000-0005-0000-0000-0000C8810000}"/>
    <cellStyle name="40% - Accent5 3 2 2 2 2 3 3" xfId="16430" xr:uid="{00000000-0005-0000-0000-0000C9810000}"/>
    <cellStyle name="40% - Accent5 3 2 2 2 2 3 3 2" xfId="39032" xr:uid="{00000000-0005-0000-0000-0000CA810000}"/>
    <cellStyle name="40% - Accent5 3 2 2 2 2 3 4" xfId="27731" xr:uid="{00000000-0005-0000-0000-0000CB810000}"/>
    <cellStyle name="40% - Accent5 3 2 2 2 2 4" xfId="7854" xr:uid="{00000000-0005-0000-0000-0000CC810000}"/>
    <cellStyle name="40% - Accent5 3 2 2 2 2 4 2" xfId="19155" xr:uid="{00000000-0005-0000-0000-0000CD810000}"/>
    <cellStyle name="40% - Accent5 3 2 2 2 2 4 2 2" xfId="41757" xr:uid="{00000000-0005-0000-0000-0000CE810000}"/>
    <cellStyle name="40% - Accent5 3 2 2 2 2 4 3" xfId="30456" xr:uid="{00000000-0005-0000-0000-0000CF810000}"/>
    <cellStyle name="40% - Accent5 3 2 2 2 2 5" xfId="13505" xr:uid="{00000000-0005-0000-0000-0000D0810000}"/>
    <cellStyle name="40% - Accent5 3 2 2 2 2 5 2" xfId="36107" xr:uid="{00000000-0005-0000-0000-0000D1810000}"/>
    <cellStyle name="40% - Accent5 3 2 2 2 2 6" xfId="24806" xr:uid="{00000000-0005-0000-0000-0000D2810000}"/>
    <cellStyle name="40% - Accent5 3 2 2 2 3" xfId="2720" xr:uid="{00000000-0005-0000-0000-0000D3810000}"/>
    <cellStyle name="40% - Accent5 3 2 2 2 3 2" xfId="5739" xr:uid="{00000000-0005-0000-0000-0000D4810000}"/>
    <cellStyle name="40% - Accent5 3 2 2 2 3 2 2" xfId="11389" xr:uid="{00000000-0005-0000-0000-0000D5810000}"/>
    <cellStyle name="40% - Accent5 3 2 2 2 3 2 2 2" xfId="22690" xr:uid="{00000000-0005-0000-0000-0000D6810000}"/>
    <cellStyle name="40% - Accent5 3 2 2 2 3 2 2 2 2" xfId="45292" xr:uid="{00000000-0005-0000-0000-0000D7810000}"/>
    <cellStyle name="40% - Accent5 3 2 2 2 3 2 2 3" xfId="33991" xr:uid="{00000000-0005-0000-0000-0000D8810000}"/>
    <cellStyle name="40% - Accent5 3 2 2 2 3 2 3" xfId="17040" xr:uid="{00000000-0005-0000-0000-0000D9810000}"/>
    <cellStyle name="40% - Accent5 3 2 2 2 3 2 3 2" xfId="39642" xr:uid="{00000000-0005-0000-0000-0000DA810000}"/>
    <cellStyle name="40% - Accent5 3 2 2 2 3 2 4" xfId="28341" xr:uid="{00000000-0005-0000-0000-0000DB810000}"/>
    <cellStyle name="40% - Accent5 3 2 2 2 3 3" xfId="8556" xr:uid="{00000000-0005-0000-0000-0000DC810000}"/>
    <cellStyle name="40% - Accent5 3 2 2 2 3 3 2" xfId="19857" xr:uid="{00000000-0005-0000-0000-0000DD810000}"/>
    <cellStyle name="40% - Accent5 3 2 2 2 3 3 2 2" xfId="42459" xr:uid="{00000000-0005-0000-0000-0000DE810000}"/>
    <cellStyle name="40% - Accent5 3 2 2 2 3 3 3" xfId="31158" xr:uid="{00000000-0005-0000-0000-0000DF810000}"/>
    <cellStyle name="40% - Accent5 3 2 2 2 3 4" xfId="14207" xr:uid="{00000000-0005-0000-0000-0000E0810000}"/>
    <cellStyle name="40% - Accent5 3 2 2 2 3 4 2" xfId="36809" xr:uid="{00000000-0005-0000-0000-0000E1810000}"/>
    <cellStyle name="40% - Accent5 3 2 2 2 3 5" xfId="25508" xr:uid="{00000000-0005-0000-0000-0000E2810000}"/>
    <cellStyle name="40% - Accent5 3 2 2 2 4" xfId="4505" xr:uid="{00000000-0005-0000-0000-0000E3810000}"/>
    <cellStyle name="40% - Accent5 3 2 2 2 4 2" xfId="10155" xr:uid="{00000000-0005-0000-0000-0000E4810000}"/>
    <cellStyle name="40% - Accent5 3 2 2 2 4 2 2" xfId="21456" xr:uid="{00000000-0005-0000-0000-0000E5810000}"/>
    <cellStyle name="40% - Accent5 3 2 2 2 4 2 2 2" xfId="44058" xr:uid="{00000000-0005-0000-0000-0000E6810000}"/>
    <cellStyle name="40% - Accent5 3 2 2 2 4 2 3" xfId="32757" xr:uid="{00000000-0005-0000-0000-0000E7810000}"/>
    <cellStyle name="40% - Accent5 3 2 2 2 4 3" xfId="15806" xr:uid="{00000000-0005-0000-0000-0000E8810000}"/>
    <cellStyle name="40% - Accent5 3 2 2 2 4 3 2" xfId="38408" xr:uid="{00000000-0005-0000-0000-0000E9810000}"/>
    <cellStyle name="40% - Accent5 3 2 2 2 4 4" xfId="27107" xr:uid="{00000000-0005-0000-0000-0000EA810000}"/>
    <cellStyle name="40% - Accent5 3 2 2 2 5" xfId="7301" xr:uid="{00000000-0005-0000-0000-0000EB810000}"/>
    <cellStyle name="40% - Accent5 3 2 2 2 5 2" xfId="18602" xr:uid="{00000000-0005-0000-0000-0000EC810000}"/>
    <cellStyle name="40% - Accent5 3 2 2 2 5 2 2" xfId="41204" xr:uid="{00000000-0005-0000-0000-0000ED810000}"/>
    <cellStyle name="40% - Accent5 3 2 2 2 5 3" xfId="29903" xr:uid="{00000000-0005-0000-0000-0000EE810000}"/>
    <cellStyle name="40% - Accent5 3 2 2 2 6" xfId="12952" xr:uid="{00000000-0005-0000-0000-0000EF810000}"/>
    <cellStyle name="40% - Accent5 3 2 2 2 6 2" xfId="35554" xr:uid="{00000000-0005-0000-0000-0000F0810000}"/>
    <cellStyle name="40% - Accent5 3 2 2 2 7" xfId="24253" xr:uid="{00000000-0005-0000-0000-0000F1810000}"/>
    <cellStyle name="40% - Accent5 3 2 2 3" xfId="1020" xr:uid="{00000000-0005-0000-0000-0000F2810000}"/>
    <cellStyle name="40% - Accent5 3 2 2 3 2" xfId="3083" xr:uid="{00000000-0005-0000-0000-0000F3810000}"/>
    <cellStyle name="40% - Accent5 3 2 2 3 2 2" xfId="6055" xr:uid="{00000000-0005-0000-0000-0000F4810000}"/>
    <cellStyle name="40% - Accent5 3 2 2 3 2 2 2" xfId="11705" xr:uid="{00000000-0005-0000-0000-0000F5810000}"/>
    <cellStyle name="40% - Accent5 3 2 2 3 2 2 2 2" xfId="23006" xr:uid="{00000000-0005-0000-0000-0000F6810000}"/>
    <cellStyle name="40% - Accent5 3 2 2 3 2 2 2 2 2" xfId="45608" xr:uid="{00000000-0005-0000-0000-0000F7810000}"/>
    <cellStyle name="40% - Accent5 3 2 2 3 2 2 2 3" xfId="34307" xr:uid="{00000000-0005-0000-0000-0000F8810000}"/>
    <cellStyle name="40% - Accent5 3 2 2 3 2 2 3" xfId="17356" xr:uid="{00000000-0005-0000-0000-0000F9810000}"/>
    <cellStyle name="40% - Accent5 3 2 2 3 2 2 3 2" xfId="39958" xr:uid="{00000000-0005-0000-0000-0000FA810000}"/>
    <cellStyle name="40% - Accent5 3 2 2 3 2 2 4" xfId="28657" xr:uid="{00000000-0005-0000-0000-0000FB810000}"/>
    <cellStyle name="40% - Accent5 3 2 2 3 2 3" xfId="8873" xr:uid="{00000000-0005-0000-0000-0000FC810000}"/>
    <cellStyle name="40% - Accent5 3 2 2 3 2 3 2" xfId="20174" xr:uid="{00000000-0005-0000-0000-0000FD810000}"/>
    <cellStyle name="40% - Accent5 3 2 2 3 2 3 2 2" xfId="42776" xr:uid="{00000000-0005-0000-0000-0000FE810000}"/>
    <cellStyle name="40% - Accent5 3 2 2 3 2 3 3" xfId="31475" xr:uid="{00000000-0005-0000-0000-0000FF810000}"/>
    <cellStyle name="40% - Accent5 3 2 2 3 2 4" xfId="14524" xr:uid="{00000000-0005-0000-0000-000000820000}"/>
    <cellStyle name="40% - Accent5 3 2 2 3 2 4 2" xfId="37126" xr:uid="{00000000-0005-0000-0000-000001820000}"/>
    <cellStyle name="40% - Accent5 3 2 2 3 2 5" xfId="25825" xr:uid="{00000000-0005-0000-0000-000002820000}"/>
    <cellStyle name="40% - Accent5 3 2 2 3 3" xfId="4821" xr:uid="{00000000-0005-0000-0000-000003820000}"/>
    <cellStyle name="40% - Accent5 3 2 2 3 3 2" xfId="10471" xr:uid="{00000000-0005-0000-0000-000004820000}"/>
    <cellStyle name="40% - Accent5 3 2 2 3 3 2 2" xfId="21772" xr:uid="{00000000-0005-0000-0000-000005820000}"/>
    <cellStyle name="40% - Accent5 3 2 2 3 3 2 2 2" xfId="44374" xr:uid="{00000000-0005-0000-0000-000006820000}"/>
    <cellStyle name="40% - Accent5 3 2 2 3 3 2 3" xfId="33073" xr:uid="{00000000-0005-0000-0000-000007820000}"/>
    <cellStyle name="40% - Accent5 3 2 2 3 3 3" xfId="16122" xr:uid="{00000000-0005-0000-0000-000008820000}"/>
    <cellStyle name="40% - Accent5 3 2 2 3 3 3 2" xfId="38724" xr:uid="{00000000-0005-0000-0000-000009820000}"/>
    <cellStyle name="40% - Accent5 3 2 2 3 3 4" xfId="27423" xr:uid="{00000000-0005-0000-0000-00000A820000}"/>
    <cellStyle name="40% - Accent5 3 2 2 3 4" xfId="7008" xr:uid="{00000000-0005-0000-0000-00000B820000}"/>
    <cellStyle name="40% - Accent5 3 2 2 3 4 2" xfId="18309" xr:uid="{00000000-0005-0000-0000-00000C820000}"/>
    <cellStyle name="40% - Accent5 3 2 2 3 4 2 2" xfId="40911" xr:uid="{00000000-0005-0000-0000-00000D820000}"/>
    <cellStyle name="40% - Accent5 3 2 2 3 4 3" xfId="29610" xr:uid="{00000000-0005-0000-0000-00000E820000}"/>
    <cellStyle name="40% - Accent5 3 2 2 3 5" xfId="12659" xr:uid="{00000000-0005-0000-0000-00000F820000}"/>
    <cellStyle name="40% - Accent5 3 2 2 3 5 2" xfId="35261" xr:uid="{00000000-0005-0000-0000-000010820000}"/>
    <cellStyle name="40% - Accent5 3 2 2 3 6" xfId="23960" xr:uid="{00000000-0005-0000-0000-000011820000}"/>
    <cellStyle name="40% - Accent5 3 2 2 4" xfId="1997" xr:uid="{00000000-0005-0000-0000-000012820000}"/>
    <cellStyle name="40% - Accent5 3 2 2 4 2" xfId="3801" xr:uid="{00000000-0005-0000-0000-000013820000}"/>
    <cellStyle name="40% - Accent5 3 2 2 4 2 2" xfId="9511" xr:uid="{00000000-0005-0000-0000-000014820000}"/>
    <cellStyle name="40% - Accent5 3 2 2 4 2 2 2" xfId="20812" xr:uid="{00000000-0005-0000-0000-000015820000}"/>
    <cellStyle name="40% - Accent5 3 2 2 4 2 2 2 2" xfId="43414" xr:uid="{00000000-0005-0000-0000-000016820000}"/>
    <cellStyle name="40% - Accent5 3 2 2 4 2 2 3" xfId="32113" xr:uid="{00000000-0005-0000-0000-000017820000}"/>
    <cellStyle name="40% - Accent5 3 2 2 4 2 3" xfId="15162" xr:uid="{00000000-0005-0000-0000-000018820000}"/>
    <cellStyle name="40% - Accent5 3 2 2 4 2 3 2" xfId="37764" xr:uid="{00000000-0005-0000-0000-000019820000}"/>
    <cellStyle name="40% - Accent5 3 2 2 4 2 4" xfId="26463" xr:uid="{00000000-0005-0000-0000-00001A820000}"/>
    <cellStyle name="40% - Accent5 3 2 2 4 3" xfId="5431" xr:uid="{00000000-0005-0000-0000-00001B820000}"/>
    <cellStyle name="40% - Accent5 3 2 2 4 3 2" xfId="11081" xr:uid="{00000000-0005-0000-0000-00001C820000}"/>
    <cellStyle name="40% - Accent5 3 2 2 4 3 2 2" xfId="22382" xr:uid="{00000000-0005-0000-0000-00001D820000}"/>
    <cellStyle name="40% - Accent5 3 2 2 4 3 2 2 2" xfId="44984" xr:uid="{00000000-0005-0000-0000-00001E820000}"/>
    <cellStyle name="40% - Accent5 3 2 2 4 3 2 3" xfId="33683" xr:uid="{00000000-0005-0000-0000-00001F820000}"/>
    <cellStyle name="40% - Accent5 3 2 2 4 3 3" xfId="16732" xr:uid="{00000000-0005-0000-0000-000020820000}"/>
    <cellStyle name="40% - Accent5 3 2 2 4 3 3 2" xfId="39334" xr:uid="{00000000-0005-0000-0000-000021820000}"/>
    <cellStyle name="40% - Accent5 3 2 2 4 3 4" xfId="28033" xr:uid="{00000000-0005-0000-0000-000022820000}"/>
    <cellStyle name="40% - Accent5 3 2 2 4 4" xfId="7853" xr:uid="{00000000-0005-0000-0000-000023820000}"/>
    <cellStyle name="40% - Accent5 3 2 2 4 4 2" xfId="19154" xr:uid="{00000000-0005-0000-0000-000024820000}"/>
    <cellStyle name="40% - Accent5 3 2 2 4 4 2 2" xfId="41756" xr:uid="{00000000-0005-0000-0000-000025820000}"/>
    <cellStyle name="40% - Accent5 3 2 2 4 4 3" xfId="30455" xr:uid="{00000000-0005-0000-0000-000026820000}"/>
    <cellStyle name="40% - Accent5 3 2 2 4 5" xfId="13504" xr:uid="{00000000-0005-0000-0000-000027820000}"/>
    <cellStyle name="40% - Accent5 3 2 2 4 5 2" xfId="36106" xr:uid="{00000000-0005-0000-0000-000028820000}"/>
    <cellStyle name="40% - Accent5 3 2 2 4 6" xfId="24805" xr:uid="{00000000-0005-0000-0000-000029820000}"/>
    <cellStyle name="40% - Accent5 3 2 2 5" xfId="2412" xr:uid="{00000000-0005-0000-0000-00002A820000}"/>
    <cellStyle name="40% - Accent5 3 2 2 5 2" xfId="8248" xr:uid="{00000000-0005-0000-0000-00002B820000}"/>
    <cellStyle name="40% - Accent5 3 2 2 5 2 2" xfId="19549" xr:uid="{00000000-0005-0000-0000-00002C820000}"/>
    <cellStyle name="40% - Accent5 3 2 2 5 2 2 2" xfId="42151" xr:uid="{00000000-0005-0000-0000-00002D820000}"/>
    <cellStyle name="40% - Accent5 3 2 2 5 2 3" xfId="30850" xr:uid="{00000000-0005-0000-0000-00002E820000}"/>
    <cellStyle name="40% - Accent5 3 2 2 5 3" xfId="13899" xr:uid="{00000000-0005-0000-0000-00002F820000}"/>
    <cellStyle name="40% - Accent5 3 2 2 5 3 2" xfId="36501" xr:uid="{00000000-0005-0000-0000-000030820000}"/>
    <cellStyle name="40% - Accent5 3 2 2 5 4" xfId="25200" xr:uid="{00000000-0005-0000-0000-000031820000}"/>
    <cellStyle name="40% - Accent5 3 2 2 6" xfId="4197" xr:uid="{00000000-0005-0000-0000-000032820000}"/>
    <cellStyle name="40% - Accent5 3 2 2 6 2" xfId="9847" xr:uid="{00000000-0005-0000-0000-000033820000}"/>
    <cellStyle name="40% - Accent5 3 2 2 6 2 2" xfId="21148" xr:uid="{00000000-0005-0000-0000-000034820000}"/>
    <cellStyle name="40% - Accent5 3 2 2 6 2 2 2" xfId="43750" xr:uid="{00000000-0005-0000-0000-000035820000}"/>
    <cellStyle name="40% - Accent5 3 2 2 6 2 3" xfId="32449" xr:uid="{00000000-0005-0000-0000-000036820000}"/>
    <cellStyle name="40% - Accent5 3 2 2 6 3" xfId="15498" xr:uid="{00000000-0005-0000-0000-000037820000}"/>
    <cellStyle name="40% - Accent5 3 2 2 6 3 2" xfId="38100" xr:uid="{00000000-0005-0000-0000-000038820000}"/>
    <cellStyle name="40% - Accent5 3 2 2 6 4" xfId="26799" xr:uid="{00000000-0005-0000-0000-000039820000}"/>
    <cellStyle name="40% - Accent5 3 2 2 7" xfId="6677" xr:uid="{00000000-0005-0000-0000-00003A820000}"/>
    <cellStyle name="40% - Accent5 3 2 2 7 2" xfId="17978" xr:uid="{00000000-0005-0000-0000-00003B820000}"/>
    <cellStyle name="40% - Accent5 3 2 2 7 2 2" xfId="40580" xr:uid="{00000000-0005-0000-0000-00003C820000}"/>
    <cellStyle name="40% - Accent5 3 2 2 7 3" xfId="29279" xr:uid="{00000000-0005-0000-0000-00003D820000}"/>
    <cellStyle name="40% - Accent5 3 2 2 8" xfId="12328" xr:uid="{00000000-0005-0000-0000-00003E820000}"/>
    <cellStyle name="40% - Accent5 3 2 2 8 2" xfId="34930" xr:uid="{00000000-0005-0000-0000-00003F820000}"/>
    <cellStyle name="40% - Accent5 3 2 2 9" xfId="23629" xr:uid="{00000000-0005-0000-0000-000040820000}"/>
    <cellStyle name="40% - Accent5 3 2 3" xfId="1184" xr:uid="{00000000-0005-0000-0000-000041820000}"/>
    <cellStyle name="40% - Accent5 3 2 3 2" xfId="1999" xr:uid="{00000000-0005-0000-0000-000042820000}"/>
    <cellStyle name="40% - Accent5 3 2 3 2 2" xfId="3252" xr:uid="{00000000-0005-0000-0000-000043820000}"/>
    <cellStyle name="40% - Accent5 3 2 3 2 2 2" xfId="6224" xr:uid="{00000000-0005-0000-0000-000044820000}"/>
    <cellStyle name="40% - Accent5 3 2 3 2 2 2 2" xfId="11874" xr:uid="{00000000-0005-0000-0000-000045820000}"/>
    <cellStyle name="40% - Accent5 3 2 3 2 2 2 2 2" xfId="23175" xr:uid="{00000000-0005-0000-0000-000046820000}"/>
    <cellStyle name="40% - Accent5 3 2 3 2 2 2 2 2 2" xfId="45777" xr:uid="{00000000-0005-0000-0000-000047820000}"/>
    <cellStyle name="40% - Accent5 3 2 3 2 2 2 2 3" xfId="34476" xr:uid="{00000000-0005-0000-0000-000048820000}"/>
    <cellStyle name="40% - Accent5 3 2 3 2 2 2 3" xfId="17525" xr:uid="{00000000-0005-0000-0000-000049820000}"/>
    <cellStyle name="40% - Accent5 3 2 3 2 2 2 3 2" xfId="40127" xr:uid="{00000000-0005-0000-0000-00004A820000}"/>
    <cellStyle name="40% - Accent5 3 2 3 2 2 2 4" xfId="28826" xr:uid="{00000000-0005-0000-0000-00004B820000}"/>
    <cellStyle name="40% - Accent5 3 2 3 2 2 3" xfId="9042" xr:uid="{00000000-0005-0000-0000-00004C820000}"/>
    <cellStyle name="40% - Accent5 3 2 3 2 2 3 2" xfId="20343" xr:uid="{00000000-0005-0000-0000-00004D820000}"/>
    <cellStyle name="40% - Accent5 3 2 3 2 2 3 2 2" xfId="42945" xr:uid="{00000000-0005-0000-0000-00004E820000}"/>
    <cellStyle name="40% - Accent5 3 2 3 2 2 3 3" xfId="31644" xr:uid="{00000000-0005-0000-0000-00004F820000}"/>
    <cellStyle name="40% - Accent5 3 2 3 2 2 4" xfId="14693" xr:uid="{00000000-0005-0000-0000-000050820000}"/>
    <cellStyle name="40% - Accent5 3 2 3 2 2 4 2" xfId="37295" xr:uid="{00000000-0005-0000-0000-000051820000}"/>
    <cellStyle name="40% - Accent5 3 2 3 2 2 5" xfId="25994" xr:uid="{00000000-0005-0000-0000-000052820000}"/>
    <cellStyle name="40% - Accent5 3 2 3 2 3" xfId="4990" xr:uid="{00000000-0005-0000-0000-000053820000}"/>
    <cellStyle name="40% - Accent5 3 2 3 2 3 2" xfId="10640" xr:uid="{00000000-0005-0000-0000-000054820000}"/>
    <cellStyle name="40% - Accent5 3 2 3 2 3 2 2" xfId="21941" xr:uid="{00000000-0005-0000-0000-000055820000}"/>
    <cellStyle name="40% - Accent5 3 2 3 2 3 2 2 2" xfId="44543" xr:uid="{00000000-0005-0000-0000-000056820000}"/>
    <cellStyle name="40% - Accent5 3 2 3 2 3 2 3" xfId="33242" xr:uid="{00000000-0005-0000-0000-000057820000}"/>
    <cellStyle name="40% - Accent5 3 2 3 2 3 3" xfId="16291" xr:uid="{00000000-0005-0000-0000-000058820000}"/>
    <cellStyle name="40% - Accent5 3 2 3 2 3 3 2" xfId="38893" xr:uid="{00000000-0005-0000-0000-000059820000}"/>
    <cellStyle name="40% - Accent5 3 2 3 2 3 4" xfId="27592" xr:uid="{00000000-0005-0000-0000-00005A820000}"/>
    <cellStyle name="40% - Accent5 3 2 3 2 4" xfId="7855" xr:uid="{00000000-0005-0000-0000-00005B820000}"/>
    <cellStyle name="40% - Accent5 3 2 3 2 4 2" xfId="19156" xr:uid="{00000000-0005-0000-0000-00005C820000}"/>
    <cellStyle name="40% - Accent5 3 2 3 2 4 2 2" xfId="41758" xr:uid="{00000000-0005-0000-0000-00005D820000}"/>
    <cellStyle name="40% - Accent5 3 2 3 2 4 3" xfId="30457" xr:uid="{00000000-0005-0000-0000-00005E820000}"/>
    <cellStyle name="40% - Accent5 3 2 3 2 5" xfId="13506" xr:uid="{00000000-0005-0000-0000-00005F820000}"/>
    <cellStyle name="40% - Accent5 3 2 3 2 5 2" xfId="36108" xr:uid="{00000000-0005-0000-0000-000060820000}"/>
    <cellStyle name="40% - Accent5 3 2 3 2 6" xfId="24807" xr:uid="{00000000-0005-0000-0000-000061820000}"/>
    <cellStyle name="40% - Accent5 3 2 3 3" xfId="2581" xr:uid="{00000000-0005-0000-0000-000062820000}"/>
    <cellStyle name="40% - Accent5 3 2 3 3 2" xfId="5600" xr:uid="{00000000-0005-0000-0000-000063820000}"/>
    <cellStyle name="40% - Accent5 3 2 3 3 2 2" xfId="11250" xr:uid="{00000000-0005-0000-0000-000064820000}"/>
    <cellStyle name="40% - Accent5 3 2 3 3 2 2 2" xfId="22551" xr:uid="{00000000-0005-0000-0000-000065820000}"/>
    <cellStyle name="40% - Accent5 3 2 3 3 2 2 2 2" xfId="45153" xr:uid="{00000000-0005-0000-0000-000066820000}"/>
    <cellStyle name="40% - Accent5 3 2 3 3 2 2 3" xfId="33852" xr:uid="{00000000-0005-0000-0000-000067820000}"/>
    <cellStyle name="40% - Accent5 3 2 3 3 2 3" xfId="16901" xr:uid="{00000000-0005-0000-0000-000068820000}"/>
    <cellStyle name="40% - Accent5 3 2 3 3 2 3 2" xfId="39503" xr:uid="{00000000-0005-0000-0000-000069820000}"/>
    <cellStyle name="40% - Accent5 3 2 3 3 2 4" xfId="28202" xr:uid="{00000000-0005-0000-0000-00006A820000}"/>
    <cellStyle name="40% - Accent5 3 2 3 3 3" xfId="8417" xr:uid="{00000000-0005-0000-0000-00006B820000}"/>
    <cellStyle name="40% - Accent5 3 2 3 3 3 2" xfId="19718" xr:uid="{00000000-0005-0000-0000-00006C820000}"/>
    <cellStyle name="40% - Accent5 3 2 3 3 3 2 2" xfId="42320" xr:uid="{00000000-0005-0000-0000-00006D820000}"/>
    <cellStyle name="40% - Accent5 3 2 3 3 3 3" xfId="31019" xr:uid="{00000000-0005-0000-0000-00006E820000}"/>
    <cellStyle name="40% - Accent5 3 2 3 3 4" xfId="14068" xr:uid="{00000000-0005-0000-0000-00006F820000}"/>
    <cellStyle name="40% - Accent5 3 2 3 3 4 2" xfId="36670" xr:uid="{00000000-0005-0000-0000-000070820000}"/>
    <cellStyle name="40% - Accent5 3 2 3 3 5" xfId="25369" xr:uid="{00000000-0005-0000-0000-000071820000}"/>
    <cellStyle name="40% - Accent5 3 2 3 4" xfId="4366" xr:uid="{00000000-0005-0000-0000-000072820000}"/>
    <cellStyle name="40% - Accent5 3 2 3 4 2" xfId="10016" xr:uid="{00000000-0005-0000-0000-000073820000}"/>
    <cellStyle name="40% - Accent5 3 2 3 4 2 2" xfId="21317" xr:uid="{00000000-0005-0000-0000-000074820000}"/>
    <cellStyle name="40% - Accent5 3 2 3 4 2 2 2" xfId="43919" xr:uid="{00000000-0005-0000-0000-000075820000}"/>
    <cellStyle name="40% - Accent5 3 2 3 4 2 3" xfId="32618" xr:uid="{00000000-0005-0000-0000-000076820000}"/>
    <cellStyle name="40% - Accent5 3 2 3 4 3" xfId="15667" xr:uid="{00000000-0005-0000-0000-000077820000}"/>
    <cellStyle name="40% - Accent5 3 2 3 4 3 2" xfId="38269" xr:uid="{00000000-0005-0000-0000-000078820000}"/>
    <cellStyle name="40% - Accent5 3 2 3 4 4" xfId="26968" xr:uid="{00000000-0005-0000-0000-000079820000}"/>
    <cellStyle name="40% - Accent5 3 2 3 5" xfId="7163" xr:uid="{00000000-0005-0000-0000-00007A820000}"/>
    <cellStyle name="40% - Accent5 3 2 3 5 2" xfId="18464" xr:uid="{00000000-0005-0000-0000-00007B820000}"/>
    <cellStyle name="40% - Accent5 3 2 3 5 2 2" xfId="41066" xr:uid="{00000000-0005-0000-0000-00007C820000}"/>
    <cellStyle name="40% - Accent5 3 2 3 5 3" xfId="29765" xr:uid="{00000000-0005-0000-0000-00007D820000}"/>
    <cellStyle name="40% - Accent5 3 2 3 6" xfId="12814" xr:uid="{00000000-0005-0000-0000-00007E820000}"/>
    <cellStyle name="40% - Accent5 3 2 3 6 2" xfId="35416" xr:uid="{00000000-0005-0000-0000-00007F820000}"/>
    <cellStyle name="40% - Accent5 3 2 3 7" xfId="24115" xr:uid="{00000000-0005-0000-0000-000080820000}"/>
    <cellStyle name="40% - Accent5 3 2 4" xfId="873" xr:uid="{00000000-0005-0000-0000-000081820000}"/>
    <cellStyle name="40% - Accent5 3 2 4 2" xfId="2945" xr:uid="{00000000-0005-0000-0000-000082820000}"/>
    <cellStyle name="40% - Accent5 3 2 4 2 2" xfId="5917" xr:uid="{00000000-0005-0000-0000-000083820000}"/>
    <cellStyle name="40% - Accent5 3 2 4 2 2 2" xfId="11567" xr:uid="{00000000-0005-0000-0000-000084820000}"/>
    <cellStyle name="40% - Accent5 3 2 4 2 2 2 2" xfId="22868" xr:uid="{00000000-0005-0000-0000-000085820000}"/>
    <cellStyle name="40% - Accent5 3 2 4 2 2 2 2 2" xfId="45470" xr:uid="{00000000-0005-0000-0000-000086820000}"/>
    <cellStyle name="40% - Accent5 3 2 4 2 2 2 3" xfId="34169" xr:uid="{00000000-0005-0000-0000-000087820000}"/>
    <cellStyle name="40% - Accent5 3 2 4 2 2 3" xfId="17218" xr:uid="{00000000-0005-0000-0000-000088820000}"/>
    <cellStyle name="40% - Accent5 3 2 4 2 2 3 2" xfId="39820" xr:uid="{00000000-0005-0000-0000-000089820000}"/>
    <cellStyle name="40% - Accent5 3 2 4 2 2 4" xfId="28519" xr:uid="{00000000-0005-0000-0000-00008A820000}"/>
    <cellStyle name="40% - Accent5 3 2 4 2 3" xfId="8735" xr:uid="{00000000-0005-0000-0000-00008B820000}"/>
    <cellStyle name="40% - Accent5 3 2 4 2 3 2" xfId="20036" xr:uid="{00000000-0005-0000-0000-00008C820000}"/>
    <cellStyle name="40% - Accent5 3 2 4 2 3 2 2" xfId="42638" xr:uid="{00000000-0005-0000-0000-00008D820000}"/>
    <cellStyle name="40% - Accent5 3 2 4 2 3 3" xfId="31337" xr:uid="{00000000-0005-0000-0000-00008E820000}"/>
    <cellStyle name="40% - Accent5 3 2 4 2 4" xfId="14386" xr:uid="{00000000-0005-0000-0000-00008F820000}"/>
    <cellStyle name="40% - Accent5 3 2 4 2 4 2" xfId="36988" xr:uid="{00000000-0005-0000-0000-000090820000}"/>
    <cellStyle name="40% - Accent5 3 2 4 2 5" xfId="25687" xr:uid="{00000000-0005-0000-0000-000091820000}"/>
    <cellStyle name="40% - Accent5 3 2 4 3" xfId="4683" xr:uid="{00000000-0005-0000-0000-000092820000}"/>
    <cellStyle name="40% - Accent5 3 2 4 3 2" xfId="10333" xr:uid="{00000000-0005-0000-0000-000093820000}"/>
    <cellStyle name="40% - Accent5 3 2 4 3 2 2" xfId="21634" xr:uid="{00000000-0005-0000-0000-000094820000}"/>
    <cellStyle name="40% - Accent5 3 2 4 3 2 2 2" xfId="44236" xr:uid="{00000000-0005-0000-0000-000095820000}"/>
    <cellStyle name="40% - Accent5 3 2 4 3 2 3" xfId="32935" xr:uid="{00000000-0005-0000-0000-000096820000}"/>
    <cellStyle name="40% - Accent5 3 2 4 3 3" xfId="15984" xr:uid="{00000000-0005-0000-0000-000097820000}"/>
    <cellStyle name="40% - Accent5 3 2 4 3 3 2" xfId="38586" xr:uid="{00000000-0005-0000-0000-000098820000}"/>
    <cellStyle name="40% - Accent5 3 2 4 3 4" xfId="27285" xr:uid="{00000000-0005-0000-0000-000099820000}"/>
    <cellStyle name="40% - Accent5 3 2 4 4" xfId="6870" xr:uid="{00000000-0005-0000-0000-00009A820000}"/>
    <cellStyle name="40% - Accent5 3 2 4 4 2" xfId="18171" xr:uid="{00000000-0005-0000-0000-00009B820000}"/>
    <cellStyle name="40% - Accent5 3 2 4 4 2 2" xfId="40773" xr:uid="{00000000-0005-0000-0000-00009C820000}"/>
    <cellStyle name="40% - Accent5 3 2 4 4 3" xfId="29472" xr:uid="{00000000-0005-0000-0000-00009D820000}"/>
    <cellStyle name="40% - Accent5 3 2 4 5" xfId="12521" xr:uid="{00000000-0005-0000-0000-00009E820000}"/>
    <cellStyle name="40% - Accent5 3 2 4 5 2" xfId="35123" xr:uid="{00000000-0005-0000-0000-00009F820000}"/>
    <cellStyle name="40% - Accent5 3 2 4 6" xfId="23822" xr:uid="{00000000-0005-0000-0000-0000A0820000}"/>
    <cellStyle name="40% - Accent5 3 2 5" xfId="1996" xr:uid="{00000000-0005-0000-0000-0000A1820000}"/>
    <cellStyle name="40% - Accent5 3 2 5 2" xfId="3800" xr:uid="{00000000-0005-0000-0000-0000A2820000}"/>
    <cellStyle name="40% - Accent5 3 2 5 2 2" xfId="9510" xr:uid="{00000000-0005-0000-0000-0000A3820000}"/>
    <cellStyle name="40% - Accent5 3 2 5 2 2 2" xfId="20811" xr:uid="{00000000-0005-0000-0000-0000A4820000}"/>
    <cellStyle name="40% - Accent5 3 2 5 2 2 2 2" xfId="43413" xr:uid="{00000000-0005-0000-0000-0000A5820000}"/>
    <cellStyle name="40% - Accent5 3 2 5 2 2 3" xfId="32112" xr:uid="{00000000-0005-0000-0000-0000A6820000}"/>
    <cellStyle name="40% - Accent5 3 2 5 2 3" xfId="15161" xr:uid="{00000000-0005-0000-0000-0000A7820000}"/>
    <cellStyle name="40% - Accent5 3 2 5 2 3 2" xfId="37763" xr:uid="{00000000-0005-0000-0000-0000A8820000}"/>
    <cellStyle name="40% - Accent5 3 2 5 2 4" xfId="26462" xr:uid="{00000000-0005-0000-0000-0000A9820000}"/>
    <cellStyle name="40% - Accent5 3 2 5 3" xfId="5293" xr:uid="{00000000-0005-0000-0000-0000AA820000}"/>
    <cellStyle name="40% - Accent5 3 2 5 3 2" xfId="10943" xr:uid="{00000000-0005-0000-0000-0000AB820000}"/>
    <cellStyle name="40% - Accent5 3 2 5 3 2 2" xfId="22244" xr:uid="{00000000-0005-0000-0000-0000AC820000}"/>
    <cellStyle name="40% - Accent5 3 2 5 3 2 2 2" xfId="44846" xr:uid="{00000000-0005-0000-0000-0000AD820000}"/>
    <cellStyle name="40% - Accent5 3 2 5 3 2 3" xfId="33545" xr:uid="{00000000-0005-0000-0000-0000AE820000}"/>
    <cellStyle name="40% - Accent5 3 2 5 3 3" xfId="16594" xr:uid="{00000000-0005-0000-0000-0000AF820000}"/>
    <cellStyle name="40% - Accent5 3 2 5 3 3 2" xfId="39196" xr:uid="{00000000-0005-0000-0000-0000B0820000}"/>
    <cellStyle name="40% - Accent5 3 2 5 3 4" xfId="27895" xr:uid="{00000000-0005-0000-0000-0000B1820000}"/>
    <cellStyle name="40% - Accent5 3 2 5 4" xfId="7852" xr:uid="{00000000-0005-0000-0000-0000B2820000}"/>
    <cellStyle name="40% - Accent5 3 2 5 4 2" xfId="19153" xr:uid="{00000000-0005-0000-0000-0000B3820000}"/>
    <cellStyle name="40% - Accent5 3 2 5 4 2 2" xfId="41755" xr:uid="{00000000-0005-0000-0000-0000B4820000}"/>
    <cellStyle name="40% - Accent5 3 2 5 4 3" xfId="30454" xr:uid="{00000000-0005-0000-0000-0000B5820000}"/>
    <cellStyle name="40% - Accent5 3 2 5 5" xfId="13503" xr:uid="{00000000-0005-0000-0000-0000B6820000}"/>
    <cellStyle name="40% - Accent5 3 2 5 5 2" xfId="36105" xr:uid="{00000000-0005-0000-0000-0000B7820000}"/>
    <cellStyle name="40% - Accent5 3 2 5 6" xfId="24804" xr:uid="{00000000-0005-0000-0000-0000B8820000}"/>
    <cellStyle name="40% - Accent5 3 2 6" xfId="2271" xr:uid="{00000000-0005-0000-0000-0000B9820000}"/>
    <cellStyle name="40% - Accent5 3 2 6 2" xfId="8107" xr:uid="{00000000-0005-0000-0000-0000BA820000}"/>
    <cellStyle name="40% - Accent5 3 2 6 2 2" xfId="19408" xr:uid="{00000000-0005-0000-0000-0000BB820000}"/>
    <cellStyle name="40% - Accent5 3 2 6 2 2 2" xfId="42010" xr:uid="{00000000-0005-0000-0000-0000BC820000}"/>
    <cellStyle name="40% - Accent5 3 2 6 2 3" xfId="30709" xr:uid="{00000000-0005-0000-0000-0000BD820000}"/>
    <cellStyle name="40% - Accent5 3 2 6 3" xfId="13758" xr:uid="{00000000-0005-0000-0000-0000BE820000}"/>
    <cellStyle name="40% - Accent5 3 2 6 3 2" xfId="36360" xr:uid="{00000000-0005-0000-0000-0000BF820000}"/>
    <cellStyle name="40% - Accent5 3 2 6 4" xfId="25059" xr:uid="{00000000-0005-0000-0000-0000C0820000}"/>
    <cellStyle name="40% - Accent5 3 2 7" xfId="4059" xr:uid="{00000000-0005-0000-0000-0000C1820000}"/>
    <cellStyle name="40% - Accent5 3 2 7 2" xfId="9709" xr:uid="{00000000-0005-0000-0000-0000C2820000}"/>
    <cellStyle name="40% - Accent5 3 2 7 2 2" xfId="21010" xr:uid="{00000000-0005-0000-0000-0000C3820000}"/>
    <cellStyle name="40% - Accent5 3 2 7 2 2 2" xfId="43612" xr:uid="{00000000-0005-0000-0000-0000C4820000}"/>
    <cellStyle name="40% - Accent5 3 2 7 2 3" xfId="32311" xr:uid="{00000000-0005-0000-0000-0000C5820000}"/>
    <cellStyle name="40% - Accent5 3 2 7 3" xfId="15360" xr:uid="{00000000-0005-0000-0000-0000C6820000}"/>
    <cellStyle name="40% - Accent5 3 2 7 3 2" xfId="37962" xr:uid="{00000000-0005-0000-0000-0000C7820000}"/>
    <cellStyle name="40% - Accent5 3 2 7 4" xfId="26661" xr:uid="{00000000-0005-0000-0000-0000C8820000}"/>
    <cellStyle name="40% - Accent5 3 2 8" xfId="6510" xr:uid="{00000000-0005-0000-0000-0000C9820000}"/>
    <cellStyle name="40% - Accent5 3 2 8 2" xfId="17811" xr:uid="{00000000-0005-0000-0000-0000CA820000}"/>
    <cellStyle name="40% - Accent5 3 2 8 2 2" xfId="40413" xr:uid="{00000000-0005-0000-0000-0000CB820000}"/>
    <cellStyle name="40% - Accent5 3 2 8 3" xfId="29112" xr:uid="{00000000-0005-0000-0000-0000CC820000}"/>
    <cellStyle name="40% - Accent5 3 2 9" xfId="12161" xr:uid="{00000000-0005-0000-0000-0000CD820000}"/>
    <cellStyle name="40% - Accent5 3 2 9 2" xfId="34763" xr:uid="{00000000-0005-0000-0000-0000CE820000}"/>
    <cellStyle name="40% - Accent5 3 3" xfId="416" xr:uid="{00000000-0005-0000-0000-0000CF820000}"/>
    <cellStyle name="40% - Accent5 3 3 10" xfId="23511" xr:uid="{00000000-0005-0000-0000-0000D0820000}"/>
    <cellStyle name="40% - Accent5 3 3 2" xfId="661" xr:uid="{00000000-0005-0000-0000-0000D1820000}"/>
    <cellStyle name="40% - Accent5 3 3 2 2" xfId="1371" xr:uid="{00000000-0005-0000-0000-0000D2820000}"/>
    <cellStyle name="40% - Accent5 3 3 2 2 2" xfId="2002" xr:uid="{00000000-0005-0000-0000-0000D3820000}"/>
    <cellStyle name="40% - Accent5 3 3 2 2 2 2" xfId="3440" xr:uid="{00000000-0005-0000-0000-0000D4820000}"/>
    <cellStyle name="40% - Accent5 3 3 2 2 2 2 2" xfId="6412" xr:uid="{00000000-0005-0000-0000-0000D5820000}"/>
    <cellStyle name="40% - Accent5 3 3 2 2 2 2 2 2" xfId="12062" xr:uid="{00000000-0005-0000-0000-0000D6820000}"/>
    <cellStyle name="40% - Accent5 3 3 2 2 2 2 2 2 2" xfId="23363" xr:uid="{00000000-0005-0000-0000-0000D7820000}"/>
    <cellStyle name="40% - Accent5 3 3 2 2 2 2 2 2 2 2" xfId="45965" xr:uid="{00000000-0005-0000-0000-0000D8820000}"/>
    <cellStyle name="40% - Accent5 3 3 2 2 2 2 2 2 3" xfId="34664" xr:uid="{00000000-0005-0000-0000-0000D9820000}"/>
    <cellStyle name="40% - Accent5 3 3 2 2 2 2 2 3" xfId="17713" xr:uid="{00000000-0005-0000-0000-0000DA820000}"/>
    <cellStyle name="40% - Accent5 3 3 2 2 2 2 2 3 2" xfId="40315" xr:uid="{00000000-0005-0000-0000-0000DB820000}"/>
    <cellStyle name="40% - Accent5 3 3 2 2 2 2 2 4" xfId="29014" xr:uid="{00000000-0005-0000-0000-0000DC820000}"/>
    <cellStyle name="40% - Accent5 3 3 2 2 2 2 3" xfId="9230" xr:uid="{00000000-0005-0000-0000-0000DD820000}"/>
    <cellStyle name="40% - Accent5 3 3 2 2 2 2 3 2" xfId="20531" xr:uid="{00000000-0005-0000-0000-0000DE820000}"/>
    <cellStyle name="40% - Accent5 3 3 2 2 2 2 3 2 2" xfId="43133" xr:uid="{00000000-0005-0000-0000-0000DF820000}"/>
    <cellStyle name="40% - Accent5 3 3 2 2 2 2 3 3" xfId="31832" xr:uid="{00000000-0005-0000-0000-0000E0820000}"/>
    <cellStyle name="40% - Accent5 3 3 2 2 2 2 4" xfId="14881" xr:uid="{00000000-0005-0000-0000-0000E1820000}"/>
    <cellStyle name="40% - Accent5 3 3 2 2 2 2 4 2" xfId="37483" xr:uid="{00000000-0005-0000-0000-0000E2820000}"/>
    <cellStyle name="40% - Accent5 3 3 2 2 2 2 5" xfId="26182" xr:uid="{00000000-0005-0000-0000-0000E3820000}"/>
    <cellStyle name="40% - Accent5 3 3 2 2 2 3" xfId="5178" xr:uid="{00000000-0005-0000-0000-0000E4820000}"/>
    <cellStyle name="40% - Accent5 3 3 2 2 2 3 2" xfId="10828" xr:uid="{00000000-0005-0000-0000-0000E5820000}"/>
    <cellStyle name="40% - Accent5 3 3 2 2 2 3 2 2" xfId="22129" xr:uid="{00000000-0005-0000-0000-0000E6820000}"/>
    <cellStyle name="40% - Accent5 3 3 2 2 2 3 2 2 2" xfId="44731" xr:uid="{00000000-0005-0000-0000-0000E7820000}"/>
    <cellStyle name="40% - Accent5 3 3 2 2 2 3 2 3" xfId="33430" xr:uid="{00000000-0005-0000-0000-0000E8820000}"/>
    <cellStyle name="40% - Accent5 3 3 2 2 2 3 3" xfId="16479" xr:uid="{00000000-0005-0000-0000-0000E9820000}"/>
    <cellStyle name="40% - Accent5 3 3 2 2 2 3 3 2" xfId="39081" xr:uid="{00000000-0005-0000-0000-0000EA820000}"/>
    <cellStyle name="40% - Accent5 3 3 2 2 2 3 4" xfId="27780" xr:uid="{00000000-0005-0000-0000-0000EB820000}"/>
    <cellStyle name="40% - Accent5 3 3 2 2 2 4" xfId="7858" xr:uid="{00000000-0005-0000-0000-0000EC820000}"/>
    <cellStyle name="40% - Accent5 3 3 2 2 2 4 2" xfId="19159" xr:uid="{00000000-0005-0000-0000-0000ED820000}"/>
    <cellStyle name="40% - Accent5 3 3 2 2 2 4 2 2" xfId="41761" xr:uid="{00000000-0005-0000-0000-0000EE820000}"/>
    <cellStyle name="40% - Accent5 3 3 2 2 2 4 3" xfId="30460" xr:uid="{00000000-0005-0000-0000-0000EF820000}"/>
    <cellStyle name="40% - Accent5 3 3 2 2 2 5" xfId="13509" xr:uid="{00000000-0005-0000-0000-0000F0820000}"/>
    <cellStyle name="40% - Accent5 3 3 2 2 2 5 2" xfId="36111" xr:uid="{00000000-0005-0000-0000-0000F1820000}"/>
    <cellStyle name="40% - Accent5 3 3 2 2 2 6" xfId="24810" xr:uid="{00000000-0005-0000-0000-0000F2820000}"/>
    <cellStyle name="40% - Accent5 3 3 2 2 3" xfId="2769" xr:uid="{00000000-0005-0000-0000-0000F3820000}"/>
    <cellStyle name="40% - Accent5 3 3 2 2 3 2" xfId="5788" xr:uid="{00000000-0005-0000-0000-0000F4820000}"/>
    <cellStyle name="40% - Accent5 3 3 2 2 3 2 2" xfId="11438" xr:uid="{00000000-0005-0000-0000-0000F5820000}"/>
    <cellStyle name="40% - Accent5 3 3 2 2 3 2 2 2" xfId="22739" xr:uid="{00000000-0005-0000-0000-0000F6820000}"/>
    <cellStyle name="40% - Accent5 3 3 2 2 3 2 2 2 2" xfId="45341" xr:uid="{00000000-0005-0000-0000-0000F7820000}"/>
    <cellStyle name="40% - Accent5 3 3 2 2 3 2 2 3" xfId="34040" xr:uid="{00000000-0005-0000-0000-0000F8820000}"/>
    <cellStyle name="40% - Accent5 3 3 2 2 3 2 3" xfId="17089" xr:uid="{00000000-0005-0000-0000-0000F9820000}"/>
    <cellStyle name="40% - Accent5 3 3 2 2 3 2 3 2" xfId="39691" xr:uid="{00000000-0005-0000-0000-0000FA820000}"/>
    <cellStyle name="40% - Accent5 3 3 2 2 3 2 4" xfId="28390" xr:uid="{00000000-0005-0000-0000-0000FB820000}"/>
    <cellStyle name="40% - Accent5 3 3 2 2 3 3" xfId="8605" xr:uid="{00000000-0005-0000-0000-0000FC820000}"/>
    <cellStyle name="40% - Accent5 3 3 2 2 3 3 2" xfId="19906" xr:uid="{00000000-0005-0000-0000-0000FD820000}"/>
    <cellStyle name="40% - Accent5 3 3 2 2 3 3 2 2" xfId="42508" xr:uid="{00000000-0005-0000-0000-0000FE820000}"/>
    <cellStyle name="40% - Accent5 3 3 2 2 3 3 3" xfId="31207" xr:uid="{00000000-0005-0000-0000-0000FF820000}"/>
    <cellStyle name="40% - Accent5 3 3 2 2 3 4" xfId="14256" xr:uid="{00000000-0005-0000-0000-000000830000}"/>
    <cellStyle name="40% - Accent5 3 3 2 2 3 4 2" xfId="36858" xr:uid="{00000000-0005-0000-0000-000001830000}"/>
    <cellStyle name="40% - Accent5 3 3 2 2 3 5" xfId="25557" xr:uid="{00000000-0005-0000-0000-000002830000}"/>
    <cellStyle name="40% - Accent5 3 3 2 2 4" xfId="4554" xr:uid="{00000000-0005-0000-0000-000003830000}"/>
    <cellStyle name="40% - Accent5 3 3 2 2 4 2" xfId="10204" xr:uid="{00000000-0005-0000-0000-000004830000}"/>
    <cellStyle name="40% - Accent5 3 3 2 2 4 2 2" xfId="21505" xr:uid="{00000000-0005-0000-0000-000005830000}"/>
    <cellStyle name="40% - Accent5 3 3 2 2 4 2 2 2" xfId="44107" xr:uid="{00000000-0005-0000-0000-000006830000}"/>
    <cellStyle name="40% - Accent5 3 3 2 2 4 2 3" xfId="32806" xr:uid="{00000000-0005-0000-0000-000007830000}"/>
    <cellStyle name="40% - Accent5 3 3 2 2 4 3" xfId="15855" xr:uid="{00000000-0005-0000-0000-000008830000}"/>
    <cellStyle name="40% - Accent5 3 3 2 2 4 3 2" xfId="38457" xr:uid="{00000000-0005-0000-0000-000009830000}"/>
    <cellStyle name="40% - Accent5 3 3 2 2 4 4" xfId="27156" xr:uid="{00000000-0005-0000-0000-00000A830000}"/>
    <cellStyle name="40% - Accent5 3 3 2 2 5" xfId="7350" xr:uid="{00000000-0005-0000-0000-00000B830000}"/>
    <cellStyle name="40% - Accent5 3 3 2 2 5 2" xfId="18651" xr:uid="{00000000-0005-0000-0000-00000C830000}"/>
    <cellStyle name="40% - Accent5 3 3 2 2 5 2 2" xfId="41253" xr:uid="{00000000-0005-0000-0000-00000D830000}"/>
    <cellStyle name="40% - Accent5 3 3 2 2 5 3" xfId="29952" xr:uid="{00000000-0005-0000-0000-00000E830000}"/>
    <cellStyle name="40% - Accent5 3 3 2 2 6" xfId="13001" xr:uid="{00000000-0005-0000-0000-00000F830000}"/>
    <cellStyle name="40% - Accent5 3 3 2 2 6 2" xfId="35603" xr:uid="{00000000-0005-0000-0000-000010830000}"/>
    <cellStyle name="40% - Accent5 3 3 2 2 7" xfId="24302" xr:uid="{00000000-0005-0000-0000-000011830000}"/>
    <cellStyle name="40% - Accent5 3 3 2 3" xfId="1069" xr:uid="{00000000-0005-0000-0000-000012830000}"/>
    <cellStyle name="40% - Accent5 3 3 2 3 2" xfId="3132" xr:uid="{00000000-0005-0000-0000-000013830000}"/>
    <cellStyle name="40% - Accent5 3 3 2 3 2 2" xfId="6104" xr:uid="{00000000-0005-0000-0000-000014830000}"/>
    <cellStyle name="40% - Accent5 3 3 2 3 2 2 2" xfId="11754" xr:uid="{00000000-0005-0000-0000-000015830000}"/>
    <cellStyle name="40% - Accent5 3 3 2 3 2 2 2 2" xfId="23055" xr:uid="{00000000-0005-0000-0000-000016830000}"/>
    <cellStyle name="40% - Accent5 3 3 2 3 2 2 2 2 2" xfId="45657" xr:uid="{00000000-0005-0000-0000-000017830000}"/>
    <cellStyle name="40% - Accent5 3 3 2 3 2 2 2 3" xfId="34356" xr:uid="{00000000-0005-0000-0000-000018830000}"/>
    <cellStyle name="40% - Accent5 3 3 2 3 2 2 3" xfId="17405" xr:uid="{00000000-0005-0000-0000-000019830000}"/>
    <cellStyle name="40% - Accent5 3 3 2 3 2 2 3 2" xfId="40007" xr:uid="{00000000-0005-0000-0000-00001A830000}"/>
    <cellStyle name="40% - Accent5 3 3 2 3 2 2 4" xfId="28706" xr:uid="{00000000-0005-0000-0000-00001B830000}"/>
    <cellStyle name="40% - Accent5 3 3 2 3 2 3" xfId="8922" xr:uid="{00000000-0005-0000-0000-00001C830000}"/>
    <cellStyle name="40% - Accent5 3 3 2 3 2 3 2" xfId="20223" xr:uid="{00000000-0005-0000-0000-00001D830000}"/>
    <cellStyle name="40% - Accent5 3 3 2 3 2 3 2 2" xfId="42825" xr:uid="{00000000-0005-0000-0000-00001E830000}"/>
    <cellStyle name="40% - Accent5 3 3 2 3 2 3 3" xfId="31524" xr:uid="{00000000-0005-0000-0000-00001F830000}"/>
    <cellStyle name="40% - Accent5 3 3 2 3 2 4" xfId="14573" xr:uid="{00000000-0005-0000-0000-000020830000}"/>
    <cellStyle name="40% - Accent5 3 3 2 3 2 4 2" xfId="37175" xr:uid="{00000000-0005-0000-0000-000021830000}"/>
    <cellStyle name="40% - Accent5 3 3 2 3 2 5" xfId="25874" xr:uid="{00000000-0005-0000-0000-000022830000}"/>
    <cellStyle name="40% - Accent5 3 3 2 3 3" xfId="4870" xr:uid="{00000000-0005-0000-0000-000023830000}"/>
    <cellStyle name="40% - Accent5 3 3 2 3 3 2" xfId="10520" xr:uid="{00000000-0005-0000-0000-000024830000}"/>
    <cellStyle name="40% - Accent5 3 3 2 3 3 2 2" xfId="21821" xr:uid="{00000000-0005-0000-0000-000025830000}"/>
    <cellStyle name="40% - Accent5 3 3 2 3 3 2 2 2" xfId="44423" xr:uid="{00000000-0005-0000-0000-000026830000}"/>
    <cellStyle name="40% - Accent5 3 3 2 3 3 2 3" xfId="33122" xr:uid="{00000000-0005-0000-0000-000027830000}"/>
    <cellStyle name="40% - Accent5 3 3 2 3 3 3" xfId="16171" xr:uid="{00000000-0005-0000-0000-000028830000}"/>
    <cellStyle name="40% - Accent5 3 3 2 3 3 3 2" xfId="38773" xr:uid="{00000000-0005-0000-0000-000029830000}"/>
    <cellStyle name="40% - Accent5 3 3 2 3 3 4" xfId="27472" xr:uid="{00000000-0005-0000-0000-00002A830000}"/>
    <cellStyle name="40% - Accent5 3 3 2 3 4" xfId="7057" xr:uid="{00000000-0005-0000-0000-00002B830000}"/>
    <cellStyle name="40% - Accent5 3 3 2 3 4 2" xfId="18358" xr:uid="{00000000-0005-0000-0000-00002C830000}"/>
    <cellStyle name="40% - Accent5 3 3 2 3 4 2 2" xfId="40960" xr:uid="{00000000-0005-0000-0000-00002D830000}"/>
    <cellStyle name="40% - Accent5 3 3 2 3 4 3" xfId="29659" xr:uid="{00000000-0005-0000-0000-00002E830000}"/>
    <cellStyle name="40% - Accent5 3 3 2 3 5" xfId="12708" xr:uid="{00000000-0005-0000-0000-00002F830000}"/>
    <cellStyle name="40% - Accent5 3 3 2 3 5 2" xfId="35310" xr:uid="{00000000-0005-0000-0000-000030830000}"/>
    <cellStyle name="40% - Accent5 3 3 2 3 6" xfId="24009" xr:uid="{00000000-0005-0000-0000-000031830000}"/>
    <cellStyle name="40% - Accent5 3 3 2 4" xfId="2001" xr:uid="{00000000-0005-0000-0000-000032830000}"/>
    <cellStyle name="40% - Accent5 3 3 2 4 2" xfId="3803" xr:uid="{00000000-0005-0000-0000-000033830000}"/>
    <cellStyle name="40% - Accent5 3 3 2 4 2 2" xfId="9513" xr:uid="{00000000-0005-0000-0000-000034830000}"/>
    <cellStyle name="40% - Accent5 3 3 2 4 2 2 2" xfId="20814" xr:uid="{00000000-0005-0000-0000-000035830000}"/>
    <cellStyle name="40% - Accent5 3 3 2 4 2 2 2 2" xfId="43416" xr:uid="{00000000-0005-0000-0000-000036830000}"/>
    <cellStyle name="40% - Accent5 3 3 2 4 2 2 3" xfId="32115" xr:uid="{00000000-0005-0000-0000-000037830000}"/>
    <cellStyle name="40% - Accent5 3 3 2 4 2 3" xfId="15164" xr:uid="{00000000-0005-0000-0000-000038830000}"/>
    <cellStyle name="40% - Accent5 3 3 2 4 2 3 2" xfId="37766" xr:uid="{00000000-0005-0000-0000-000039830000}"/>
    <cellStyle name="40% - Accent5 3 3 2 4 2 4" xfId="26465" xr:uid="{00000000-0005-0000-0000-00003A830000}"/>
    <cellStyle name="40% - Accent5 3 3 2 4 3" xfId="5480" xr:uid="{00000000-0005-0000-0000-00003B830000}"/>
    <cellStyle name="40% - Accent5 3 3 2 4 3 2" xfId="11130" xr:uid="{00000000-0005-0000-0000-00003C830000}"/>
    <cellStyle name="40% - Accent5 3 3 2 4 3 2 2" xfId="22431" xr:uid="{00000000-0005-0000-0000-00003D830000}"/>
    <cellStyle name="40% - Accent5 3 3 2 4 3 2 2 2" xfId="45033" xr:uid="{00000000-0005-0000-0000-00003E830000}"/>
    <cellStyle name="40% - Accent5 3 3 2 4 3 2 3" xfId="33732" xr:uid="{00000000-0005-0000-0000-00003F830000}"/>
    <cellStyle name="40% - Accent5 3 3 2 4 3 3" xfId="16781" xr:uid="{00000000-0005-0000-0000-000040830000}"/>
    <cellStyle name="40% - Accent5 3 3 2 4 3 3 2" xfId="39383" xr:uid="{00000000-0005-0000-0000-000041830000}"/>
    <cellStyle name="40% - Accent5 3 3 2 4 3 4" xfId="28082" xr:uid="{00000000-0005-0000-0000-000042830000}"/>
    <cellStyle name="40% - Accent5 3 3 2 4 4" xfId="7857" xr:uid="{00000000-0005-0000-0000-000043830000}"/>
    <cellStyle name="40% - Accent5 3 3 2 4 4 2" xfId="19158" xr:uid="{00000000-0005-0000-0000-000044830000}"/>
    <cellStyle name="40% - Accent5 3 3 2 4 4 2 2" xfId="41760" xr:uid="{00000000-0005-0000-0000-000045830000}"/>
    <cellStyle name="40% - Accent5 3 3 2 4 4 3" xfId="30459" xr:uid="{00000000-0005-0000-0000-000046830000}"/>
    <cellStyle name="40% - Accent5 3 3 2 4 5" xfId="13508" xr:uid="{00000000-0005-0000-0000-000047830000}"/>
    <cellStyle name="40% - Accent5 3 3 2 4 5 2" xfId="36110" xr:uid="{00000000-0005-0000-0000-000048830000}"/>
    <cellStyle name="40% - Accent5 3 3 2 4 6" xfId="24809" xr:uid="{00000000-0005-0000-0000-000049830000}"/>
    <cellStyle name="40% - Accent5 3 3 2 5" xfId="2461" xr:uid="{00000000-0005-0000-0000-00004A830000}"/>
    <cellStyle name="40% - Accent5 3 3 2 5 2" xfId="8297" xr:uid="{00000000-0005-0000-0000-00004B830000}"/>
    <cellStyle name="40% - Accent5 3 3 2 5 2 2" xfId="19598" xr:uid="{00000000-0005-0000-0000-00004C830000}"/>
    <cellStyle name="40% - Accent5 3 3 2 5 2 2 2" xfId="42200" xr:uid="{00000000-0005-0000-0000-00004D830000}"/>
    <cellStyle name="40% - Accent5 3 3 2 5 2 3" xfId="30899" xr:uid="{00000000-0005-0000-0000-00004E830000}"/>
    <cellStyle name="40% - Accent5 3 3 2 5 3" xfId="13948" xr:uid="{00000000-0005-0000-0000-00004F830000}"/>
    <cellStyle name="40% - Accent5 3 3 2 5 3 2" xfId="36550" xr:uid="{00000000-0005-0000-0000-000050830000}"/>
    <cellStyle name="40% - Accent5 3 3 2 5 4" xfId="25249" xr:uid="{00000000-0005-0000-0000-000051830000}"/>
    <cellStyle name="40% - Accent5 3 3 2 6" xfId="4246" xr:uid="{00000000-0005-0000-0000-000052830000}"/>
    <cellStyle name="40% - Accent5 3 3 2 6 2" xfId="9896" xr:uid="{00000000-0005-0000-0000-000053830000}"/>
    <cellStyle name="40% - Accent5 3 3 2 6 2 2" xfId="21197" xr:uid="{00000000-0005-0000-0000-000054830000}"/>
    <cellStyle name="40% - Accent5 3 3 2 6 2 2 2" xfId="43799" xr:uid="{00000000-0005-0000-0000-000055830000}"/>
    <cellStyle name="40% - Accent5 3 3 2 6 2 3" xfId="32498" xr:uid="{00000000-0005-0000-0000-000056830000}"/>
    <cellStyle name="40% - Accent5 3 3 2 6 3" xfId="15547" xr:uid="{00000000-0005-0000-0000-000057830000}"/>
    <cellStyle name="40% - Accent5 3 3 2 6 3 2" xfId="38149" xr:uid="{00000000-0005-0000-0000-000058830000}"/>
    <cellStyle name="40% - Accent5 3 3 2 6 4" xfId="26848" xr:uid="{00000000-0005-0000-0000-000059830000}"/>
    <cellStyle name="40% - Accent5 3 3 2 7" xfId="6726" xr:uid="{00000000-0005-0000-0000-00005A830000}"/>
    <cellStyle name="40% - Accent5 3 3 2 7 2" xfId="18027" xr:uid="{00000000-0005-0000-0000-00005B830000}"/>
    <cellStyle name="40% - Accent5 3 3 2 7 2 2" xfId="40629" xr:uid="{00000000-0005-0000-0000-00005C830000}"/>
    <cellStyle name="40% - Accent5 3 3 2 7 3" xfId="29328" xr:uid="{00000000-0005-0000-0000-00005D830000}"/>
    <cellStyle name="40% - Accent5 3 3 2 8" xfId="12377" xr:uid="{00000000-0005-0000-0000-00005E830000}"/>
    <cellStyle name="40% - Accent5 3 3 2 8 2" xfId="34979" xr:uid="{00000000-0005-0000-0000-00005F830000}"/>
    <cellStyle name="40% - Accent5 3 3 2 9" xfId="23678" xr:uid="{00000000-0005-0000-0000-000060830000}"/>
    <cellStyle name="40% - Accent5 3 3 3" xfId="1233" xr:uid="{00000000-0005-0000-0000-000061830000}"/>
    <cellStyle name="40% - Accent5 3 3 3 2" xfId="2003" xr:uid="{00000000-0005-0000-0000-000062830000}"/>
    <cellStyle name="40% - Accent5 3 3 3 2 2" xfId="3301" xr:uid="{00000000-0005-0000-0000-000063830000}"/>
    <cellStyle name="40% - Accent5 3 3 3 2 2 2" xfId="6273" xr:uid="{00000000-0005-0000-0000-000064830000}"/>
    <cellStyle name="40% - Accent5 3 3 3 2 2 2 2" xfId="11923" xr:uid="{00000000-0005-0000-0000-000065830000}"/>
    <cellStyle name="40% - Accent5 3 3 3 2 2 2 2 2" xfId="23224" xr:uid="{00000000-0005-0000-0000-000066830000}"/>
    <cellStyle name="40% - Accent5 3 3 3 2 2 2 2 2 2" xfId="45826" xr:uid="{00000000-0005-0000-0000-000067830000}"/>
    <cellStyle name="40% - Accent5 3 3 3 2 2 2 2 3" xfId="34525" xr:uid="{00000000-0005-0000-0000-000068830000}"/>
    <cellStyle name="40% - Accent5 3 3 3 2 2 2 3" xfId="17574" xr:uid="{00000000-0005-0000-0000-000069830000}"/>
    <cellStyle name="40% - Accent5 3 3 3 2 2 2 3 2" xfId="40176" xr:uid="{00000000-0005-0000-0000-00006A830000}"/>
    <cellStyle name="40% - Accent5 3 3 3 2 2 2 4" xfId="28875" xr:uid="{00000000-0005-0000-0000-00006B830000}"/>
    <cellStyle name="40% - Accent5 3 3 3 2 2 3" xfId="9091" xr:uid="{00000000-0005-0000-0000-00006C830000}"/>
    <cellStyle name="40% - Accent5 3 3 3 2 2 3 2" xfId="20392" xr:uid="{00000000-0005-0000-0000-00006D830000}"/>
    <cellStyle name="40% - Accent5 3 3 3 2 2 3 2 2" xfId="42994" xr:uid="{00000000-0005-0000-0000-00006E830000}"/>
    <cellStyle name="40% - Accent5 3 3 3 2 2 3 3" xfId="31693" xr:uid="{00000000-0005-0000-0000-00006F830000}"/>
    <cellStyle name="40% - Accent5 3 3 3 2 2 4" xfId="14742" xr:uid="{00000000-0005-0000-0000-000070830000}"/>
    <cellStyle name="40% - Accent5 3 3 3 2 2 4 2" xfId="37344" xr:uid="{00000000-0005-0000-0000-000071830000}"/>
    <cellStyle name="40% - Accent5 3 3 3 2 2 5" xfId="26043" xr:uid="{00000000-0005-0000-0000-000072830000}"/>
    <cellStyle name="40% - Accent5 3 3 3 2 3" xfId="5039" xr:uid="{00000000-0005-0000-0000-000073830000}"/>
    <cellStyle name="40% - Accent5 3 3 3 2 3 2" xfId="10689" xr:uid="{00000000-0005-0000-0000-000074830000}"/>
    <cellStyle name="40% - Accent5 3 3 3 2 3 2 2" xfId="21990" xr:uid="{00000000-0005-0000-0000-000075830000}"/>
    <cellStyle name="40% - Accent5 3 3 3 2 3 2 2 2" xfId="44592" xr:uid="{00000000-0005-0000-0000-000076830000}"/>
    <cellStyle name="40% - Accent5 3 3 3 2 3 2 3" xfId="33291" xr:uid="{00000000-0005-0000-0000-000077830000}"/>
    <cellStyle name="40% - Accent5 3 3 3 2 3 3" xfId="16340" xr:uid="{00000000-0005-0000-0000-000078830000}"/>
    <cellStyle name="40% - Accent5 3 3 3 2 3 3 2" xfId="38942" xr:uid="{00000000-0005-0000-0000-000079830000}"/>
    <cellStyle name="40% - Accent5 3 3 3 2 3 4" xfId="27641" xr:uid="{00000000-0005-0000-0000-00007A830000}"/>
    <cellStyle name="40% - Accent5 3 3 3 2 4" xfId="7859" xr:uid="{00000000-0005-0000-0000-00007B830000}"/>
    <cellStyle name="40% - Accent5 3 3 3 2 4 2" xfId="19160" xr:uid="{00000000-0005-0000-0000-00007C830000}"/>
    <cellStyle name="40% - Accent5 3 3 3 2 4 2 2" xfId="41762" xr:uid="{00000000-0005-0000-0000-00007D830000}"/>
    <cellStyle name="40% - Accent5 3 3 3 2 4 3" xfId="30461" xr:uid="{00000000-0005-0000-0000-00007E830000}"/>
    <cellStyle name="40% - Accent5 3 3 3 2 5" xfId="13510" xr:uid="{00000000-0005-0000-0000-00007F830000}"/>
    <cellStyle name="40% - Accent5 3 3 3 2 5 2" xfId="36112" xr:uid="{00000000-0005-0000-0000-000080830000}"/>
    <cellStyle name="40% - Accent5 3 3 3 2 6" xfId="24811" xr:uid="{00000000-0005-0000-0000-000081830000}"/>
    <cellStyle name="40% - Accent5 3 3 3 3" xfId="2630" xr:uid="{00000000-0005-0000-0000-000082830000}"/>
    <cellStyle name="40% - Accent5 3 3 3 3 2" xfId="5649" xr:uid="{00000000-0005-0000-0000-000083830000}"/>
    <cellStyle name="40% - Accent5 3 3 3 3 2 2" xfId="11299" xr:uid="{00000000-0005-0000-0000-000084830000}"/>
    <cellStyle name="40% - Accent5 3 3 3 3 2 2 2" xfId="22600" xr:uid="{00000000-0005-0000-0000-000085830000}"/>
    <cellStyle name="40% - Accent5 3 3 3 3 2 2 2 2" xfId="45202" xr:uid="{00000000-0005-0000-0000-000086830000}"/>
    <cellStyle name="40% - Accent5 3 3 3 3 2 2 3" xfId="33901" xr:uid="{00000000-0005-0000-0000-000087830000}"/>
    <cellStyle name="40% - Accent5 3 3 3 3 2 3" xfId="16950" xr:uid="{00000000-0005-0000-0000-000088830000}"/>
    <cellStyle name="40% - Accent5 3 3 3 3 2 3 2" xfId="39552" xr:uid="{00000000-0005-0000-0000-000089830000}"/>
    <cellStyle name="40% - Accent5 3 3 3 3 2 4" xfId="28251" xr:uid="{00000000-0005-0000-0000-00008A830000}"/>
    <cellStyle name="40% - Accent5 3 3 3 3 3" xfId="8466" xr:uid="{00000000-0005-0000-0000-00008B830000}"/>
    <cellStyle name="40% - Accent5 3 3 3 3 3 2" xfId="19767" xr:uid="{00000000-0005-0000-0000-00008C830000}"/>
    <cellStyle name="40% - Accent5 3 3 3 3 3 2 2" xfId="42369" xr:uid="{00000000-0005-0000-0000-00008D830000}"/>
    <cellStyle name="40% - Accent5 3 3 3 3 3 3" xfId="31068" xr:uid="{00000000-0005-0000-0000-00008E830000}"/>
    <cellStyle name="40% - Accent5 3 3 3 3 4" xfId="14117" xr:uid="{00000000-0005-0000-0000-00008F830000}"/>
    <cellStyle name="40% - Accent5 3 3 3 3 4 2" xfId="36719" xr:uid="{00000000-0005-0000-0000-000090830000}"/>
    <cellStyle name="40% - Accent5 3 3 3 3 5" xfId="25418" xr:uid="{00000000-0005-0000-0000-000091830000}"/>
    <cellStyle name="40% - Accent5 3 3 3 4" xfId="4415" xr:uid="{00000000-0005-0000-0000-000092830000}"/>
    <cellStyle name="40% - Accent5 3 3 3 4 2" xfId="10065" xr:uid="{00000000-0005-0000-0000-000093830000}"/>
    <cellStyle name="40% - Accent5 3 3 3 4 2 2" xfId="21366" xr:uid="{00000000-0005-0000-0000-000094830000}"/>
    <cellStyle name="40% - Accent5 3 3 3 4 2 2 2" xfId="43968" xr:uid="{00000000-0005-0000-0000-000095830000}"/>
    <cellStyle name="40% - Accent5 3 3 3 4 2 3" xfId="32667" xr:uid="{00000000-0005-0000-0000-000096830000}"/>
    <cellStyle name="40% - Accent5 3 3 3 4 3" xfId="15716" xr:uid="{00000000-0005-0000-0000-000097830000}"/>
    <cellStyle name="40% - Accent5 3 3 3 4 3 2" xfId="38318" xr:uid="{00000000-0005-0000-0000-000098830000}"/>
    <cellStyle name="40% - Accent5 3 3 3 4 4" xfId="27017" xr:uid="{00000000-0005-0000-0000-000099830000}"/>
    <cellStyle name="40% - Accent5 3 3 3 5" xfId="7212" xr:uid="{00000000-0005-0000-0000-00009A830000}"/>
    <cellStyle name="40% - Accent5 3 3 3 5 2" xfId="18513" xr:uid="{00000000-0005-0000-0000-00009B830000}"/>
    <cellStyle name="40% - Accent5 3 3 3 5 2 2" xfId="41115" xr:uid="{00000000-0005-0000-0000-00009C830000}"/>
    <cellStyle name="40% - Accent5 3 3 3 5 3" xfId="29814" xr:uid="{00000000-0005-0000-0000-00009D830000}"/>
    <cellStyle name="40% - Accent5 3 3 3 6" xfId="12863" xr:uid="{00000000-0005-0000-0000-00009E830000}"/>
    <cellStyle name="40% - Accent5 3 3 3 6 2" xfId="35465" xr:uid="{00000000-0005-0000-0000-00009F830000}"/>
    <cellStyle name="40% - Accent5 3 3 3 7" xfId="24164" xr:uid="{00000000-0005-0000-0000-0000A0830000}"/>
    <cellStyle name="40% - Accent5 3 3 4" xfId="924" xr:uid="{00000000-0005-0000-0000-0000A1830000}"/>
    <cellStyle name="40% - Accent5 3 3 4 2" xfId="2994" xr:uid="{00000000-0005-0000-0000-0000A2830000}"/>
    <cellStyle name="40% - Accent5 3 3 4 2 2" xfId="5966" xr:uid="{00000000-0005-0000-0000-0000A3830000}"/>
    <cellStyle name="40% - Accent5 3 3 4 2 2 2" xfId="11616" xr:uid="{00000000-0005-0000-0000-0000A4830000}"/>
    <cellStyle name="40% - Accent5 3 3 4 2 2 2 2" xfId="22917" xr:uid="{00000000-0005-0000-0000-0000A5830000}"/>
    <cellStyle name="40% - Accent5 3 3 4 2 2 2 2 2" xfId="45519" xr:uid="{00000000-0005-0000-0000-0000A6830000}"/>
    <cellStyle name="40% - Accent5 3 3 4 2 2 2 3" xfId="34218" xr:uid="{00000000-0005-0000-0000-0000A7830000}"/>
    <cellStyle name="40% - Accent5 3 3 4 2 2 3" xfId="17267" xr:uid="{00000000-0005-0000-0000-0000A8830000}"/>
    <cellStyle name="40% - Accent5 3 3 4 2 2 3 2" xfId="39869" xr:uid="{00000000-0005-0000-0000-0000A9830000}"/>
    <cellStyle name="40% - Accent5 3 3 4 2 2 4" xfId="28568" xr:uid="{00000000-0005-0000-0000-0000AA830000}"/>
    <cellStyle name="40% - Accent5 3 3 4 2 3" xfId="8784" xr:uid="{00000000-0005-0000-0000-0000AB830000}"/>
    <cellStyle name="40% - Accent5 3 3 4 2 3 2" xfId="20085" xr:uid="{00000000-0005-0000-0000-0000AC830000}"/>
    <cellStyle name="40% - Accent5 3 3 4 2 3 2 2" xfId="42687" xr:uid="{00000000-0005-0000-0000-0000AD830000}"/>
    <cellStyle name="40% - Accent5 3 3 4 2 3 3" xfId="31386" xr:uid="{00000000-0005-0000-0000-0000AE830000}"/>
    <cellStyle name="40% - Accent5 3 3 4 2 4" xfId="14435" xr:uid="{00000000-0005-0000-0000-0000AF830000}"/>
    <cellStyle name="40% - Accent5 3 3 4 2 4 2" xfId="37037" xr:uid="{00000000-0005-0000-0000-0000B0830000}"/>
    <cellStyle name="40% - Accent5 3 3 4 2 5" xfId="25736" xr:uid="{00000000-0005-0000-0000-0000B1830000}"/>
    <cellStyle name="40% - Accent5 3 3 4 3" xfId="4732" xr:uid="{00000000-0005-0000-0000-0000B2830000}"/>
    <cellStyle name="40% - Accent5 3 3 4 3 2" xfId="10382" xr:uid="{00000000-0005-0000-0000-0000B3830000}"/>
    <cellStyle name="40% - Accent5 3 3 4 3 2 2" xfId="21683" xr:uid="{00000000-0005-0000-0000-0000B4830000}"/>
    <cellStyle name="40% - Accent5 3 3 4 3 2 2 2" xfId="44285" xr:uid="{00000000-0005-0000-0000-0000B5830000}"/>
    <cellStyle name="40% - Accent5 3 3 4 3 2 3" xfId="32984" xr:uid="{00000000-0005-0000-0000-0000B6830000}"/>
    <cellStyle name="40% - Accent5 3 3 4 3 3" xfId="16033" xr:uid="{00000000-0005-0000-0000-0000B7830000}"/>
    <cellStyle name="40% - Accent5 3 3 4 3 3 2" xfId="38635" xr:uid="{00000000-0005-0000-0000-0000B8830000}"/>
    <cellStyle name="40% - Accent5 3 3 4 3 4" xfId="27334" xr:uid="{00000000-0005-0000-0000-0000B9830000}"/>
    <cellStyle name="40% - Accent5 3 3 4 4" xfId="6919" xr:uid="{00000000-0005-0000-0000-0000BA830000}"/>
    <cellStyle name="40% - Accent5 3 3 4 4 2" xfId="18220" xr:uid="{00000000-0005-0000-0000-0000BB830000}"/>
    <cellStyle name="40% - Accent5 3 3 4 4 2 2" xfId="40822" xr:uid="{00000000-0005-0000-0000-0000BC830000}"/>
    <cellStyle name="40% - Accent5 3 3 4 4 3" xfId="29521" xr:uid="{00000000-0005-0000-0000-0000BD830000}"/>
    <cellStyle name="40% - Accent5 3 3 4 5" xfId="12570" xr:uid="{00000000-0005-0000-0000-0000BE830000}"/>
    <cellStyle name="40% - Accent5 3 3 4 5 2" xfId="35172" xr:uid="{00000000-0005-0000-0000-0000BF830000}"/>
    <cellStyle name="40% - Accent5 3 3 4 6" xfId="23871" xr:uid="{00000000-0005-0000-0000-0000C0830000}"/>
    <cellStyle name="40% - Accent5 3 3 5" xfId="2000" xr:uid="{00000000-0005-0000-0000-0000C1830000}"/>
    <cellStyle name="40% - Accent5 3 3 5 2" xfId="3802" xr:uid="{00000000-0005-0000-0000-0000C2830000}"/>
    <cellStyle name="40% - Accent5 3 3 5 2 2" xfId="9512" xr:uid="{00000000-0005-0000-0000-0000C3830000}"/>
    <cellStyle name="40% - Accent5 3 3 5 2 2 2" xfId="20813" xr:uid="{00000000-0005-0000-0000-0000C4830000}"/>
    <cellStyle name="40% - Accent5 3 3 5 2 2 2 2" xfId="43415" xr:uid="{00000000-0005-0000-0000-0000C5830000}"/>
    <cellStyle name="40% - Accent5 3 3 5 2 2 3" xfId="32114" xr:uid="{00000000-0005-0000-0000-0000C6830000}"/>
    <cellStyle name="40% - Accent5 3 3 5 2 3" xfId="15163" xr:uid="{00000000-0005-0000-0000-0000C7830000}"/>
    <cellStyle name="40% - Accent5 3 3 5 2 3 2" xfId="37765" xr:uid="{00000000-0005-0000-0000-0000C8830000}"/>
    <cellStyle name="40% - Accent5 3 3 5 2 4" xfId="26464" xr:uid="{00000000-0005-0000-0000-0000C9830000}"/>
    <cellStyle name="40% - Accent5 3 3 5 3" xfId="5342" xr:uid="{00000000-0005-0000-0000-0000CA830000}"/>
    <cellStyle name="40% - Accent5 3 3 5 3 2" xfId="10992" xr:uid="{00000000-0005-0000-0000-0000CB830000}"/>
    <cellStyle name="40% - Accent5 3 3 5 3 2 2" xfId="22293" xr:uid="{00000000-0005-0000-0000-0000CC830000}"/>
    <cellStyle name="40% - Accent5 3 3 5 3 2 2 2" xfId="44895" xr:uid="{00000000-0005-0000-0000-0000CD830000}"/>
    <cellStyle name="40% - Accent5 3 3 5 3 2 3" xfId="33594" xr:uid="{00000000-0005-0000-0000-0000CE830000}"/>
    <cellStyle name="40% - Accent5 3 3 5 3 3" xfId="16643" xr:uid="{00000000-0005-0000-0000-0000CF830000}"/>
    <cellStyle name="40% - Accent5 3 3 5 3 3 2" xfId="39245" xr:uid="{00000000-0005-0000-0000-0000D0830000}"/>
    <cellStyle name="40% - Accent5 3 3 5 3 4" xfId="27944" xr:uid="{00000000-0005-0000-0000-0000D1830000}"/>
    <cellStyle name="40% - Accent5 3 3 5 4" xfId="7856" xr:uid="{00000000-0005-0000-0000-0000D2830000}"/>
    <cellStyle name="40% - Accent5 3 3 5 4 2" xfId="19157" xr:uid="{00000000-0005-0000-0000-0000D3830000}"/>
    <cellStyle name="40% - Accent5 3 3 5 4 2 2" xfId="41759" xr:uid="{00000000-0005-0000-0000-0000D4830000}"/>
    <cellStyle name="40% - Accent5 3 3 5 4 3" xfId="30458" xr:uid="{00000000-0005-0000-0000-0000D5830000}"/>
    <cellStyle name="40% - Accent5 3 3 5 5" xfId="13507" xr:uid="{00000000-0005-0000-0000-0000D6830000}"/>
    <cellStyle name="40% - Accent5 3 3 5 5 2" xfId="36109" xr:uid="{00000000-0005-0000-0000-0000D7830000}"/>
    <cellStyle name="40% - Accent5 3 3 5 6" xfId="24808" xr:uid="{00000000-0005-0000-0000-0000D8830000}"/>
    <cellStyle name="40% - Accent5 3 3 6" xfId="2321" xr:uid="{00000000-0005-0000-0000-0000D9830000}"/>
    <cellStyle name="40% - Accent5 3 3 6 2" xfId="8157" xr:uid="{00000000-0005-0000-0000-0000DA830000}"/>
    <cellStyle name="40% - Accent5 3 3 6 2 2" xfId="19458" xr:uid="{00000000-0005-0000-0000-0000DB830000}"/>
    <cellStyle name="40% - Accent5 3 3 6 2 2 2" xfId="42060" xr:uid="{00000000-0005-0000-0000-0000DC830000}"/>
    <cellStyle name="40% - Accent5 3 3 6 2 3" xfId="30759" xr:uid="{00000000-0005-0000-0000-0000DD830000}"/>
    <cellStyle name="40% - Accent5 3 3 6 3" xfId="13808" xr:uid="{00000000-0005-0000-0000-0000DE830000}"/>
    <cellStyle name="40% - Accent5 3 3 6 3 2" xfId="36410" xr:uid="{00000000-0005-0000-0000-0000DF830000}"/>
    <cellStyle name="40% - Accent5 3 3 6 4" xfId="25109" xr:uid="{00000000-0005-0000-0000-0000E0830000}"/>
    <cellStyle name="40% - Accent5 3 3 7" xfId="4108" xr:uid="{00000000-0005-0000-0000-0000E1830000}"/>
    <cellStyle name="40% - Accent5 3 3 7 2" xfId="9758" xr:uid="{00000000-0005-0000-0000-0000E2830000}"/>
    <cellStyle name="40% - Accent5 3 3 7 2 2" xfId="21059" xr:uid="{00000000-0005-0000-0000-0000E3830000}"/>
    <cellStyle name="40% - Accent5 3 3 7 2 2 2" xfId="43661" xr:uid="{00000000-0005-0000-0000-0000E4830000}"/>
    <cellStyle name="40% - Accent5 3 3 7 2 3" xfId="32360" xr:uid="{00000000-0005-0000-0000-0000E5830000}"/>
    <cellStyle name="40% - Accent5 3 3 7 3" xfId="15409" xr:uid="{00000000-0005-0000-0000-0000E6830000}"/>
    <cellStyle name="40% - Accent5 3 3 7 3 2" xfId="38011" xr:uid="{00000000-0005-0000-0000-0000E7830000}"/>
    <cellStyle name="40% - Accent5 3 3 7 4" xfId="26710" xr:uid="{00000000-0005-0000-0000-0000E8830000}"/>
    <cellStyle name="40% - Accent5 3 3 8" xfId="6559" xr:uid="{00000000-0005-0000-0000-0000E9830000}"/>
    <cellStyle name="40% - Accent5 3 3 8 2" xfId="17860" xr:uid="{00000000-0005-0000-0000-0000EA830000}"/>
    <cellStyle name="40% - Accent5 3 3 8 2 2" xfId="40462" xr:uid="{00000000-0005-0000-0000-0000EB830000}"/>
    <cellStyle name="40% - Accent5 3 3 8 3" xfId="29161" xr:uid="{00000000-0005-0000-0000-0000EC830000}"/>
    <cellStyle name="40% - Accent5 3 3 9" xfId="12210" xr:uid="{00000000-0005-0000-0000-0000ED830000}"/>
    <cellStyle name="40% - Accent5 3 3 9 2" xfId="34812" xr:uid="{00000000-0005-0000-0000-0000EE830000}"/>
    <cellStyle name="40% - Accent5 3 4" xfId="560" xr:uid="{00000000-0005-0000-0000-0000EF830000}"/>
    <cellStyle name="40% - Accent5 3 4 2" xfId="1137" xr:uid="{00000000-0005-0000-0000-0000F0830000}"/>
    <cellStyle name="40% - Accent5 3 4 2 2" xfId="2005" xr:uid="{00000000-0005-0000-0000-0000F1830000}"/>
    <cellStyle name="40% - Accent5 3 4 2 2 2" xfId="3204" xr:uid="{00000000-0005-0000-0000-0000F2830000}"/>
    <cellStyle name="40% - Accent5 3 4 2 2 2 2" xfId="6176" xr:uid="{00000000-0005-0000-0000-0000F3830000}"/>
    <cellStyle name="40% - Accent5 3 4 2 2 2 2 2" xfId="11826" xr:uid="{00000000-0005-0000-0000-0000F4830000}"/>
    <cellStyle name="40% - Accent5 3 4 2 2 2 2 2 2" xfId="23127" xr:uid="{00000000-0005-0000-0000-0000F5830000}"/>
    <cellStyle name="40% - Accent5 3 4 2 2 2 2 2 2 2" xfId="45729" xr:uid="{00000000-0005-0000-0000-0000F6830000}"/>
    <cellStyle name="40% - Accent5 3 4 2 2 2 2 2 3" xfId="34428" xr:uid="{00000000-0005-0000-0000-0000F7830000}"/>
    <cellStyle name="40% - Accent5 3 4 2 2 2 2 3" xfId="17477" xr:uid="{00000000-0005-0000-0000-0000F8830000}"/>
    <cellStyle name="40% - Accent5 3 4 2 2 2 2 3 2" xfId="40079" xr:uid="{00000000-0005-0000-0000-0000F9830000}"/>
    <cellStyle name="40% - Accent5 3 4 2 2 2 2 4" xfId="28778" xr:uid="{00000000-0005-0000-0000-0000FA830000}"/>
    <cellStyle name="40% - Accent5 3 4 2 2 2 3" xfId="8994" xr:uid="{00000000-0005-0000-0000-0000FB830000}"/>
    <cellStyle name="40% - Accent5 3 4 2 2 2 3 2" xfId="20295" xr:uid="{00000000-0005-0000-0000-0000FC830000}"/>
    <cellStyle name="40% - Accent5 3 4 2 2 2 3 2 2" xfId="42897" xr:uid="{00000000-0005-0000-0000-0000FD830000}"/>
    <cellStyle name="40% - Accent5 3 4 2 2 2 3 3" xfId="31596" xr:uid="{00000000-0005-0000-0000-0000FE830000}"/>
    <cellStyle name="40% - Accent5 3 4 2 2 2 4" xfId="14645" xr:uid="{00000000-0005-0000-0000-0000FF830000}"/>
    <cellStyle name="40% - Accent5 3 4 2 2 2 4 2" xfId="37247" xr:uid="{00000000-0005-0000-0000-000000840000}"/>
    <cellStyle name="40% - Accent5 3 4 2 2 2 5" xfId="25946" xr:uid="{00000000-0005-0000-0000-000001840000}"/>
    <cellStyle name="40% - Accent5 3 4 2 2 3" xfId="4942" xr:uid="{00000000-0005-0000-0000-000002840000}"/>
    <cellStyle name="40% - Accent5 3 4 2 2 3 2" xfId="10592" xr:uid="{00000000-0005-0000-0000-000003840000}"/>
    <cellStyle name="40% - Accent5 3 4 2 2 3 2 2" xfId="21893" xr:uid="{00000000-0005-0000-0000-000004840000}"/>
    <cellStyle name="40% - Accent5 3 4 2 2 3 2 2 2" xfId="44495" xr:uid="{00000000-0005-0000-0000-000005840000}"/>
    <cellStyle name="40% - Accent5 3 4 2 2 3 2 3" xfId="33194" xr:uid="{00000000-0005-0000-0000-000006840000}"/>
    <cellStyle name="40% - Accent5 3 4 2 2 3 3" xfId="16243" xr:uid="{00000000-0005-0000-0000-000007840000}"/>
    <cellStyle name="40% - Accent5 3 4 2 2 3 3 2" xfId="38845" xr:uid="{00000000-0005-0000-0000-000008840000}"/>
    <cellStyle name="40% - Accent5 3 4 2 2 3 4" xfId="27544" xr:uid="{00000000-0005-0000-0000-000009840000}"/>
    <cellStyle name="40% - Accent5 3 4 2 2 4" xfId="7861" xr:uid="{00000000-0005-0000-0000-00000A840000}"/>
    <cellStyle name="40% - Accent5 3 4 2 2 4 2" xfId="19162" xr:uid="{00000000-0005-0000-0000-00000B840000}"/>
    <cellStyle name="40% - Accent5 3 4 2 2 4 2 2" xfId="41764" xr:uid="{00000000-0005-0000-0000-00000C840000}"/>
    <cellStyle name="40% - Accent5 3 4 2 2 4 3" xfId="30463" xr:uid="{00000000-0005-0000-0000-00000D840000}"/>
    <cellStyle name="40% - Accent5 3 4 2 2 5" xfId="13512" xr:uid="{00000000-0005-0000-0000-00000E840000}"/>
    <cellStyle name="40% - Accent5 3 4 2 2 5 2" xfId="36114" xr:uid="{00000000-0005-0000-0000-00000F840000}"/>
    <cellStyle name="40% - Accent5 3 4 2 2 6" xfId="24813" xr:uid="{00000000-0005-0000-0000-000010840000}"/>
    <cellStyle name="40% - Accent5 3 4 2 3" xfId="2533" xr:uid="{00000000-0005-0000-0000-000011840000}"/>
    <cellStyle name="40% - Accent5 3 4 2 3 2" xfId="5552" xr:uid="{00000000-0005-0000-0000-000012840000}"/>
    <cellStyle name="40% - Accent5 3 4 2 3 2 2" xfId="11202" xr:uid="{00000000-0005-0000-0000-000013840000}"/>
    <cellStyle name="40% - Accent5 3 4 2 3 2 2 2" xfId="22503" xr:uid="{00000000-0005-0000-0000-000014840000}"/>
    <cellStyle name="40% - Accent5 3 4 2 3 2 2 2 2" xfId="45105" xr:uid="{00000000-0005-0000-0000-000015840000}"/>
    <cellStyle name="40% - Accent5 3 4 2 3 2 2 3" xfId="33804" xr:uid="{00000000-0005-0000-0000-000016840000}"/>
    <cellStyle name="40% - Accent5 3 4 2 3 2 3" xfId="16853" xr:uid="{00000000-0005-0000-0000-000017840000}"/>
    <cellStyle name="40% - Accent5 3 4 2 3 2 3 2" xfId="39455" xr:uid="{00000000-0005-0000-0000-000018840000}"/>
    <cellStyle name="40% - Accent5 3 4 2 3 2 4" xfId="28154" xr:uid="{00000000-0005-0000-0000-000019840000}"/>
    <cellStyle name="40% - Accent5 3 4 2 3 3" xfId="8369" xr:uid="{00000000-0005-0000-0000-00001A840000}"/>
    <cellStyle name="40% - Accent5 3 4 2 3 3 2" xfId="19670" xr:uid="{00000000-0005-0000-0000-00001B840000}"/>
    <cellStyle name="40% - Accent5 3 4 2 3 3 2 2" xfId="42272" xr:uid="{00000000-0005-0000-0000-00001C840000}"/>
    <cellStyle name="40% - Accent5 3 4 2 3 3 3" xfId="30971" xr:uid="{00000000-0005-0000-0000-00001D840000}"/>
    <cellStyle name="40% - Accent5 3 4 2 3 4" xfId="14020" xr:uid="{00000000-0005-0000-0000-00001E840000}"/>
    <cellStyle name="40% - Accent5 3 4 2 3 4 2" xfId="36622" xr:uid="{00000000-0005-0000-0000-00001F840000}"/>
    <cellStyle name="40% - Accent5 3 4 2 3 5" xfId="25321" xr:uid="{00000000-0005-0000-0000-000020840000}"/>
    <cellStyle name="40% - Accent5 3 4 2 4" xfId="4318" xr:uid="{00000000-0005-0000-0000-000021840000}"/>
    <cellStyle name="40% - Accent5 3 4 2 4 2" xfId="9968" xr:uid="{00000000-0005-0000-0000-000022840000}"/>
    <cellStyle name="40% - Accent5 3 4 2 4 2 2" xfId="21269" xr:uid="{00000000-0005-0000-0000-000023840000}"/>
    <cellStyle name="40% - Accent5 3 4 2 4 2 2 2" xfId="43871" xr:uid="{00000000-0005-0000-0000-000024840000}"/>
    <cellStyle name="40% - Accent5 3 4 2 4 2 3" xfId="32570" xr:uid="{00000000-0005-0000-0000-000025840000}"/>
    <cellStyle name="40% - Accent5 3 4 2 4 3" xfId="15619" xr:uid="{00000000-0005-0000-0000-000026840000}"/>
    <cellStyle name="40% - Accent5 3 4 2 4 3 2" xfId="38221" xr:uid="{00000000-0005-0000-0000-000027840000}"/>
    <cellStyle name="40% - Accent5 3 4 2 4 4" xfId="26920" xr:uid="{00000000-0005-0000-0000-000028840000}"/>
    <cellStyle name="40% - Accent5 3 4 2 5" xfId="7116" xr:uid="{00000000-0005-0000-0000-000029840000}"/>
    <cellStyle name="40% - Accent5 3 4 2 5 2" xfId="18417" xr:uid="{00000000-0005-0000-0000-00002A840000}"/>
    <cellStyle name="40% - Accent5 3 4 2 5 2 2" xfId="41019" xr:uid="{00000000-0005-0000-0000-00002B840000}"/>
    <cellStyle name="40% - Accent5 3 4 2 5 3" xfId="29718" xr:uid="{00000000-0005-0000-0000-00002C840000}"/>
    <cellStyle name="40% - Accent5 3 4 2 6" xfId="12767" xr:uid="{00000000-0005-0000-0000-00002D840000}"/>
    <cellStyle name="40% - Accent5 3 4 2 6 2" xfId="35369" xr:uid="{00000000-0005-0000-0000-00002E840000}"/>
    <cellStyle name="40% - Accent5 3 4 2 7" xfId="24068" xr:uid="{00000000-0005-0000-0000-00002F840000}"/>
    <cellStyle name="40% - Accent5 3 4 3" xfId="810" xr:uid="{00000000-0005-0000-0000-000030840000}"/>
    <cellStyle name="40% - Accent5 3 4 3 2" xfId="2898" xr:uid="{00000000-0005-0000-0000-000031840000}"/>
    <cellStyle name="40% - Accent5 3 4 3 2 2" xfId="5870" xr:uid="{00000000-0005-0000-0000-000032840000}"/>
    <cellStyle name="40% - Accent5 3 4 3 2 2 2" xfId="11520" xr:uid="{00000000-0005-0000-0000-000033840000}"/>
    <cellStyle name="40% - Accent5 3 4 3 2 2 2 2" xfId="22821" xr:uid="{00000000-0005-0000-0000-000034840000}"/>
    <cellStyle name="40% - Accent5 3 4 3 2 2 2 2 2" xfId="45423" xr:uid="{00000000-0005-0000-0000-000035840000}"/>
    <cellStyle name="40% - Accent5 3 4 3 2 2 2 3" xfId="34122" xr:uid="{00000000-0005-0000-0000-000036840000}"/>
    <cellStyle name="40% - Accent5 3 4 3 2 2 3" xfId="17171" xr:uid="{00000000-0005-0000-0000-000037840000}"/>
    <cellStyle name="40% - Accent5 3 4 3 2 2 3 2" xfId="39773" xr:uid="{00000000-0005-0000-0000-000038840000}"/>
    <cellStyle name="40% - Accent5 3 4 3 2 2 4" xfId="28472" xr:uid="{00000000-0005-0000-0000-000039840000}"/>
    <cellStyle name="40% - Accent5 3 4 3 2 3" xfId="8688" xr:uid="{00000000-0005-0000-0000-00003A840000}"/>
    <cellStyle name="40% - Accent5 3 4 3 2 3 2" xfId="19989" xr:uid="{00000000-0005-0000-0000-00003B840000}"/>
    <cellStyle name="40% - Accent5 3 4 3 2 3 2 2" xfId="42591" xr:uid="{00000000-0005-0000-0000-00003C840000}"/>
    <cellStyle name="40% - Accent5 3 4 3 2 3 3" xfId="31290" xr:uid="{00000000-0005-0000-0000-00003D840000}"/>
    <cellStyle name="40% - Accent5 3 4 3 2 4" xfId="14339" xr:uid="{00000000-0005-0000-0000-00003E840000}"/>
    <cellStyle name="40% - Accent5 3 4 3 2 4 2" xfId="36941" xr:uid="{00000000-0005-0000-0000-00003F840000}"/>
    <cellStyle name="40% - Accent5 3 4 3 2 5" xfId="25640" xr:uid="{00000000-0005-0000-0000-000040840000}"/>
    <cellStyle name="40% - Accent5 3 4 3 3" xfId="4636" xr:uid="{00000000-0005-0000-0000-000041840000}"/>
    <cellStyle name="40% - Accent5 3 4 3 3 2" xfId="10286" xr:uid="{00000000-0005-0000-0000-000042840000}"/>
    <cellStyle name="40% - Accent5 3 4 3 3 2 2" xfId="21587" xr:uid="{00000000-0005-0000-0000-000043840000}"/>
    <cellStyle name="40% - Accent5 3 4 3 3 2 2 2" xfId="44189" xr:uid="{00000000-0005-0000-0000-000044840000}"/>
    <cellStyle name="40% - Accent5 3 4 3 3 2 3" xfId="32888" xr:uid="{00000000-0005-0000-0000-000045840000}"/>
    <cellStyle name="40% - Accent5 3 4 3 3 3" xfId="15937" xr:uid="{00000000-0005-0000-0000-000046840000}"/>
    <cellStyle name="40% - Accent5 3 4 3 3 3 2" xfId="38539" xr:uid="{00000000-0005-0000-0000-000047840000}"/>
    <cellStyle name="40% - Accent5 3 4 3 3 4" xfId="27238" xr:uid="{00000000-0005-0000-0000-000048840000}"/>
    <cellStyle name="40% - Accent5 3 4 3 4" xfId="6819" xr:uid="{00000000-0005-0000-0000-000049840000}"/>
    <cellStyle name="40% - Accent5 3 4 3 4 2" xfId="18120" xr:uid="{00000000-0005-0000-0000-00004A840000}"/>
    <cellStyle name="40% - Accent5 3 4 3 4 2 2" xfId="40722" xr:uid="{00000000-0005-0000-0000-00004B840000}"/>
    <cellStyle name="40% - Accent5 3 4 3 4 3" xfId="29421" xr:uid="{00000000-0005-0000-0000-00004C840000}"/>
    <cellStyle name="40% - Accent5 3 4 3 5" xfId="12470" xr:uid="{00000000-0005-0000-0000-00004D840000}"/>
    <cellStyle name="40% - Accent5 3 4 3 5 2" xfId="35072" xr:uid="{00000000-0005-0000-0000-00004E840000}"/>
    <cellStyle name="40% - Accent5 3 4 3 6" xfId="23771" xr:uid="{00000000-0005-0000-0000-00004F840000}"/>
    <cellStyle name="40% - Accent5 3 4 4" xfId="2004" xr:uid="{00000000-0005-0000-0000-000050840000}"/>
    <cellStyle name="40% - Accent5 3 4 4 2" xfId="3804" xr:uid="{00000000-0005-0000-0000-000051840000}"/>
    <cellStyle name="40% - Accent5 3 4 4 2 2" xfId="9514" xr:uid="{00000000-0005-0000-0000-000052840000}"/>
    <cellStyle name="40% - Accent5 3 4 4 2 2 2" xfId="20815" xr:uid="{00000000-0005-0000-0000-000053840000}"/>
    <cellStyle name="40% - Accent5 3 4 4 2 2 2 2" xfId="43417" xr:uid="{00000000-0005-0000-0000-000054840000}"/>
    <cellStyle name="40% - Accent5 3 4 4 2 2 3" xfId="32116" xr:uid="{00000000-0005-0000-0000-000055840000}"/>
    <cellStyle name="40% - Accent5 3 4 4 2 3" xfId="15165" xr:uid="{00000000-0005-0000-0000-000056840000}"/>
    <cellStyle name="40% - Accent5 3 4 4 2 3 2" xfId="37767" xr:uid="{00000000-0005-0000-0000-000057840000}"/>
    <cellStyle name="40% - Accent5 3 4 4 2 4" xfId="26466" xr:uid="{00000000-0005-0000-0000-000058840000}"/>
    <cellStyle name="40% - Accent5 3 4 4 3" xfId="5246" xr:uid="{00000000-0005-0000-0000-000059840000}"/>
    <cellStyle name="40% - Accent5 3 4 4 3 2" xfId="10896" xr:uid="{00000000-0005-0000-0000-00005A840000}"/>
    <cellStyle name="40% - Accent5 3 4 4 3 2 2" xfId="22197" xr:uid="{00000000-0005-0000-0000-00005B840000}"/>
    <cellStyle name="40% - Accent5 3 4 4 3 2 2 2" xfId="44799" xr:uid="{00000000-0005-0000-0000-00005C840000}"/>
    <cellStyle name="40% - Accent5 3 4 4 3 2 3" xfId="33498" xr:uid="{00000000-0005-0000-0000-00005D840000}"/>
    <cellStyle name="40% - Accent5 3 4 4 3 3" xfId="16547" xr:uid="{00000000-0005-0000-0000-00005E840000}"/>
    <cellStyle name="40% - Accent5 3 4 4 3 3 2" xfId="39149" xr:uid="{00000000-0005-0000-0000-00005F840000}"/>
    <cellStyle name="40% - Accent5 3 4 4 3 4" xfId="27848" xr:uid="{00000000-0005-0000-0000-000060840000}"/>
    <cellStyle name="40% - Accent5 3 4 4 4" xfId="7860" xr:uid="{00000000-0005-0000-0000-000061840000}"/>
    <cellStyle name="40% - Accent5 3 4 4 4 2" xfId="19161" xr:uid="{00000000-0005-0000-0000-000062840000}"/>
    <cellStyle name="40% - Accent5 3 4 4 4 2 2" xfId="41763" xr:uid="{00000000-0005-0000-0000-000063840000}"/>
    <cellStyle name="40% - Accent5 3 4 4 4 3" xfId="30462" xr:uid="{00000000-0005-0000-0000-000064840000}"/>
    <cellStyle name="40% - Accent5 3 4 4 5" xfId="13511" xr:uid="{00000000-0005-0000-0000-000065840000}"/>
    <cellStyle name="40% - Accent5 3 4 4 5 2" xfId="36113" xr:uid="{00000000-0005-0000-0000-000066840000}"/>
    <cellStyle name="40% - Accent5 3 4 4 6" xfId="24812" xr:uid="{00000000-0005-0000-0000-000067840000}"/>
    <cellStyle name="40% - Accent5 3 4 5" xfId="2218" xr:uid="{00000000-0005-0000-0000-000068840000}"/>
    <cellStyle name="40% - Accent5 3 4 5 2" xfId="8060" xr:uid="{00000000-0005-0000-0000-000069840000}"/>
    <cellStyle name="40% - Accent5 3 4 5 2 2" xfId="19361" xr:uid="{00000000-0005-0000-0000-00006A840000}"/>
    <cellStyle name="40% - Accent5 3 4 5 2 2 2" xfId="41963" xr:uid="{00000000-0005-0000-0000-00006B840000}"/>
    <cellStyle name="40% - Accent5 3 4 5 2 3" xfId="30662" xr:uid="{00000000-0005-0000-0000-00006C840000}"/>
    <cellStyle name="40% - Accent5 3 4 5 3" xfId="13711" xr:uid="{00000000-0005-0000-0000-00006D840000}"/>
    <cellStyle name="40% - Accent5 3 4 5 3 2" xfId="36313" xr:uid="{00000000-0005-0000-0000-00006E840000}"/>
    <cellStyle name="40% - Accent5 3 4 5 4" xfId="25012" xr:uid="{00000000-0005-0000-0000-00006F840000}"/>
    <cellStyle name="40% - Accent5 3 4 6" xfId="4012" xr:uid="{00000000-0005-0000-0000-000070840000}"/>
    <cellStyle name="40% - Accent5 3 4 6 2" xfId="9662" xr:uid="{00000000-0005-0000-0000-000071840000}"/>
    <cellStyle name="40% - Accent5 3 4 6 2 2" xfId="20963" xr:uid="{00000000-0005-0000-0000-000072840000}"/>
    <cellStyle name="40% - Accent5 3 4 6 2 2 2" xfId="43565" xr:uid="{00000000-0005-0000-0000-000073840000}"/>
    <cellStyle name="40% - Accent5 3 4 6 2 3" xfId="32264" xr:uid="{00000000-0005-0000-0000-000074840000}"/>
    <cellStyle name="40% - Accent5 3 4 6 3" xfId="15313" xr:uid="{00000000-0005-0000-0000-000075840000}"/>
    <cellStyle name="40% - Accent5 3 4 6 3 2" xfId="37915" xr:uid="{00000000-0005-0000-0000-000076840000}"/>
    <cellStyle name="40% - Accent5 3 4 6 4" xfId="26614" xr:uid="{00000000-0005-0000-0000-000077840000}"/>
    <cellStyle name="40% - Accent5 3 4 7" xfId="6630" xr:uid="{00000000-0005-0000-0000-000078840000}"/>
    <cellStyle name="40% - Accent5 3 4 7 2" xfId="17931" xr:uid="{00000000-0005-0000-0000-000079840000}"/>
    <cellStyle name="40% - Accent5 3 4 7 2 2" xfId="40533" xr:uid="{00000000-0005-0000-0000-00007A840000}"/>
    <cellStyle name="40% - Accent5 3 4 7 3" xfId="29232" xr:uid="{00000000-0005-0000-0000-00007B840000}"/>
    <cellStyle name="40% - Accent5 3 4 8" xfId="12281" xr:uid="{00000000-0005-0000-0000-00007C840000}"/>
    <cellStyle name="40% - Accent5 3 4 8 2" xfId="34883" xr:uid="{00000000-0005-0000-0000-00007D840000}"/>
    <cellStyle name="40% - Accent5 3 4 9" xfId="23582" xr:uid="{00000000-0005-0000-0000-00007E840000}"/>
    <cellStyle name="40% - Accent5 3 5" xfId="459" xr:uid="{00000000-0005-0000-0000-00007F840000}"/>
    <cellStyle name="40% - Accent5 3 6" xfId="1418" xr:uid="{00000000-0005-0000-0000-000080840000}"/>
    <cellStyle name="40% - Accent5 3 7" xfId="6463" xr:uid="{00000000-0005-0000-0000-000081840000}"/>
    <cellStyle name="40% - Accent5 3 7 2" xfId="17764" xr:uid="{00000000-0005-0000-0000-000082840000}"/>
    <cellStyle name="40% - Accent5 3 7 2 2" xfId="40366" xr:uid="{00000000-0005-0000-0000-000083840000}"/>
    <cellStyle name="40% - Accent5 3 7 3" xfId="29065" xr:uid="{00000000-0005-0000-0000-000084840000}"/>
    <cellStyle name="40% - Accent5 3 8" xfId="12114" xr:uid="{00000000-0005-0000-0000-000085840000}"/>
    <cellStyle name="40% - Accent5 3 8 2" xfId="34716" xr:uid="{00000000-0005-0000-0000-000086840000}"/>
    <cellStyle name="40% - Accent5 3 9" xfId="23415" xr:uid="{00000000-0005-0000-0000-000087840000}"/>
    <cellStyle name="40% - Accent5 4" xfId="245" xr:uid="{00000000-0005-0000-0000-000088840000}"/>
    <cellStyle name="40% - Accent5 4 10" xfId="3998" xr:uid="{00000000-0005-0000-0000-000089840000}"/>
    <cellStyle name="40% - Accent5 4 10 2" xfId="9648" xr:uid="{00000000-0005-0000-0000-00008A840000}"/>
    <cellStyle name="40% - Accent5 4 10 2 2" xfId="20949" xr:uid="{00000000-0005-0000-0000-00008B840000}"/>
    <cellStyle name="40% - Accent5 4 10 2 2 2" xfId="43551" xr:uid="{00000000-0005-0000-0000-00008C840000}"/>
    <cellStyle name="40% - Accent5 4 10 2 3" xfId="32250" xr:uid="{00000000-0005-0000-0000-00008D840000}"/>
    <cellStyle name="40% - Accent5 4 10 3" xfId="15299" xr:uid="{00000000-0005-0000-0000-00008E840000}"/>
    <cellStyle name="40% - Accent5 4 10 3 2" xfId="37901" xr:uid="{00000000-0005-0000-0000-00008F840000}"/>
    <cellStyle name="40% - Accent5 4 10 4" xfId="26600" xr:uid="{00000000-0005-0000-0000-000090840000}"/>
    <cellStyle name="40% - Accent5 4 11" xfId="6477" xr:uid="{00000000-0005-0000-0000-000091840000}"/>
    <cellStyle name="40% - Accent5 4 11 2" xfId="17778" xr:uid="{00000000-0005-0000-0000-000092840000}"/>
    <cellStyle name="40% - Accent5 4 11 2 2" xfId="40380" xr:uid="{00000000-0005-0000-0000-000093840000}"/>
    <cellStyle name="40% - Accent5 4 11 3" xfId="29079" xr:uid="{00000000-0005-0000-0000-000094840000}"/>
    <cellStyle name="40% - Accent5 4 12" xfId="12128" xr:uid="{00000000-0005-0000-0000-000095840000}"/>
    <cellStyle name="40% - Accent5 4 12 2" xfId="34730" xr:uid="{00000000-0005-0000-0000-000096840000}"/>
    <cellStyle name="40% - Accent5 4 13" xfId="23429" xr:uid="{00000000-0005-0000-0000-000097840000}"/>
    <cellStyle name="40% - Accent5 4 2" xfId="368" xr:uid="{00000000-0005-0000-0000-000098840000}"/>
    <cellStyle name="40% - Accent5 4 2 10" xfId="23476" xr:uid="{00000000-0005-0000-0000-000099840000}"/>
    <cellStyle name="40% - Accent5 4 2 2" xfId="626" xr:uid="{00000000-0005-0000-0000-00009A840000}"/>
    <cellStyle name="40% - Accent5 4 2 2 2" xfId="1336" xr:uid="{00000000-0005-0000-0000-00009B840000}"/>
    <cellStyle name="40% - Accent5 4 2 2 2 2" xfId="2009" xr:uid="{00000000-0005-0000-0000-00009C840000}"/>
    <cellStyle name="40% - Accent5 4 2 2 2 2 2" xfId="3405" xr:uid="{00000000-0005-0000-0000-00009D840000}"/>
    <cellStyle name="40% - Accent5 4 2 2 2 2 2 2" xfId="6377" xr:uid="{00000000-0005-0000-0000-00009E840000}"/>
    <cellStyle name="40% - Accent5 4 2 2 2 2 2 2 2" xfId="12027" xr:uid="{00000000-0005-0000-0000-00009F840000}"/>
    <cellStyle name="40% - Accent5 4 2 2 2 2 2 2 2 2" xfId="23328" xr:uid="{00000000-0005-0000-0000-0000A0840000}"/>
    <cellStyle name="40% - Accent5 4 2 2 2 2 2 2 2 2 2" xfId="45930" xr:uid="{00000000-0005-0000-0000-0000A1840000}"/>
    <cellStyle name="40% - Accent5 4 2 2 2 2 2 2 2 3" xfId="34629" xr:uid="{00000000-0005-0000-0000-0000A2840000}"/>
    <cellStyle name="40% - Accent5 4 2 2 2 2 2 2 3" xfId="17678" xr:uid="{00000000-0005-0000-0000-0000A3840000}"/>
    <cellStyle name="40% - Accent5 4 2 2 2 2 2 2 3 2" xfId="40280" xr:uid="{00000000-0005-0000-0000-0000A4840000}"/>
    <cellStyle name="40% - Accent5 4 2 2 2 2 2 2 4" xfId="28979" xr:uid="{00000000-0005-0000-0000-0000A5840000}"/>
    <cellStyle name="40% - Accent5 4 2 2 2 2 2 3" xfId="9195" xr:uid="{00000000-0005-0000-0000-0000A6840000}"/>
    <cellStyle name="40% - Accent5 4 2 2 2 2 2 3 2" xfId="20496" xr:uid="{00000000-0005-0000-0000-0000A7840000}"/>
    <cellStyle name="40% - Accent5 4 2 2 2 2 2 3 2 2" xfId="43098" xr:uid="{00000000-0005-0000-0000-0000A8840000}"/>
    <cellStyle name="40% - Accent5 4 2 2 2 2 2 3 3" xfId="31797" xr:uid="{00000000-0005-0000-0000-0000A9840000}"/>
    <cellStyle name="40% - Accent5 4 2 2 2 2 2 4" xfId="14846" xr:uid="{00000000-0005-0000-0000-0000AA840000}"/>
    <cellStyle name="40% - Accent5 4 2 2 2 2 2 4 2" xfId="37448" xr:uid="{00000000-0005-0000-0000-0000AB840000}"/>
    <cellStyle name="40% - Accent5 4 2 2 2 2 2 5" xfId="26147" xr:uid="{00000000-0005-0000-0000-0000AC840000}"/>
    <cellStyle name="40% - Accent5 4 2 2 2 2 3" xfId="5143" xr:uid="{00000000-0005-0000-0000-0000AD840000}"/>
    <cellStyle name="40% - Accent5 4 2 2 2 2 3 2" xfId="10793" xr:uid="{00000000-0005-0000-0000-0000AE840000}"/>
    <cellStyle name="40% - Accent5 4 2 2 2 2 3 2 2" xfId="22094" xr:uid="{00000000-0005-0000-0000-0000AF840000}"/>
    <cellStyle name="40% - Accent5 4 2 2 2 2 3 2 2 2" xfId="44696" xr:uid="{00000000-0005-0000-0000-0000B0840000}"/>
    <cellStyle name="40% - Accent5 4 2 2 2 2 3 2 3" xfId="33395" xr:uid="{00000000-0005-0000-0000-0000B1840000}"/>
    <cellStyle name="40% - Accent5 4 2 2 2 2 3 3" xfId="16444" xr:uid="{00000000-0005-0000-0000-0000B2840000}"/>
    <cellStyle name="40% - Accent5 4 2 2 2 2 3 3 2" xfId="39046" xr:uid="{00000000-0005-0000-0000-0000B3840000}"/>
    <cellStyle name="40% - Accent5 4 2 2 2 2 3 4" xfId="27745" xr:uid="{00000000-0005-0000-0000-0000B4840000}"/>
    <cellStyle name="40% - Accent5 4 2 2 2 2 4" xfId="7865" xr:uid="{00000000-0005-0000-0000-0000B5840000}"/>
    <cellStyle name="40% - Accent5 4 2 2 2 2 4 2" xfId="19166" xr:uid="{00000000-0005-0000-0000-0000B6840000}"/>
    <cellStyle name="40% - Accent5 4 2 2 2 2 4 2 2" xfId="41768" xr:uid="{00000000-0005-0000-0000-0000B7840000}"/>
    <cellStyle name="40% - Accent5 4 2 2 2 2 4 3" xfId="30467" xr:uid="{00000000-0005-0000-0000-0000B8840000}"/>
    <cellStyle name="40% - Accent5 4 2 2 2 2 5" xfId="13516" xr:uid="{00000000-0005-0000-0000-0000B9840000}"/>
    <cellStyle name="40% - Accent5 4 2 2 2 2 5 2" xfId="36118" xr:uid="{00000000-0005-0000-0000-0000BA840000}"/>
    <cellStyle name="40% - Accent5 4 2 2 2 2 6" xfId="24817" xr:uid="{00000000-0005-0000-0000-0000BB840000}"/>
    <cellStyle name="40% - Accent5 4 2 2 2 3" xfId="2734" xr:uid="{00000000-0005-0000-0000-0000BC840000}"/>
    <cellStyle name="40% - Accent5 4 2 2 2 3 2" xfId="5753" xr:uid="{00000000-0005-0000-0000-0000BD840000}"/>
    <cellStyle name="40% - Accent5 4 2 2 2 3 2 2" xfId="11403" xr:uid="{00000000-0005-0000-0000-0000BE840000}"/>
    <cellStyle name="40% - Accent5 4 2 2 2 3 2 2 2" xfId="22704" xr:uid="{00000000-0005-0000-0000-0000BF840000}"/>
    <cellStyle name="40% - Accent5 4 2 2 2 3 2 2 2 2" xfId="45306" xr:uid="{00000000-0005-0000-0000-0000C0840000}"/>
    <cellStyle name="40% - Accent5 4 2 2 2 3 2 2 3" xfId="34005" xr:uid="{00000000-0005-0000-0000-0000C1840000}"/>
    <cellStyle name="40% - Accent5 4 2 2 2 3 2 3" xfId="17054" xr:uid="{00000000-0005-0000-0000-0000C2840000}"/>
    <cellStyle name="40% - Accent5 4 2 2 2 3 2 3 2" xfId="39656" xr:uid="{00000000-0005-0000-0000-0000C3840000}"/>
    <cellStyle name="40% - Accent5 4 2 2 2 3 2 4" xfId="28355" xr:uid="{00000000-0005-0000-0000-0000C4840000}"/>
    <cellStyle name="40% - Accent5 4 2 2 2 3 3" xfId="8570" xr:uid="{00000000-0005-0000-0000-0000C5840000}"/>
    <cellStyle name="40% - Accent5 4 2 2 2 3 3 2" xfId="19871" xr:uid="{00000000-0005-0000-0000-0000C6840000}"/>
    <cellStyle name="40% - Accent5 4 2 2 2 3 3 2 2" xfId="42473" xr:uid="{00000000-0005-0000-0000-0000C7840000}"/>
    <cellStyle name="40% - Accent5 4 2 2 2 3 3 3" xfId="31172" xr:uid="{00000000-0005-0000-0000-0000C8840000}"/>
    <cellStyle name="40% - Accent5 4 2 2 2 3 4" xfId="14221" xr:uid="{00000000-0005-0000-0000-0000C9840000}"/>
    <cellStyle name="40% - Accent5 4 2 2 2 3 4 2" xfId="36823" xr:uid="{00000000-0005-0000-0000-0000CA840000}"/>
    <cellStyle name="40% - Accent5 4 2 2 2 3 5" xfId="25522" xr:uid="{00000000-0005-0000-0000-0000CB840000}"/>
    <cellStyle name="40% - Accent5 4 2 2 2 4" xfId="4519" xr:uid="{00000000-0005-0000-0000-0000CC840000}"/>
    <cellStyle name="40% - Accent5 4 2 2 2 4 2" xfId="10169" xr:uid="{00000000-0005-0000-0000-0000CD840000}"/>
    <cellStyle name="40% - Accent5 4 2 2 2 4 2 2" xfId="21470" xr:uid="{00000000-0005-0000-0000-0000CE840000}"/>
    <cellStyle name="40% - Accent5 4 2 2 2 4 2 2 2" xfId="44072" xr:uid="{00000000-0005-0000-0000-0000CF840000}"/>
    <cellStyle name="40% - Accent5 4 2 2 2 4 2 3" xfId="32771" xr:uid="{00000000-0005-0000-0000-0000D0840000}"/>
    <cellStyle name="40% - Accent5 4 2 2 2 4 3" xfId="15820" xr:uid="{00000000-0005-0000-0000-0000D1840000}"/>
    <cellStyle name="40% - Accent5 4 2 2 2 4 3 2" xfId="38422" xr:uid="{00000000-0005-0000-0000-0000D2840000}"/>
    <cellStyle name="40% - Accent5 4 2 2 2 4 4" xfId="27121" xr:uid="{00000000-0005-0000-0000-0000D3840000}"/>
    <cellStyle name="40% - Accent5 4 2 2 2 5" xfId="7315" xr:uid="{00000000-0005-0000-0000-0000D4840000}"/>
    <cellStyle name="40% - Accent5 4 2 2 2 5 2" xfId="18616" xr:uid="{00000000-0005-0000-0000-0000D5840000}"/>
    <cellStyle name="40% - Accent5 4 2 2 2 5 2 2" xfId="41218" xr:uid="{00000000-0005-0000-0000-0000D6840000}"/>
    <cellStyle name="40% - Accent5 4 2 2 2 5 3" xfId="29917" xr:uid="{00000000-0005-0000-0000-0000D7840000}"/>
    <cellStyle name="40% - Accent5 4 2 2 2 6" xfId="12966" xr:uid="{00000000-0005-0000-0000-0000D8840000}"/>
    <cellStyle name="40% - Accent5 4 2 2 2 6 2" xfId="35568" xr:uid="{00000000-0005-0000-0000-0000D9840000}"/>
    <cellStyle name="40% - Accent5 4 2 2 2 7" xfId="24267" xr:uid="{00000000-0005-0000-0000-0000DA840000}"/>
    <cellStyle name="40% - Accent5 4 2 2 3" xfId="1034" xr:uid="{00000000-0005-0000-0000-0000DB840000}"/>
    <cellStyle name="40% - Accent5 4 2 2 3 2" xfId="3097" xr:uid="{00000000-0005-0000-0000-0000DC840000}"/>
    <cellStyle name="40% - Accent5 4 2 2 3 2 2" xfId="6069" xr:uid="{00000000-0005-0000-0000-0000DD840000}"/>
    <cellStyle name="40% - Accent5 4 2 2 3 2 2 2" xfId="11719" xr:uid="{00000000-0005-0000-0000-0000DE840000}"/>
    <cellStyle name="40% - Accent5 4 2 2 3 2 2 2 2" xfId="23020" xr:uid="{00000000-0005-0000-0000-0000DF840000}"/>
    <cellStyle name="40% - Accent5 4 2 2 3 2 2 2 2 2" xfId="45622" xr:uid="{00000000-0005-0000-0000-0000E0840000}"/>
    <cellStyle name="40% - Accent5 4 2 2 3 2 2 2 3" xfId="34321" xr:uid="{00000000-0005-0000-0000-0000E1840000}"/>
    <cellStyle name="40% - Accent5 4 2 2 3 2 2 3" xfId="17370" xr:uid="{00000000-0005-0000-0000-0000E2840000}"/>
    <cellStyle name="40% - Accent5 4 2 2 3 2 2 3 2" xfId="39972" xr:uid="{00000000-0005-0000-0000-0000E3840000}"/>
    <cellStyle name="40% - Accent5 4 2 2 3 2 2 4" xfId="28671" xr:uid="{00000000-0005-0000-0000-0000E4840000}"/>
    <cellStyle name="40% - Accent5 4 2 2 3 2 3" xfId="8887" xr:uid="{00000000-0005-0000-0000-0000E5840000}"/>
    <cellStyle name="40% - Accent5 4 2 2 3 2 3 2" xfId="20188" xr:uid="{00000000-0005-0000-0000-0000E6840000}"/>
    <cellStyle name="40% - Accent5 4 2 2 3 2 3 2 2" xfId="42790" xr:uid="{00000000-0005-0000-0000-0000E7840000}"/>
    <cellStyle name="40% - Accent5 4 2 2 3 2 3 3" xfId="31489" xr:uid="{00000000-0005-0000-0000-0000E8840000}"/>
    <cellStyle name="40% - Accent5 4 2 2 3 2 4" xfId="14538" xr:uid="{00000000-0005-0000-0000-0000E9840000}"/>
    <cellStyle name="40% - Accent5 4 2 2 3 2 4 2" xfId="37140" xr:uid="{00000000-0005-0000-0000-0000EA840000}"/>
    <cellStyle name="40% - Accent5 4 2 2 3 2 5" xfId="25839" xr:uid="{00000000-0005-0000-0000-0000EB840000}"/>
    <cellStyle name="40% - Accent5 4 2 2 3 3" xfId="4835" xr:uid="{00000000-0005-0000-0000-0000EC840000}"/>
    <cellStyle name="40% - Accent5 4 2 2 3 3 2" xfId="10485" xr:uid="{00000000-0005-0000-0000-0000ED840000}"/>
    <cellStyle name="40% - Accent5 4 2 2 3 3 2 2" xfId="21786" xr:uid="{00000000-0005-0000-0000-0000EE840000}"/>
    <cellStyle name="40% - Accent5 4 2 2 3 3 2 2 2" xfId="44388" xr:uid="{00000000-0005-0000-0000-0000EF840000}"/>
    <cellStyle name="40% - Accent5 4 2 2 3 3 2 3" xfId="33087" xr:uid="{00000000-0005-0000-0000-0000F0840000}"/>
    <cellStyle name="40% - Accent5 4 2 2 3 3 3" xfId="16136" xr:uid="{00000000-0005-0000-0000-0000F1840000}"/>
    <cellStyle name="40% - Accent5 4 2 2 3 3 3 2" xfId="38738" xr:uid="{00000000-0005-0000-0000-0000F2840000}"/>
    <cellStyle name="40% - Accent5 4 2 2 3 3 4" xfId="27437" xr:uid="{00000000-0005-0000-0000-0000F3840000}"/>
    <cellStyle name="40% - Accent5 4 2 2 3 4" xfId="7022" xr:uid="{00000000-0005-0000-0000-0000F4840000}"/>
    <cellStyle name="40% - Accent5 4 2 2 3 4 2" xfId="18323" xr:uid="{00000000-0005-0000-0000-0000F5840000}"/>
    <cellStyle name="40% - Accent5 4 2 2 3 4 2 2" xfId="40925" xr:uid="{00000000-0005-0000-0000-0000F6840000}"/>
    <cellStyle name="40% - Accent5 4 2 2 3 4 3" xfId="29624" xr:uid="{00000000-0005-0000-0000-0000F7840000}"/>
    <cellStyle name="40% - Accent5 4 2 2 3 5" xfId="12673" xr:uid="{00000000-0005-0000-0000-0000F8840000}"/>
    <cellStyle name="40% - Accent5 4 2 2 3 5 2" xfId="35275" xr:uid="{00000000-0005-0000-0000-0000F9840000}"/>
    <cellStyle name="40% - Accent5 4 2 2 3 6" xfId="23974" xr:uid="{00000000-0005-0000-0000-0000FA840000}"/>
    <cellStyle name="40% - Accent5 4 2 2 4" xfId="2008" xr:uid="{00000000-0005-0000-0000-0000FB840000}"/>
    <cellStyle name="40% - Accent5 4 2 2 4 2" xfId="3807" xr:uid="{00000000-0005-0000-0000-0000FC840000}"/>
    <cellStyle name="40% - Accent5 4 2 2 4 2 2" xfId="9517" xr:uid="{00000000-0005-0000-0000-0000FD840000}"/>
    <cellStyle name="40% - Accent5 4 2 2 4 2 2 2" xfId="20818" xr:uid="{00000000-0005-0000-0000-0000FE840000}"/>
    <cellStyle name="40% - Accent5 4 2 2 4 2 2 2 2" xfId="43420" xr:uid="{00000000-0005-0000-0000-0000FF840000}"/>
    <cellStyle name="40% - Accent5 4 2 2 4 2 2 3" xfId="32119" xr:uid="{00000000-0005-0000-0000-000000850000}"/>
    <cellStyle name="40% - Accent5 4 2 2 4 2 3" xfId="15168" xr:uid="{00000000-0005-0000-0000-000001850000}"/>
    <cellStyle name="40% - Accent5 4 2 2 4 2 3 2" xfId="37770" xr:uid="{00000000-0005-0000-0000-000002850000}"/>
    <cellStyle name="40% - Accent5 4 2 2 4 2 4" xfId="26469" xr:uid="{00000000-0005-0000-0000-000003850000}"/>
    <cellStyle name="40% - Accent5 4 2 2 4 3" xfId="5445" xr:uid="{00000000-0005-0000-0000-000004850000}"/>
    <cellStyle name="40% - Accent5 4 2 2 4 3 2" xfId="11095" xr:uid="{00000000-0005-0000-0000-000005850000}"/>
    <cellStyle name="40% - Accent5 4 2 2 4 3 2 2" xfId="22396" xr:uid="{00000000-0005-0000-0000-000006850000}"/>
    <cellStyle name="40% - Accent5 4 2 2 4 3 2 2 2" xfId="44998" xr:uid="{00000000-0005-0000-0000-000007850000}"/>
    <cellStyle name="40% - Accent5 4 2 2 4 3 2 3" xfId="33697" xr:uid="{00000000-0005-0000-0000-000008850000}"/>
    <cellStyle name="40% - Accent5 4 2 2 4 3 3" xfId="16746" xr:uid="{00000000-0005-0000-0000-000009850000}"/>
    <cellStyle name="40% - Accent5 4 2 2 4 3 3 2" xfId="39348" xr:uid="{00000000-0005-0000-0000-00000A850000}"/>
    <cellStyle name="40% - Accent5 4 2 2 4 3 4" xfId="28047" xr:uid="{00000000-0005-0000-0000-00000B850000}"/>
    <cellStyle name="40% - Accent5 4 2 2 4 4" xfId="7864" xr:uid="{00000000-0005-0000-0000-00000C850000}"/>
    <cellStyle name="40% - Accent5 4 2 2 4 4 2" xfId="19165" xr:uid="{00000000-0005-0000-0000-00000D850000}"/>
    <cellStyle name="40% - Accent5 4 2 2 4 4 2 2" xfId="41767" xr:uid="{00000000-0005-0000-0000-00000E850000}"/>
    <cellStyle name="40% - Accent5 4 2 2 4 4 3" xfId="30466" xr:uid="{00000000-0005-0000-0000-00000F850000}"/>
    <cellStyle name="40% - Accent5 4 2 2 4 5" xfId="13515" xr:uid="{00000000-0005-0000-0000-000010850000}"/>
    <cellStyle name="40% - Accent5 4 2 2 4 5 2" xfId="36117" xr:uid="{00000000-0005-0000-0000-000011850000}"/>
    <cellStyle name="40% - Accent5 4 2 2 4 6" xfId="24816" xr:uid="{00000000-0005-0000-0000-000012850000}"/>
    <cellStyle name="40% - Accent5 4 2 2 5" xfId="2426" xr:uid="{00000000-0005-0000-0000-000013850000}"/>
    <cellStyle name="40% - Accent5 4 2 2 5 2" xfId="8262" xr:uid="{00000000-0005-0000-0000-000014850000}"/>
    <cellStyle name="40% - Accent5 4 2 2 5 2 2" xfId="19563" xr:uid="{00000000-0005-0000-0000-000015850000}"/>
    <cellStyle name="40% - Accent5 4 2 2 5 2 2 2" xfId="42165" xr:uid="{00000000-0005-0000-0000-000016850000}"/>
    <cellStyle name="40% - Accent5 4 2 2 5 2 3" xfId="30864" xr:uid="{00000000-0005-0000-0000-000017850000}"/>
    <cellStyle name="40% - Accent5 4 2 2 5 3" xfId="13913" xr:uid="{00000000-0005-0000-0000-000018850000}"/>
    <cellStyle name="40% - Accent5 4 2 2 5 3 2" xfId="36515" xr:uid="{00000000-0005-0000-0000-000019850000}"/>
    <cellStyle name="40% - Accent5 4 2 2 5 4" xfId="25214" xr:uid="{00000000-0005-0000-0000-00001A850000}"/>
    <cellStyle name="40% - Accent5 4 2 2 6" xfId="4211" xr:uid="{00000000-0005-0000-0000-00001B850000}"/>
    <cellStyle name="40% - Accent5 4 2 2 6 2" xfId="9861" xr:uid="{00000000-0005-0000-0000-00001C850000}"/>
    <cellStyle name="40% - Accent5 4 2 2 6 2 2" xfId="21162" xr:uid="{00000000-0005-0000-0000-00001D850000}"/>
    <cellStyle name="40% - Accent5 4 2 2 6 2 2 2" xfId="43764" xr:uid="{00000000-0005-0000-0000-00001E850000}"/>
    <cellStyle name="40% - Accent5 4 2 2 6 2 3" xfId="32463" xr:uid="{00000000-0005-0000-0000-00001F850000}"/>
    <cellStyle name="40% - Accent5 4 2 2 6 3" xfId="15512" xr:uid="{00000000-0005-0000-0000-000020850000}"/>
    <cellStyle name="40% - Accent5 4 2 2 6 3 2" xfId="38114" xr:uid="{00000000-0005-0000-0000-000021850000}"/>
    <cellStyle name="40% - Accent5 4 2 2 6 4" xfId="26813" xr:uid="{00000000-0005-0000-0000-000022850000}"/>
    <cellStyle name="40% - Accent5 4 2 2 7" xfId="6691" xr:uid="{00000000-0005-0000-0000-000023850000}"/>
    <cellStyle name="40% - Accent5 4 2 2 7 2" xfId="17992" xr:uid="{00000000-0005-0000-0000-000024850000}"/>
    <cellStyle name="40% - Accent5 4 2 2 7 2 2" xfId="40594" xr:uid="{00000000-0005-0000-0000-000025850000}"/>
    <cellStyle name="40% - Accent5 4 2 2 7 3" xfId="29293" xr:uid="{00000000-0005-0000-0000-000026850000}"/>
    <cellStyle name="40% - Accent5 4 2 2 8" xfId="12342" xr:uid="{00000000-0005-0000-0000-000027850000}"/>
    <cellStyle name="40% - Accent5 4 2 2 8 2" xfId="34944" xr:uid="{00000000-0005-0000-0000-000028850000}"/>
    <cellStyle name="40% - Accent5 4 2 2 9" xfId="23643" xr:uid="{00000000-0005-0000-0000-000029850000}"/>
    <cellStyle name="40% - Accent5 4 2 3" xfId="1198" xr:uid="{00000000-0005-0000-0000-00002A850000}"/>
    <cellStyle name="40% - Accent5 4 2 3 2" xfId="2010" xr:uid="{00000000-0005-0000-0000-00002B850000}"/>
    <cellStyle name="40% - Accent5 4 2 3 2 2" xfId="3266" xr:uid="{00000000-0005-0000-0000-00002C850000}"/>
    <cellStyle name="40% - Accent5 4 2 3 2 2 2" xfId="6238" xr:uid="{00000000-0005-0000-0000-00002D850000}"/>
    <cellStyle name="40% - Accent5 4 2 3 2 2 2 2" xfId="11888" xr:uid="{00000000-0005-0000-0000-00002E850000}"/>
    <cellStyle name="40% - Accent5 4 2 3 2 2 2 2 2" xfId="23189" xr:uid="{00000000-0005-0000-0000-00002F850000}"/>
    <cellStyle name="40% - Accent5 4 2 3 2 2 2 2 2 2" xfId="45791" xr:uid="{00000000-0005-0000-0000-000030850000}"/>
    <cellStyle name="40% - Accent5 4 2 3 2 2 2 2 3" xfId="34490" xr:uid="{00000000-0005-0000-0000-000031850000}"/>
    <cellStyle name="40% - Accent5 4 2 3 2 2 2 3" xfId="17539" xr:uid="{00000000-0005-0000-0000-000032850000}"/>
    <cellStyle name="40% - Accent5 4 2 3 2 2 2 3 2" xfId="40141" xr:uid="{00000000-0005-0000-0000-000033850000}"/>
    <cellStyle name="40% - Accent5 4 2 3 2 2 2 4" xfId="28840" xr:uid="{00000000-0005-0000-0000-000034850000}"/>
    <cellStyle name="40% - Accent5 4 2 3 2 2 3" xfId="9056" xr:uid="{00000000-0005-0000-0000-000035850000}"/>
    <cellStyle name="40% - Accent5 4 2 3 2 2 3 2" xfId="20357" xr:uid="{00000000-0005-0000-0000-000036850000}"/>
    <cellStyle name="40% - Accent5 4 2 3 2 2 3 2 2" xfId="42959" xr:uid="{00000000-0005-0000-0000-000037850000}"/>
    <cellStyle name="40% - Accent5 4 2 3 2 2 3 3" xfId="31658" xr:uid="{00000000-0005-0000-0000-000038850000}"/>
    <cellStyle name="40% - Accent5 4 2 3 2 2 4" xfId="14707" xr:uid="{00000000-0005-0000-0000-000039850000}"/>
    <cellStyle name="40% - Accent5 4 2 3 2 2 4 2" xfId="37309" xr:uid="{00000000-0005-0000-0000-00003A850000}"/>
    <cellStyle name="40% - Accent5 4 2 3 2 2 5" xfId="26008" xr:uid="{00000000-0005-0000-0000-00003B850000}"/>
    <cellStyle name="40% - Accent5 4 2 3 2 3" xfId="5004" xr:uid="{00000000-0005-0000-0000-00003C850000}"/>
    <cellStyle name="40% - Accent5 4 2 3 2 3 2" xfId="10654" xr:uid="{00000000-0005-0000-0000-00003D850000}"/>
    <cellStyle name="40% - Accent5 4 2 3 2 3 2 2" xfId="21955" xr:uid="{00000000-0005-0000-0000-00003E850000}"/>
    <cellStyle name="40% - Accent5 4 2 3 2 3 2 2 2" xfId="44557" xr:uid="{00000000-0005-0000-0000-00003F850000}"/>
    <cellStyle name="40% - Accent5 4 2 3 2 3 2 3" xfId="33256" xr:uid="{00000000-0005-0000-0000-000040850000}"/>
    <cellStyle name="40% - Accent5 4 2 3 2 3 3" xfId="16305" xr:uid="{00000000-0005-0000-0000-000041850000}"/>
    <cellStyle name="40% - Accent5 4 2 3 2 3 3 2" xfId="38907" xr:uid="{00000000-0005-0000-0000-000042850000}"/>
    <cellStyle name="40% - Accent5 4 2 3 2 3 4" xfId="27606" xr:uid="{00000000-0005-0000-0000-000043850000}"/>
    <cellStyle name="40% - Accent5 4 2 3 2 4" xfId="7866" xr:uid="{00000000-0005-0000-0000-000044850000}"/>
    <cellStyle name="40% - Accent5 4 2 3 2 4 2" xfId="19167" xr:uid="{00000000-0005-0000-0000-000045850000}"/>
    <cellStyle name="40% - Accent5 4 2 3 2 4 2 2" xfId="41769" xr:uid="{00000000-0005-0000-0000-000046850000}"/>
    <cellStyle name="40% - Accent5 4 2 3 2 4 3" xfId="30468" xr:uid="{00000000-0005-0000-0000-000047850000}"/>
    <cellStyle name="40% - Accent5 4 2 3 2 5" xfId="13517" xr:uid="{00000000-0005-0000-0000-000048850000}"/>
    <cellStyle name="40% - Accent5 4 2 3 2 5 2" xfId="36119" xr:uid="{00000000-0005-0000-0000-000049850000}"/>
    <cellStyle name="40% - Accent5 4 2 3 2 6" xfId="24818" xr:uid="{00000000-0005-0000-0000-00004A850000}"/>
    <cellStyle name="40% - Accent5 4 2 3 3" xfId="2595" xr:uid="{00000000-0005-0000-0000-00004B850000}"/>
    <cellStyle name="40% - Accent5 4 2 3 3 2" xfId="5614" xr:uid="{00000000-0005-0000-0000-00004C850000}"/>
    <cellStyle name="40% - Accent5 4 2 3 3 2 2" xfId="11264" xr:uid="{00000000-0005-0000-0000-00004D850000}"/>
    <cellStyle name="40% - Accent5 4 2 3 3 2 2 2" xfId="22565" xr:uid="{00000000-0005-0000-0000-00004E850000}"/>
    <cellStyle name="40% - Accent5 4 2 3 3 2 2 2 2" xfId="45167" xr:uid="{00000000-0005-0000-0000-00004F850000}"/>
    <cellStyle name="40% - Accent5 4 2 3 3 2 2 3" xfId="33866" xr:uid="{00000000-0005-0000-0000-000050850000}"/>
    <cellStyle name="40% - Accent5 4 2 3 3 2 3" xfId="16915" xr:uid="{00000000-0005-0000-0000-000051850000}"/>
    <cellStyle name="40% - Accent5 4 2 3 3 2 3 2" xfId="39517" xr:uid="{00000000-0005-0000-0000-000052850000}"/>
    <cellStyle name="40% - Accent5 4 2 3 3 2 4" xfId="28216" xr:uid="{00000000-0005-0000-0000-000053850000}"/>
    <cellStyle name="40% - Accent5 4 2 3 3 3" xfId="8431" xr:uid="{00000000-0005-0000-0000-000054850000}"/>
    <cellStyle name="40% - Accent5 4 2 3 3 3 2" xfId="19732" xr:uid="{00000000-0005-0000-0000-000055850000}"/>
    <cellStyle name="40% - Accent5 4 2 3 3 3 2 2" xfId="42334" xr:uid="{00000000-0005-0000-0000-000056850000}"/>
    <cellStyle name="40% - Accent5 4 2 3 3 3 3" xfId="31033" xr:uid="{00000000-0005-0000-0000-000057850000}"/>
    <cellStyle name="40% - Accent5 4 2 3 3 4" xfId="14082" xr:uid="{00000000-0005-0000-0000-000058850000}"/>
    <cellStyle name="40% - Accent5 4 2 3 3 4 2" xfId="36684" xr:uid="{00000000-0005-0000-0000-000059850000}"/>
    <cellStyle name="40% - Accent5 4 2 3 3 5" xfId="25383" xr:uid="{00000000-0005-0000-0000-00005A850000}"/>
    <cellStyle name="40% - Accent5 4 2 3 4" xfId="4380" xr:uid="{00000000-0005-0000-0000-00005B850000}"/>
    <cellStyle name="40% - Accent5 4 2 3 4 2" xfId="10030" xr:uid="{00000000-0005-0000-0000-00005C850000}"/>
    <cellStyle name="40% - Accent5 4 2 3 4 2 2" xfId="21331" xr:uid="{00000000-0005-0000-0000-00005D850000}"/>
    <cellStyle name="40% - Accent5 4 2 3 4 2 2 2" xfId="43933" xr:uid="{00000000-0005-0000-0000-00005E850000}"/>
    <cellStyle name="40% - Accent5 4 2 3 4 2 3" xfId="32632" xr:uid="{00000000-0005-0000-0000-00005F850000}"/>
    <cellStyle name="40% - Accent5 4 2 3 4 3" xfId="15681" xr:uid="{00000000-0005-0000-0000-000060850000}"/>
    <cellStyle name="40% - Accent5 4 2 3 4 3 2" xfId="38283" xr:uid="{00000000-0005-0000-0000-000061850000}"/>
    <cellStyle name="40% - Accent5 4 2 3 4 4" xfId="26982" xr:uid="{00000000-0005-0000-0000-000062850000}"/>
    <cellStyle name="40% - Accent5 4 2 3 5" xfId="7177" xr:uid="{00000000-0005-0000-0000-000063850000}"/>
    <cellStyle name="40% - Accent5 4 2 3 5 2" xfId="18478" xr:uid="{00000000-0005-0000-0000-000064850000}"/>
    <cellStyle name="40% - Accent5 4 2 3 5 2 2" xfId="41080" xr:uid="{00000000-0005-0000-0000-000065850000}"/>
    <cellStyle name="40% - Accent5 4 2 3 5 3" xfId="29779" xr:uid="{00000000-0005-0000-0000-000066850000}"/>
    <cellStyle name="40% - Accent5 4 2 3 6" xfId="12828" xr:uid="{00000000-0005-0000-0000-000067850000}"/>
    <cellStyle name="40% - Accent5 4 2 3 6 2" xfId="35430" xr:uid="{00000000-0005-0000-0000-000068850000}"/>
    <cellStyle name="40% - Accent5 4 2 3 7" xfId="24129" xr:uid="{00000000-0005-0000-0000-000069850000}"/>
    <cellStyle name="40% - Accent5 4 2 4" xfId="888" xr:uid="{00000000-0005-0000-0000-00006A850000}"/>
    <cellStyle name="40% - Accent5 4 2 4 2" xfId="2959" xr:uid="{00000000-0005-0000-0000-00006B850000}"/>
    <cellStyle name="40% - Accent5 4 2 4 2 2" xfId="5931" xr:uid="{00000000-0005-0000-0000-00006C850000}"/>
    <cellStyle name="40% - Accent5 4 2 4 2 2 2" xfId="11581" xr:uid="{00000000-0005-0000-0000-00006D850000}"/>
    <cellStyle name="40% - Accent5 4 2 4 2 2 2 2" xfId="22882" xr:uid="{00000000-0005-0000-0000-00006E850000}"/>
    <cellStyle name="40% - Accent5 4 2 4 2 2 2 2 2" xfId="45484" xr:uid="{00000000-0005-0000-0000-00006F850000}"/>
    <cellStyle name="40% - Accent5 4 2 4 2 2 2 3" xfId="34183" xr:uid="{00000000-0005-0000-0000-000070850000}"/>
    <cellStyle name="40% - Accent5 4 2 4 2 2 3" xfId="17232" xr:uid="{00000000-0005-0000-0000-000071850000}"/>
    <cellStyle name="40% - Accent5 4 2 4 2 2 3 2" xfId="39834" xr:uid="{00000000-0005-0000-0000-000072850000}"/>
    <cellStyle name="40% - Accent5 4 2 4 2 2 4" xfId="28533" xr:uid="{00000000-0005-0000-0000-000073850000}"/>
    <cellStyle name="40% - Accent5 4 2 4 2 3" xfId="8749" xr:uid="{00000000-0005-0000-0000-000074850000}"/>
    <cellStyle name="40% - Accent5 4 2 4 2 3 2" xfId="20050" xr:uid="{00000000-0005-0000-0000-000075850000}"/>
    <cellStyle name="40% - Accent5 4 2 4 2 3 2 2" xfId="42652" xr:uid="{00000000-0005-0000-0000-000076850000}"/>
    <cellStyle name="40% - Accent5 4 2 4 2 3 3" xfId="31351" xr:uid="{00000000-0005-0000-0000-000077850000}"/>
    <cellStyle name="40% - Accent5 4 2 4 2 4" xfId="14400" xr:uid="{00000000-0005-0000-0000-000078850000}"/>
    <cellStyle name="40% - Accent5 4 2 4 2 4 2" xfId="37002" xr:uid="{00000000-0005-0000-0000-000079850000}"/>
    <cellStyle name="40% - Accent5 4 2 4 2 5" xfId="25701" xr:uid="{00000000-0005-0000-0000-00007A850000}"/>
    <cellStyle name="40% - Accent5 4 2 4 3" xfId="4697" xr:uid="{00000000-0005-0000-0000-00007B850000}"/>
    <cellStyle name="40% - Accent5 4 2 4 3 2" xfId="10347" xr:uid="{00000000-0005-0000-0000-00007C850000}"/>
    <cellStyle name="40% - Accent5 4 2 4 3 2 2" xfId="21648" xr:uid="{00000000-0005-0000-0000-00007D850000}"/>
    <cellStyle name="40% - Accent5 4 2 4 3 2 2 2" xfId="44250" xr:uid="{00000000-0005-0000-0000-00007E850000}"/>
    <cellStyle name="40% - Accent5 4 2 4 3 2 3" xfId="32949" xr:uid="{00000000-0005-0000-0000-00007F850000}"/>
    <cellStyle name="40% - Accent5 4 2 4 3 3" xfId="15998" xr:uid="{00000000-0005-0000-0000-000080850000}"/>
    <cellStyle name="40% - Accent5 4 2 4 3 3 2" xfId="38600" xr:uid="{00000000-0005-0000-0000-000081850000}"/>
    <cellStyle name="40% - Accent5 4 2 4 3 4" xfId="27299" xr:uid="{00000000-0005-0000-0000-000082850000}"/>
    <cellStyle name="40% - Accent5 4 2 4 4" xfId="6884" xr:uid="{00000000-0005-0000-0000-000083850000}"/>
    <cellStyle name="40% - Accent5 4 2 4 4 2" xfId="18185" xr:uid="{00000000-0005-0000-0000-000084850000}"/>
    <cellStyle name="40% - Accent5 4 2 4 4 2 2" xfId="40787" xr:uid="{00000000-0005-0000-0000-000085850000}"/>
    <cellStyle name="40% - Accent5 4 2 4 4 3" xfId="29486" xr:uid="{00000000-0005-0000-0000-000086850000}"/>
    <cellStyle name="40% - Accent5 4 2 4 5" xfId="12535" xr:uid="{00000000-0005-0000-0000-000087850000}"/>
    <cellStyle name="40% - Accent5 4 2 4 5 2" xfId="35137" xr:uid="{00000000-0005-0000-0000-000088850000}"/>
    <cellStyle name="40% - Accent5 4 2 4 6" xfId="23836" xr:uid="{00000000-0005-0000-0000-000089850000}"/>
    <cellStyle name="40% - Accent5 4 2 5" xfId="2007" xr:uid="{00000000-0005-0000-0000-00008A850000}"/>
    <cellStyle name="40% - Accent5 4 2 5 2" xfId="3806" xr:uid="{00000000-0005-0000-0000-00008B850000}"/>
    <cellStyle name="40% - Accent5 4 2 5 2 2" xfId="9516" xr:uid="{00000000-0005-0000-0000-00008C850000}"/>
    <cellStyle name="40% - Accent5 4 2 5 2 2 2" xfId="20817" xr:uid="{00000000-0005-0000-0000-00008D850000}"/>
    <cellStyle name="40% - Accent5 4 2 5 2 2 2 2" xfId="43419" xr:uid="{00000000-0005-0000-0000-00008E850000}"/>
    <cellStyle name="40% - Accent5 4 2 5 2 2 3" xfId="32118" xr:uid="{00000000-0005-0000-0000-00008F850000}"/>
    <cellStyle name="40% - Accent5 4 2 5 2 3" xfId="15167" xr:uid="{00000000-0005-0000-0000-000090850000}"/>
    <cellStyle name="40% - Accent5 4 2 5 2 3 2" xfId="37769" xr:uid="{00000000-0005-0000-0000-000091850000}"/>
    <cellStyle name="40% - Accent5 4 2 5 2 4" xfId="26468" xr:uid="{00000000-0005-0000-0000-000092850000}"/>
    <cellStyle name="40% - Accent5 4 2 5 3" xfId="5307" xr:uid="{00000000-0005-0000-0000-000093850000}"/>
    <cellStyle name="40% - Accent5 4 2 5 3 2" xfId="10957" xr:uid="{00000000-0005-0000-0000-000094850000}"/>
    <cellStyle name="40% - Accent5 4 2 5 3 2 2" xfId="22258" xr:uid="{00000000-0005-0000-0000-000095850000}"/>
    <cellStyle name="40% - Accent5 4 2 5 3 2 2 2" xfId="44860" xr:uid="{00000000-0005-0000-0000-000096850000}"/>
    <cellStyle name="40% - Accent5 4 2 5 3 2 3" xfId="33559" xr:uid="{00000000-0005-0000-0000-000097850000}"/>
    <cellStyle name="40% - Accent5 4 2 5 3 3" xfId="16608" xr:uid="{00000000-0005-0000-0000-000098850000}"/>
    <cellStyle name="40% - Accent5 4 2 5 3 3 2" xfId="39210" xr:uid="{00000000-0005-0000-0000-000099850000}"/>
    <cellStyle name="40% - Accent5 4 2 5 3 4" xfId="27909" xr:uid="{00000000-0005-0000-0000-00009A850000}"/>
    <cellStyle name="40% - Accent5 4 2 5 4" xfId="7863" xr:uid="{00000000-0005-0000-0000-00009B850000}"/>
    <cellStyle name="40% - Accent5 4 2 5 4 2" xfId="19164" xr:uid="{00000000-0005-0000-0000-00009C850000}"/>
    <cellStyle name="40% - Accent5 4 2 5 4 2 2" xfId="41766" xr:uid="{00000000-0005-0000-0000-00009D850000}"/>
    <cellStyle name="40% - Accent5 4 2 5 4 3" xfId="30465" xr:uid="{00000000-0005-0000-0000-00009E850000}"/>
    <cellStyle name="40% - Accent5 4 2 5 5" xfId="13514" xr:uid="{00000000-0005-0000-0000-00009F850000}"/>
    <cellStyle name="40% - Accent5 4 2 5 5 2" xfId="36116" xr:uid="{00000000-0005-0000-0000-0000A0850000}"/>
    <cellStyle name="40% - Accent5 4 2 5 6" xfId="24815" xr:uid="{00000000-0005-0000-0000-0000A1850000}"/>
    <cellStyle name="40% - Accent5 4 2 6" xfId="2286" xr:uid="{00000000-0005-0000-0000-0000A2850000}"/>
    <cellStyle name="40% - Accent5 4 2 6 2" xfId="8122" xr:uid="{00000000-0005-0000-0000-0000A3850000}"/>
    <cellStyle name="40% - Accent5 4 2 6 2 2" xfId="19423" xr:uid="{00000000-0005-0000-0000-0000A4850000}"/>
    <cellStyle name="40% - Accent5 4 2 6 2 2 2" xfId="42025" xr:uid="{00000000-0005-0000-0000-0000A5850000}"/>
    <cellStyle name="40% - Accent5 4 2 6 2 3" xfId="30724" xr:uid="{00000000-0005-0000-0000-0000A6850000}"/>
    <cellStyle name="40% - Accent5 4 2 6 3" xfId="13773" xr:uid="{00000000-0005-0000-0000-0000A7850000}"/>
    <cellStyle name="40% - Accent5 4 2 6 3 2" xfId="36375" xr:uid="{00000000-0005-0000-0000-0000A8850000}"/>
    <cellStyle name="40% - Accent5 4 2 6 4" xfId="25074" xr:uid="{00000000-0005-0000-0000-0000A9850000}"/>
    <cellStyle name="40% - Accent5 4 2 7" xfId="4073" xr:uid="{00000000-0005-0000-0000-0000AA850000}"/>
    <cellStyle name="40% - Accent5 4 2 7 2" xfId="9723" xr:uid="{00000000-0005-0000-0000-0000AB850000}"/>
    <cellStyle name="40% - Accent5 4 2 7 2 2" xfId="21024" xr:uid="{00000000-0005-0000-0000-0000AC850000}"/>
    <cellStyle name="40% - Accent5 4 2 7 2 2 2" xfId="43626" xr:uid="{00000000-0005-0000-0000-0000AD850000}"/>
    <cellStyle name="40% - Accent5 4 2 7 2 3" xfId="32325" xr:uid="{00000000-0005-0000-0000-0000AE850000}"/>
    <cellStyle name="40% - Accent5 4 2 7 3" xfId="15374" xr:uid="{00000000-0005-0000-0000-0000AF850000}"/>
    <cellStyle name="40% - Accent5 4 2 7 3 2" xfId="37976" xr:uid="{00000000-0005-0000-0000-0000B0850000}"/>
    <cellStyle name="40% - Accent5 4 2 7 4" xfId="26675" xr:uid="{00000000-0005-0000-0000-0000B1850000}"/>
    <cellStyle name="40% - Accent5 4 2 8" xfId="6524" xr:uid="{00000000-0005-0000-0000-0000B2850000}"/>
    <cellStyle name="40% - Accent5 4 2 8 2" xfId="17825" xr:uid="{00000000-0005-0000-0000-0000B3850000}"/>
    <cellStyle name="40% - Accent5 4 2 8 2 2" xfId="40427" xr:uid="{00000000-0005-0000-0000-0000B4850000}"/>
    <cellStyle name="40% - Accent5 4 2 8 3" xfId="29126" xr:uid="{00000000-0005-0000-0000-0000B5850000}"/>
    <cellStyle name="40% - Accent5 4 2 9" xfId="12175" xr:uid="{00000000-0005-0000-0000-0000B6850000}"/>
    <cellStyle name="40% - Accent5 4 2 9 2" xfId="34777" xr:uid="{00000000-0005-0000-0000-0000B7850000}"/>
    <cellStyle name="40% - Accent5 4 3" xfId="430" xr:uid="{00000000-0005-0000-0000-0000B8850000}"/>
    <cellStyle name="40% - Accent5 4 3 10" xfId="23525" xr:uid="{00000000-0005-0000-0000-0000B9850000}"/>
    <cellStyle name="40% - Accent5 4 3 2" xfId="675" xr:uid="{00000000-0005-0000-0000-0000BA850000}"/>
    <cellStyle name="40% - Accent5 4 3 2 2" xfId="1385" xr:uid="{00000000-0005-0000-0000-0000BB850000}"/>
    <cellStyle name="40% - Accent5 4 3 2 2 2" xfId="2013" xr:uid="{00000000-0005-0000-0000-0000BC850000}"/>
    <cellStyle name="40% - Accent5 4 3 2 2 2 2" xfId="3454" xr:uid="{00000000-0005-0000-0000-0000BD850000}"/>
    <cellStyle name="40% - Accent5 4 3 2 2 2 2 2" xfId="6426" xr:uid="{00000000-0005-0000-0000-0000BE850000}"/>
    <cellStyle name="40% - Accent5 4 3 2 2 2 2 2 2" xfId="12076" xr:uid="{00000000-0005-0000-0000-0000BF850000}"/>
    <cellStyle name="40% - Accent5 4 3 2 2 2 2 2 2 2" xfId="23377" xr:uid="{00000000-0005-0000-0000-0000C0850000}"/>
    <cellStyle name="40% - Accent5 4 3 2 2 2 2 2 2 2 2" xfId="45979" xr:uid="{00000000-0005-0000-0000-0000C1850000}"/>
    <cellStyle name="40% - Accent5 4 3 2 2 2 2 2 2 3" xfId="34678" xr:uid="{00000000-0005-0000-0000-0000C2850000}"/>
    <cellStyle name="40% - Accent5 4 3 2 2 2 2 2 3" xfId="17727" xr:uid="{00000000-0005-0000-0000-0000C3850000}"/>
    <cellStyle name="40% - Accent5 4 3 2 2 2 2 2 3 2" xfId="40329" xr:uid="{00000000-0005-0000-0000-0000C4850000}"/>
    <cellStyle name="40% - Accent5 4 3 2 2 2 2 2 4" xfId="29028" xr:uid="{00000000-0005-0000-0000-0000C5850000}"/>
    <cellStyle name="40% - Accent5 4 3 2 2 2 2 3" xfId="9244" xr:uid="{00000000-0005-0000-0000-0000C6850000}"/>
    <cellStyle name="40% - Accent5 4 3 2 2 2 2 3 2" xfId="20545" xr:uid="{00000000-0005-0000-0000-0000C7850000}"/>
    <cellStyle name="40% - Accent5 4 3 2 2 2 2 3 2 2" xfId="43147" xr:uid="{00000000-0005-0000-0000-0000C8850000}"/>
    <cellStyle name="40% - Accent5 4 3 2 2 2 2 3 3" xfId="31846" xr:uid="{00000000-0005-0000-0000-0000C9850000}"/>
    <cellStyle name="40% - Accent5 4 3 2 2 2 2 4" xfId="14895" xr:uid="{00000000-0005-0000-0000-0000CA850000}"/>
    <cellStyle name="40% - Accent5 4 3 2 2 2 2 4 2" xfId="37497" xr:uid="{00000000-0005-0000-0000-0000CB850000}"/>
    <cellStyle name="40% - Accent5 4 3 2 2 2 2 5" xfId="26196" xr:uid="{00000000-0005-0000-0000-0000CC850000}"/>
    <cellStyle name="40% - Accent5 4 3 2 2 2 3" xfId="5192" xr:uid="{00000000-0005-0000-0000-0000CD850000}"/>
    <cellStyle name="40% - Accent5 4 3 2 2 2 3 2" xfId="10842" xr:uid="{00000000-0005-0000-0000-0000CE850000}"/>
    <cellStyle name="40% - Accent5 4 3 2 2 2 3 2 2" xfId="22143" xr:uid="{00000000-0005-0000-0000-0000CF850000}"/>
    <cellStyle name="40% - Accent5 4 3 2 2 2 3 2 2 2" xfId="44745" xr:uid="{00000000-0005-0000-0000-0000D0850000}"/>
    <cellStyle name="40% - Accent5 4 3 2 2 2 3 2 3" xfId="33444" xr:uid="{00000000-0005-0000-0000-0000D1850000}"/>
    <cellStyle name="40% - Accent5 4 3 2 2 2 3 3" xfId="16493" xr:uid="{00000000-0005-0000-0000-0000D2850000}"/>
    <cellStyle name="40% - Accent5 4 3 2 2 2 3 3 2" xfId="39095" xr:uid="{00000000-0005-0000-0000-0000D3850000}"/>
    <cellStyle name="40% - Accent5 4 3 2 2 2 3 4" xfId="27794" xr:uid="{00000000-0005-0000-0000-0000D4850000}"/>
    <cellStyle name="40% - Accent5 4 3 2 2 2 4" xfId="7869" xr:uid="{00000000-0005-0000-0000-0000D5850000}"/>
    <cellStyle name="40% - Accent5 4 3 2 2 2 4 2" xfId="19170" xr:uid="{00000000-0005-0000-0000-0000D6850000}"/>
    <cellStyle name="40% - Accent5 4 3 2 2 2 4 2 2" xfId="41772" xr:uid="{00000000-0005-0000-0000-0000D7850000}"/>
    <cellStyle name="40% - Accent5 4 3 2 2 2 4 3" xfId="30471" xr:uid="{00000000-0005-0000-0000-0000D8850000}"/>
    <cellStyle name="40% - Accent5 4 3 2 2 2 5" xfId="13520" xr:uid="{00000000-0005-0000-0000-0000D9850000}"/>
    <cellStyle name="40% - Accent5 4 3 2 2 2 5 2" xfId="36122" xr:uid="{00000000-0005-0000-0000-0000DA850000}"/>
    <cellStyle name="40% - Accent5 4 3 2 2 2 6" xfId="24821" xr:uid="{00000000-0005-0000-0000-0000DB850000}"/>
    <cellStyle name="40% - Accent5 4 3 2 2 3" xfId="2783" xr:uid="{00000000-0005-0000-0000-0000DC850000}"/>
    <cellStyle name="40% - Accent5 4 3 2 2 3 2" xfId="5802" xr:uid="{00000000-0005-0000-0000-0000DD850000}"/>
    <cellStyle name="40% - Accent5 4 3 2 2 3 2 2" xfId="11452" xr:uid="{00000000-0005-0000-0000-0000DE850000}"/>
    <cellStyle name="40% - Accent5 4 3 2 2 3 2 2 2" xfId="22753" xr:uid="{00000000-0005-0000-0000-0000DF850000}"/>
    <cellStyle name="40% - Accent5 4 3 2 2 3 2 2 2 2" xfId="45355" xr:uid="{00000000-0005-0000-0000-0000E0850000}"/>
    <cellStyle name="40% - Accent5 4 3 2 2 3 2 2 3" xfId="34054" xr:uid="{00000000-0005-0000-0000-0000E1850000}"/>
    <cellStyle name="40% - Accent5 4 3 2 2 3 2 3" xfId="17103" xr:uid="{00000000-0005-0000-0000-0000E2850000}"/>
    <cellStyle name="40% - Accent5 4 3 2 2 3 2 3 2" xfId="39705" xr:uid="{00000000-0005-0000-0000-0000E3850000}"/>
    <cellStyle name="40% - Accent5 4 3 2 2 3 2 4" xfId="28404" xr:uid="{00000000-0005-0000-0000-0000E4850000}"/>
    <cellStyle name="40% - Accent5 4 3 2 2 3 3" xfId="8619" xr:uid="{00000000-0005-0000-0000-0000E5850000}"/>
    <cellStyle name="40% - Accent5 4 3 2 2 3 3 2" xfId="19920" xr:uid="{00000000-0005-0000-0000-0000E6850000}"/>
    <cellStyle name="40% - Accent5 4 3 2 2 3 3 2 2" xfId="42522" xr:uid="{00000000-0005-0000-0000-0000E7850000}"/>
    <cellStyle name="40% - Accent5 4 3 2 2 3 3 3" xfId="31221" xr:uid="{00000000-0005-0000-0000-0000E8850000}"/>
    <cellStyle name="40% - Accent5 4 3 2 2 3 4" xfId="14270" xr:uid="{00000000-0005-0000-0000-0000E9850000}"/>
    <cellStyle name="40% - Accent5 4 3 2 2 3 4 2" xfId="36872" xr:uid="{00000000-0005-0000-0000-0000EA850000}"/>
    <cellStyle name="40% - Accent5 4 3 2 2 3 5" xfId="25571" xr:uid="{00000000-0005-0000-0000-0000EB850000}"/>
    <cellStyle name="40% - Accent5 4 3 2 2 4" xfId="4568" xr:uid="{00000000-0005-0000-0000-0000EC850000}"/>
    <cellStyle name="40% - Accent5 4 3 2 2 4 2" xfId="10218" xr:uid="{00000000-0005-0000-0000-0000ED850000}"/>
    <cellStyle name="40% - Accent5 4 3 2 2 4 2 2" xfId="21519" xr:uid="{00000000-0005-0000-0000-0000EE850000}"/>
    <cellStyle name="40% - Accent5 4 3 2 2 4 2 2 2" xfId="44121" xr:uid="{00000000-0005-0000-0000-0000EF850000}"/>
    <cellStyle name="40% - Accent5 4 3 2 2 4 2 3" xfId="32820" xr:uid="{00000000-0005-0000-0000-0000F0850000}"/>
    <cellStyle name="40% - Accent5 4 3 2 2 4 3" xfId="15869" xr:uid="{00000000-0005-0000-0000-0000F1850000}"/>
    <cellStyle name="40% - Accent5 4 3 2 2 4 3 2" xfId="38471" xr:uid="{00000000-0005-0000-0000-0000F2850000}"/>
    <cellStyle name="40% - Accent5 4 3 2 2 4 4" xfId="27170" xr:uid="{00000000-0005-0000-0000-0000F3850000}"/>
    <cellStyle name="40% - Accent5 4 3 2 2 5" xfId="7364" xr:uid="{00000000-0005-0000-0000-0000F4850000}"/>
    <cellStyle name="40% - Accent5 4 3 2 2 5 2" xfId="18665" xr:uid="{00000000-0005-0000-0000-0000F5850000}"/>
    <cellStyle name="40% - Accent5 4 3 2 2 5 2 2" xfId="41267" xr:uid="{00000000-0005-0000-0000-0000F6850000}"/>
    <cellStyle name="40% - Accent5 4 3 2 2 5 3" xfId="29966" xr:uid="{00000000-0005-0000-0000-0000F7850000}"/>
    <cellStyle name="40% - Accent5 4 3 2 2 6" xfId="13015" xr:uid="{00000000-0005-0000-0000-0000F8850000}"/>
    <cellStyle name="40% - Accent5 4 3 2 2 6 2" xfId="35617" xr:uid="{00000000-0005-0000-0000-0000F9850000}"/>
    <cellStyle name="40% - Accent5 4 3 2 2 7" xfId="24316" xr:uid="{00000000-0005-0000-0000-0000FA850000}"/>
    <cellStyle name="40% - Accent5 4 3 2 3" xfId="1083" xr:uid="{00000000-0005-0000-0000-0000FB850000}"/>
    <cellStyle name="40% - Accent5 4 3 2 3 2" xfId="3146" xr:uid="{00000000-0005-0000-0000-0000FC850000}"/>
    <cellStyle name="40% - Accent5 4 3 2 3 2 2" xfId="6118" xr:uid="{00000000-0005-0000-0000-0000FD850000}"/>
    <cellStyle name="40% - Accent5 4 3 2 3 2 2 2" xfId="11768" xr:uid="{00000000-0005-0000-0000-0000FE850000}"/>
    <cellStyle name="40% - Accent5 4 3 2 3 2 2 2 2" xfId="23069" xr:uid="{00000000-0005-0000-0000-0000FF850000}"/>
    <cellStyle name="40% - Accent5 4 3 2 3 2 2 2 2 2" xfId="45671" xr:uid="{00000000-0005-0000-0000-000000860000}"/>
    <cellStyle name="40% - Accent5 4 3 2 3 2 2 2 3" xfId="34370" xr:uid="{00000000-0005-0000-0000-000001860000}"/>
    <cellStyle name="40% - Accent5 4 3 2 3 2 2 3" xfId="17419" xr:uid="{00000000-0005-0000-0000-000002860000}"/>
    <cellStyle name="40% - Accent5 4 3 2 3 2 2 3 2" xfId="40021" xr:uid="{00000000-0005-0000-0000-000003860000}"/>
    <cellStyle name="40% - Accent5 4 3 2 3 2 2 4" xfId="28720" xr:uid="{00000000-0005-0000-0000-000004860000}"/>
    <cellStyle name="40% - Accent5 4 3 2 3 2 3" xfId="8936" xr:uid="{00000000-0005-0000-0000-000005860000}"/>
    <cellStyle name="40% - Accent5 4 3 2 3 2 3 2" xfId="20237" xr:uid="{00000000-0005-0000-0000-000006860000}"/>
    <cellStyle name="40% - Accent5 4 3 2 3 2 3 2 2" xfId="42839" xr:uid="{00000000-0005-0000-0000-000007860000}"/>
    <cellStyle name="40% - Accent5 4 3 2 3 2 3 3" xfId="31538" xr:uid="{00000000-0005-0000-0000-000008860000}"/>
    <cellStyle name="40% - Accent5 4 3 2 3 2 4" xfId="14587" xr:uid="{00000000-0005-0000-0000-000009860000}"/>
    <cellStyle name="40% - Accent5 4 3 2 3 2 4 2" xfId="37189" xr:uid="{00000000-0005-0000-0000-00000A860000}"/>
    <cellStyle name="40% - Accent5 4 3 2 3 2 5" xfId="25888" xr:uid="{00000000-0005-0000-0000-00000B860000}"/>
    <cellStyle name="40% - Accent5 4 3 2 3 3" xfId="4884" xr:uid="{00000000-0005-0000-0000-00000C860000}"/>
    <cellStyle name="40% - Accent5 4 3 2 3 3 2" xfId="10534" xr:uid="{00000000-0005-0000-0000-00000D860000}"/>
    <cellStyle name="40% - Accent5 4 3 2 3 3 2 2" xfId="21835" xr:uid="{00000000-0005-0000-0000-00000E860000}"/>
    <cellStyle name="40% - Accent5 4 3 2 3 3 2 2 2" xfId="44437" xr:uid="{00000000-0005-0000-0000-00000F860000}"/>
    <cellStyle name="40% - Accent5 4 3 2 3 3 2 3" xfId="33136" xr:uid="{00000000-0005-0000-0000-000010860000}"/>
    <cellStyle name="40% - Accent5 4 3 2 3 3 3" xfId="16185" xr:uid="{00000000-0005-0000-0000-000011860000}"/>
    <cellStyle name="40% - Accent5 4 3 2 3 3 3 2" xfId="38787" xr:uid="{00000000-0005-0000-0000-000012860000}"/>
    <cellStyle name="40% - Accent5 4 3 2 3 3 4" xfId="27486" xr:uid="{00000000-0005-0000-0000-000013860000}"/>
    <cellStyle name="40% - Accent5 4 3 2 3 4" xfId="7071" xr:uid="{00000000-0005-0000-0000-000014860000}"/>
    <cellStyle name="40% - Accent5 4 3 2 3 4 2" xfId="18372" xr:uid="{00000000-0005-0000-0000-000015860000}"/>
    <cellStyle name="40% - Accent5 4 3 2 3 4 2 2" xfId="40974" xr:uid="{00000000-0005-0000-0000-000016860000}"/>
    <cellStyle name="40% - Accent5 4 3 2 3 4 3" xfId="29673" xr:uid="{00000000-0005-0000-0000-000017860000}"/>
    <cellStyle name="40% - Accent5 4 3 2 3 5" xfId="12722" xr:uid="{00000000-0005-0000-0000-000018860000}"/>
    <cellStyle name="40% - Accent5 4 3 2 3 5 2" xfId="35324" xr:uid="{00000000-0005-0000-0000-000019860000}"/>
    <cellStyle name="40% - Accent5 4 3 2 3 6" xfId="24023" xr:uid="{00000000-0005-0000-0000-00001A860000}"/>
    <cellStyle name="40% - Accent5 4 3 2 4" xfId="2012" xr:uid="{00000000-0005-0000-0000-00001B860000}"/>
    <cellStyle name="40% - Accent5 4 3 2 4 2" xfId="3809" xr:uid="{00000000-0005-0000-0000-00001C860000}"/>
    <cellStyle name="40% - Accent5 4 3 2 4 2 2" xfId="9519" xr:uid="{00000000-0005-0000-0000-00001D860000}"/>
    <cellStyle name="40% - Accent5 4 3 2 4 2 2 2" xfId="20820" xr:uid="{00000000-0005-0000-0000-00001E860000}"/>
    <cellStyle name="40% - Accent5 4 3 2 4 2 2 2 2" xfId="43422" xr:uid="{00000000-0005-0000-0000-00001F860000}"/>
    <cellStyle name="40% - Accent5 4 3 2 4 2 2 3" xfId="32121" xr:uid="{00000000-0005-0000-0000-000020860000}"/>
    <cellStyle name="40% - Accent5 4 3 2 4 2 3" xfId="15170" xr:uid="{00000000-0005-0000-0000-000021860000}"/>
    <cellStyle name="40% - Accent5 4 3 2 4 2 3 2" xfId="37772" xr:uid="{00000000-0005-0000-0000-000022860000}"/>
    <cellStyle name="40% - Accent5 4 3 2 4 2 4" xfId="26471" xr:uid="{00000000-0005-0000-0000-000023860000}"/>
    <cellStyle name="40% - Accent5 4 3 2 4 3" xfId="5494" xr:uid="{00000000-0005-0000-0000-000024860000}"/>
    <cellStyle name="40% - Accent5 4 3 2 4 3 2" xfId="11144" xr:uid="{00000000-0005-0000-0000-000025860000}"/>
    <cellStyle name="40% - Accent5 4 3 2 4 3 2 2" xfId="22445" xr:uid="{00000000-0005-0000-0000-000026860000}"/>
    <cellStyle name="40% - Accent5 4 3 2 4 3 2 2 2" xfId="45047" xr:uid="{00000000-0005-0000-0000-000027860000}"/>
    <cellStyle name="40% - Accent5 4 3 2 4 3 2 3" xfId="33746" xr:uid="{00000000-0005-0000-0000-000028860000}"/>
    <cellStyle name="40% - Accent5 4 3 2 4 3 3" xfId="16795" xr:uid="{00000000-0005-0000-0000-000029860000}"/>
    <cellStyle name="40% - Accent5 4 3 2 4 3 3 2" xfId="39397" xr:uid="{00000000-0005-0000-0000-00002A860000}"/>
    <cellStyle name="40% - Accent5 4 3 2 4 3 4" xfId="28096" xr:uid="{00000000-0005-0000-0000-00002B860000}"/>
    <cellStyle name="40% - Accent5 4 3 2 4 4" xfId="7868" xr:uid="{00000000-0005-0000-0000-00002C860000}"/>
    <cellStyle name="40% - Accent5 4 3 2 4 4 2" xfId="19169" xr:uid="{00000000-0005-0000-0000-00002D860000}"/>
    <cellStyle name="40% - Accent5 4 3 2 4 4 2 2" xfId="41771" xr:uid="{00000000-0005-0000-0000-00002E860000}"/>
    <cellStyle name="40% - Accent5 4 3 2 4 4 3" xfId="30470" xr:uid="{00000000-0005-0000-0000-00002F860000}"/>
    <cellStyle name="40% - Accent5 4 3 2 4 5" xfId="13519" xr:uid="{00000000-0005-0000-0000-000030860000}"/>
    <cellStyle name="40% - Accent5 4 3 2 4 5 2" xfId="36121" xr:uid="{00000000-0005-0000-0000-000031860000}"/>
    <cellStyle name="40% - Accent5 4 3 2 4 6" xfId="24820" xr:uid="{00000000-0005-0000-0000-000032860000}"/>
    <cellStyle name="40% - Accent5 4 3 2 5" xfId="2475" xr:uid="{00000000-0005-0000-0000-000033860000}"/>
    <cellStyle name="40% - Accent5 4 3 2 5 2" xfId="8311" xr:uid="{00000000-0005-0000-0000-000034860000}"/>
    <cellStyle name="40% - Accent5 4 3 2 5 2 2" xfId="19612" xr:uid="{00000000-0005-0000-0000-000035860000}"/>
    <cellStyle name="40% - Accent5 4 3 2 5 2 2 2" xfId="42214" xr:uid="{00000000-0005-0000-0000-000036860000}"/>
    <cellStyle name="40% - Accent5 4 3 2 5 2 3" xfId="30913" xr:uid="{00000000-0005-0000-0000-000037860000}"/>
    <cellStyle name="40% - Accent5 4 3 2 5 3" xfId="13962" xr:uid="{00000000-0005-0000-0000-000038860000}"/>
    <cellStyle name="40% - Accent5 4 3 2 5 3 2" xfId="36564" xr:uid="{00000000-0005-0000-0000-000039860000}"/>
    <cellStyle name="40% - Accent5 4 3 2 5 4" xfId="25263" xr:uid="{00000000-0005-0000-0000-00003A860000}"/>
    <cellStyle name="40% - Accent5 4 3 2 6" xfId="4260" xr:uid="{00000000-0005-0000-0000-00003B860000}"/>
    <cellStyle name="40% - Accent5 4 3 2 6 2" xfId="9910" xr:uid="{00000000-0005-0000-0000-00003C860000}"/>
    <cellStyle name="40% - Accent5 4 3 2 6 2 2" xfId="21211" xr:uid="{00000000-0005-0000-0000-00003D860000}"/>
    <cellStyle name="40% - Accent5 4 3 2 6 2 2 2" xfId="43813" xr:uid="{00000000-0005-0000-0000-00003E860000}"/>
    <cellStyle name="40% - Accent5 4 3 2 6 2 3" xfId="32512" xr:uid="{00000000-0005-0000-0000-00003F860000}"/>
    <cellStyle name="40% - Accent5 4 3 2 6 3" xfId="15561" xr:uid="{00000000-0005-0000-0000-000040860000}"/>
    <cellStyle name="40% - Accent5 4 3 2 6 3 2" xfId="38163" xr:uid="{00000000-0005-0000-0000-000041860000}"/>
    <cellStyle name="40% - Accent5 4 3 2 6 4" xfId="26862" xr:uid="{00000000-0005-0000-0000-000042860000}"/>
    <cellStyle name="40% - Accent5 4 3 2 7" xfId="6740" xr:uid="{00000000-0005-0000-0000-000043860000}"/>
    <cellStyle name="40% - Accent5 4 3 2 7 2" xfId="18041" xr:uid="{00000000-0005-0000-0000-000044860000}"/>
    <cellStyle name="40% - Accent5 4 3 2 7 2 2" xfId="40643" xr:uid="{00000000-0005-0000-0000-000045860000}"/>
    <cellStyle name="40% - Accent5 4 3 2 7 3" xfId="29342" xr:uid="{00000000-0005-0000-0000-000046860000}"/>
    <cellStyle name="40% - Accent5 4 3 2 8" xfId="12391" xr:uid="{00000000-0005-0000-0000-000047860000}"/>
    <cellStyle name="40% - Accent5 4 3 2 8 2" xfId="34993" xr:uid="{00000000-0005-0000-0000-000048860000}"/>
    <cellStyle name="40% - Accent5 4 3 2 9" xfId="23692" xr:uid="{00000000-0005-0000-0000-000049860000}"/>
    <cellStyle name="40% - Accent5 4 3 3" xfId="1247" xr:uid="{00000000-0005-0000-0000-00004A860000}"/>
    <cellStyle name="40% - Accent5 4 3 3 2" xfId="2014" xr:uid="{00000000-0005-0000-0000-00004B860000}"/>
    <cellStyle name="40% - Accent5 4 3 3 2 2" xfId="3315" xr:uid="{00000000-0005-0000-0000-00004C860000}"/>
    <cellStyle name="40% - Accent5 4 3 3 2 2 2" xfId="6287" xr:uid="{00000000-0005-0000-0000-00004D860000}"/>
    <cellStyle name="40% - Accent5 4 3 3 2 2 2 2" xfId="11937" xr:uid="{00000000-0005-0000-0000-00004E860000}"/>
    <cellStyle name="40% - Accent5 4 3 3 2 2 2 2 2" xfId="23238" xr:uid="{00000000-0005-0000-0000-00004F860000}"/>
    <cellStyle name="40% - Accent5 4 3 3 2 2 2 2 2 2" xfId="45840" xr:uid="{00000000-0005-0000-0000-000050860000}"/>
    <cellStyle name="40% - Accent5 4 3 3 2 2 2 2 3" xfId="34539" xr:uid="{00000000-0005-0000-0000-000051860000}"/>
    <cellStyle name="40% - Accent5 4 3 3 2 2 2 3" xfId="17588" xr:uid="{00000000-0005-0000-0000-000052860000}"/>
    <cellStyle name="40% - Accent5 4 3 3 2 2 2 3 2" xfId="40190" xr:uid="{00000000-0005-0000-0000-000053860000}"/>
    <cellStyle name="40% - Accent5 4 3 3 2 2 2 4" xfId="28889" xr:uid="{00000000-0005-0000-0000-000054860000}"/>
    <cellStyle name="40% - Accent5 4 3 3 2 2 3" xfId="9105" xr:uid="{00000000-0005-0000-0000-000055860000}"/>
    <cellStyle name="40% - Accent5 4 3 3 2 2 3 2" xfId="20406" xr:uid="{00000000-0005-0000-0000-000056860000}"/>
    <cellStyle name="40% - Accent5 4 3 3 2 2 3 2 2" xfId="43008" xr:uid="{00000000-0005-0000-0000-000057860000}"/>
    <cellStyle name="40% - Accent5 4 3 3 2 2 3 3" xfId="31707" xr:uid="{00000000-0005-0000-0000-000058860000}"/>
    <cellStyle name="40% - Accent5 4 3 3 2 2 4" xfId="14756" xr:uid="{00000000-0005-0000-0000-000059860000}"/>
    <cellStyle name="40% - Accent5 4 3 3 2 2 4 2" xfId="37358" xr:uid="{00000000-0005-0000-0000-00005A860000}"/>
    <cellStyle name="40% - Accent5 4 3 3 2 2 5" xfId="26057" xr:uid="{00000000-0005-0000-0000-00005B860000}"/>
    <cellStyle name="40% - Accent5 4 3 3 2 3" xfId="5053" xr:uid="{00000000-0005-0000-0000-00005C860000}"/>
    <cellStyle name="40% - Accent5 4 3 3 2 3 2" xfId="10703" xr:uid="{00000000-0005-0000-0000-00005D860000}"/>
    <cellStyle name="40% - Accent5 4 3 3 2 3 2 2" xfId="22004" xr:uid="{00000000-0005-0000-0000-00005E860000}"/>
    <cellStyle name="40% - Accent5 4 3 3 2 3 2 2 2" xfId="44606" xr:uid="{00000000-0005-0000-0000-00005F860000}"/>
    <cellStyle name="40% - Accent5 4 3 3 2 3 2 3" xfId="33305" xr:uid="{00000000-0005-0000-0000-000060860000}"/>
    <cellStyle name="40% - Accent5 4 3 3 2 3 3" xfId="16354" xr:uid="{00000000-0005-0000-0000-000061860000}"/>
    <cellStyle name="40% - Accent5 4 3 3 2 3 3 2" xfId="38956" xr:uid="{00000000-0005-0000-0000-000062860000}"/>
    <cellStyle name="40% - Accent5 4 3 3 2 3 4" xfId="27655" xr:uid="{00000000-0005-0000-0000-000063860000}"/>
    <cellStyle name="40% - Accent5 4 3 3 2 4" xfId="7870" xr:uid="{00000000-0005-0000-0000-000064860000}"/>
    <cellStyle name="40% - Accent5 4 3 3 2 4 2" xfId="19171" xr:uid="{00000000-0005-0000-0000-000065860000}"/>
    <cellStyle name="40% - Accent5 4 3 3 2 4 2 2" xfId="41773" xr:uid="{00000000-0005-0000-0000-000066860000}"/>
    <cellStyle name="40% - Accent5 4 3 3 2 4 3" xfId="30472" xr:uid="{00000000-0005-0000-0000-000067860000}"/>
    <cellStyle name="40% - Accent5 4 3 3 2 5" xfId="13521" xr:uid="{00000000-0005-0000-0000-000068860000}"/>
    <cellStyle name="40% - Accent5 4 3 3 2 5 2" xfId="36123" xr:uid="{00000000-0005-0000-0000-000069860000}"/>
    <cellStyle name="40% - Accent5 4 3 3 2 6" xfId="24822" xr:uid="{00000000-0005-0000-0000-00006A860000}"/>
    <cellStyle name="40% - Accent5 4 3 3 3" xfId="2644" xr:uid="{00000000-0005-0000-0000-00006B860000}"/>
    <cellStyle name="40% - Accent5 4 3 3 3 2" xfId="5663" xr:uid="{00000000-0005-0000-0000-00006C860000}"/>
    <cellStyle name="40% - Accent5 4 3 3 3 2 2" xfId="11313" xr:uid="{00000000-0005-0000-0000-00006D860000}"/>
    <cellStyle name="40% - Accent5 4 3 3 3 2 2 2" xfId="22614" xr:uid="{00000000-0005-0000-0000-00006E860000}"/>
    <cellStyle name="40% - Accent5 4 3 3 3 2 2 2 2" xfId="45216" xr:uid="{00000000-0005-0000-0000-00006F860000}"/>
    <cellStyle name="40% - Accent5 4 3 3 3 2 2 3" xfId="33915" xr:uid="{00000000-0005-0000-0000-000070860000}"/>
    <cellStyle name="40% - Accent5 4 3 3 3 2 3" xfId="16964" xr:uid="{00000000-0005-0000-0000-000071860000}"/>
    <cellStyle name="40% - Accent5 4 3 3 3 2 3 2" xfId="39566" xr:uid="{00000000-0005-0000-0000-000072860000}"/>
    <cellStyle name="40% - Accent5 4 3 3 3 2 4" xfId="28265" xr:uid="{00000000-0005-0000-0000-000073860000}"/>
    <cellStyle name="40% - Accent5 4 3 3 3 3" xfId="8480" xr:uid="{00000000-0005-0000-0000-000074860000}"/>
    <cellStyle name="40% - Accent5 4 3 3 3 3 2" xfId="19781" xr:uid="{00000000-0005-0000-0000-000075860000}"/>
    <cellStyle name="40% - Accent5 4 3 3 3 3 2 2" xfId="42383" xr:uid="{00000000-0005-0000-0000-000076860000}"/>
    <cellStyle name="40% - Accent5 4 3 3 3 3 3" xfId="31082" xr:uid="{00000000-0005-0000-0000-000077860000}"/>
    <cellStyle name="40% - Accent5 4 3 3 3 4" xfId="14131" xr:uid="{00000000-0005-0000-0000-000078860000}"/>
    <cellStyle name="40% - Accent5 4 3 3 3 4 2" xfId="36733" xr:uid="{00000000-0005-0000-0000-000079860000}"/>
    <cellStyle name="40% - Accent5 4 3 3 3 5" xfId="25432" xr:uid="{00000000-0005-0000-0000-00007A860000}"/>
    <cellStyle name="40% - Accent5 4 3 3 4" xfId="4429" xr:uid="{00000000-0005-0000-0000-00007B860000}"/>
    <cellStyle name="40% - Accent5 4 3 3 4 2" xfId="10079" xr:uid="{00000000-0005-0000-0000-00007C860000}"/>
    <cellStyle name="40% - Accent5 4 3 3 4 2 2" xfId="21380" xr:uid="{00000000-0005-0000-0000-00007D860000}"/>
    <cellStyle name="40% - Accent5 4 3 3 4 2 2 2" xfId="43982" xr:uid="{00000000-0005-0000-0000-00007E860000}"/>
    <cellStyle name="40% - Accent5 4 3 3 4 2 3" xfId="32681" xr:uid="{00000000-0005-0000-0000-00007F860000}"/>
    <cellStyle name="40% - Accent5 4 3 3 4 3" xfId="15730" xr:uid="{00000000-0005-0000-0000-000080860000}"/>
    <cellStyle name="40% - Accent5 4 3 3 4 3 2" xfId="38332" xr:uid="{00000000-0005-0000-0000-000081860000}"/>
    <cellStyle name="40% - Accent5 4 3 3 4 4" xfId="27031" xr:uid="{00000000-0005-0000-0000-000082860000}"/>
    <cellStyle name="40% - Accent5 4 3 3 5" xfId="7226" xr:uid="{00000000-0005-0000-0000-000083860000}"/>
    <cellStyle name="40% - Accent5 4 3 3 5 2" xfId="18527" xr:uid="{00000000-0005-0000-0000-000084860000}"/>
    <cellStyle name="40% - Accent5 4 3 3 5 2 2" xfId="41129" xr:uid="{00000000-0005-0000-0000-000085860000}"/>
    <cellStyle name="40% - Accent5 4 3 3 5 3" xfId="29828" xr:uid="{00000000-0005-0000-0000-000086860000}"/>
    <cellStyle name="40% - Accent5 4 3 3 6" xfId="12877" xr:uid="{00000000-0005-0000-0000-000087860000}"/>
    <cellStyle name="40% - Accent5 4 3 3 6 2" xfId="35479" xr:uid="{00000000-0005-0000-0000-000088860000}"/>
    <cellStyle name="40% - Accent5 4 3 3 7" xfId="24178" xr:uid="{00000000-0005-0000-0000-000089860000}"/>
    <cellStyle name="40% - Accent5 4 3 4" xfId="938" xr:uid="{00000000-0005-0000-0000-00008A860000}"/>
    <cellStyle name="40% - Accent5 4 3 4 2" xfId="3008" xr:uid="{00000000-0005-0000-0000-00008B860000}"/>
    <cellStyle name="40% - Accent5 4 3 4 2 2" xfId="5980" xr:uid="{00000000-0005-0000-0000-00008C860000}"/>
    <cellStyle name="40% - Accent5 4 3 4 2 2 2" xfId="11630" xr:uid="{00000000-0005-0000-0000-00008D860000}"/>
    <cellStyle name="40% - Accent5 4 3 4 2 2 2 2" xfId="22931" xr:uid="{00000000-0005-0000-0000-00008E860000}"/>
    <cellStyle name="40% - Accent5 4 3 4 2 2 2 2 2" xfId="45533" xr:uid="{00000000-0005-0000-0000-00008F860000}"/>
    <cellStyle name="40% - Accent5 4 3 4 2 2 2 3" xfId="34232" xr:uid="{00000000-0005-0000-0000-000090860000}"/>
    <cellStyle name="40% - Accent5 4 3 4 2 2 3" xfId="17281" xr:uid="{00000000-0005-0000-0000-000091860000}"/>
    <cellStyle name="40% - Accent5 4 3 4 2 2 3 2" xfId="39883" xr:uid="{00000000-0005-0000-0000-000092860000}"/>
    <cellStyle name="40% - Accent5 4 3 4 2 2 4" xfId="28582" xr:uid="{00000000-0005-0000-0000-000093860000}"/>
    <cellStyle name="40% - Accent5 4 3 4 2 3" xfId="8798" xr:uid="{00000000-0005-0000-0000-000094860000}"/>
    <cellStyle name="40% - Accent5 4 3 4 2 3 2" xfId="20099" xr:uid="{00000000-0005-0000-0000-000095860000}"/>
    <cellStyle name="40% - Accent5 4 3 4 2 3 2 2" xfId="42701" xr:uid="{00000000-0005-0000-0000-000096860000}"/>
    <cellStyle name="40% - Accent5 4 3 4 2 3 3" xfId="31400" xr:uid="{00000000-0005-0000-0000-000097860000}"/>
    <cellStyle name="40% - Accent5 4 3 4 2 4" xfId="14449" xr:uid="{00000000-0005-0000-0000-000098860000}"/>
    <cellStyle name="40% - Accent5 4 3 4 2 4 2" xfId="37051" xr:uid="{00000000-0005-0000-0000-000099860000}"/>
    <cellStyle name="40% - Accent5 4 3 4 2 5" xfId="25750" xr:uid="{00000000-0005-0000-0000-00009A860000}"/>
    <cellStyle name="40% - Accent5 4 3 4 3" xfId="4746" xr:uid="{00000000-0005-0000-0000-00009B860000}"/>
    <cellStyle name="40% - Accent5 4 3 4 3 2" xfId="10396" xr:uid="{00000000-0005-0000-0000-00009C860000}"/>
    <cellStyle name="40% - Accent5 4 3 4 3 2 2" xfId="21697" xr:uid="{00000000-0005-0000-0000-00009D860000}"/>
    <cellStyle name="40% - Accent5 4 3 4 3 2 2 2" xfId="44299" xr:uid="{00000000-0005-0000-0000-00009E860000}"/>
    <cellStyle name="40% - Accent5 4 3 4 3 2 3" xfId="32998" xr:uid="{00000000-0005-0000-0000-00009F860000}"/>
    <cellStyle name="40% - Accent5 4 3 4 3 3" xfId="16047" xr:uid="{00000000-0005-0000-0000-0000A0860000}"/>
    <cellStyle name="40% - Accent5 4 3 4 3 3 2" xfId="38649" xr:uid="{00000000-0005-0000-0000-0000A1860000}"/>
    <cellStyle name="40% - Accent5 4 3 4 3 4" xfId="27348" xr:uid="{00000000-0005-0000-0000-0000A2860000}"/>
    <cellStyle name="40% - Accent5 4 3 4 4" xfId="6933" xr:uid="{00000000-0005-0000-0000-0000A3860000}"/>
    <cellStyle name="40% - Accent5 4 3 4 4 2" xfId="18234" xr:uid="{00000000-0005-0000-0000-0000A4860000}"/>
    <cellStyle name="40% - Accent5 4 3 4 4 2 2" xfId="40836" xr:uid="{00000000-0005-0000-0000-0000A5860000}"/>
    <cellStyle name="40% - Accent5 4 3 4 4 3" xfId="29535" xr:uid="{00000000-0005-0000-0000-0000A6860000}"/>
    <cellStyle name="40% - Accent5 4 3 4 5" xfId="12584" xr:uid="{00000000-0005-0000-0000-0000A7860000}"/>
    <cellStyle name="40% - Accent5 4 3 4 5 2" xfId="35186" xr:uid="{00000000-0005-0000-0000-0000A8860000}"/>
    <cellStyle name="40% - Accent5 4 3 4 6" xfId="23885" xr:uid="{00000000-0005-0000-0000-0000A9860000}"/>
    <cellStyle name="40% - Accent5 4 3 5" xfId="2011" xr:uid="{00000000-0005-0000-0000-0000AA860000}"/>
    <cellStyle name="40% - Accent5 4 3 5 2" xfId="3808" xr:uid="{00000000-0005-0000-0000-0000AB860000}"/>
    <cellStyle name="40% - Accent5 4 3 5 2 2" xfId="9518" xr:uid="{00000000-0005-0000-0000-0000AC860000}"/>
    <cellStyle name="40% - Accent5 4 3 5 2 2 2" xfId="20819" xr:uid="{00000000-0005-0000-0000-0000AD860000}"/>
    <cellStyle name="40% - Accent5 4 3 5 2 2 2 2" xfId="43421" xr:uid="{00000000-0005-0000-0000-0000AE860000}"/>
    <cellStyle name="40% - Accent5 4 3 5 2 2 3" xfId="32120" xr:uid="{00000000-0005-0000-0000-0000AF860000}"/>
    <cellStyle name="40% - Accent5 4 3 5 2 3" xfId="15169" xr:uid="{00000000-0005-0000-0000-0000B0860000}"/>
    <cellStyle name="40% - Accent5 4 3 5 2 3 2" xfId="37771" xr:uid="{00000000-0005-0000-0000-0000B1860000}"/>
    <cellStyle name="40% - Accent5 4 3 5 2 4" xfId="26470" xr:uid="{00000000-0005-0000-0000-0000B2860000}"/>
    <cellStyle name="40% - Accent5 4 3 5 3" xfId="5356" xr:uid="{00000000-0005-0000-0000-0000B3860000}"/>
    <cellStyle name="40% - Accent5 4 3 5 3 2" xfId="11006" xr:uid="{00000000-0005-0000-0000-0000B4860000}"/>
    <cellStyle name="40% - Accent5 4 3 5 3 2 2" xfId="22307" xr:uid="{00000000-0005-0000-0000-0000B5860000}"/>
    <cellStyle name="40% - Accent5 4 3 5 3 2 2 2" xfId="44909" xr:uid="{00000000-0005-0000-0000-0000B6860000}"/>
    <cellStyle name="40% - Accent5 4 3 5 3 2 3" xfId="33608" xr:uid="{00000000-0005-0000-0000-0000B7860000}"/>
    <cellStyle name="40% - Accent5 4 3 5 3 3" xfId="16657" xr:uid="{00000000-0005-0000-0000-0000B8860000}"/>
    <cellStyle name="40% - Accent5 4 3 5 3 3 2" xfId="39259" xr:uid="{00000000-0005-0000-0000-0000B9860000}"/>
    <cellStyle name="40% - Accent5 4 3 5 3 4" xfId="27958" xr:uid="{00000000-0005-0000-0000-0000BA860000}"/>
    <cellStyle name="40% - Accent5 4 3 5 4" xfId="7867" xr:uid="{00000000-0005-0000-0000-0000BB860000}"/>
    <cellStyle name="40% - Accent5 4 3 5 4 2" xfId="19168" xr:uid="{00000000-0005-0000-0000-0000BC860000}"/>
    <cellStyle name="40% - Accent5 4 3 5 4 2 2" xfId="41770" xr:uid="{00000000-0005-0000-0000-0000BD860000}"/>
    <cellStyle name="40% - Accent5 4 3 5 4 3" xfId="30469" xr:uid="{00000000-0005-0000-0000-0000BE860000}"/>
    <cellStyle name="40% - Accent5 4 3 5 5" xfId="13518" xr:uid="{00000000-0005-0000-0000-0000BF860000}"/>
    <cellStyle name="40% - Accent5 4 3 5 5 2" xfId="36120" xr:uid="{00000000-0005-0000-0000-0000C0860000}"/>
    <cellStyle name="40% - Accent5 4 3 5 6" xfId="24819" xr:uid="{00000000-0005-0000-0000-0000C1860000}"/>
    <cellStyle name="40% - Accent5 4 3 6" xfId="2335" xr:uid="{00000000-0005-0000-0000-0000C2860000}"/>
    <cellStyle name="40% - Accent5 4 3 6 2" xfId="8171" xr:uid="{00000000-0005-0000-0000-0000C3860000}"/>
    <cellStyle name="40% - Accent5 4 3 6 2 2" xfId="19472" xr:uid="{00000000-0005-0000-0000-0000C4860000}"/>
    <cellStyle name="40% - Accent5 4 3 6 2 2 2" xfId="42074" xr:uid="{00000000-0005-0000-0000-0000C5860000}"/>
    <cellStyle name="40% - Accent5 4 3 6 2 3" xfId="30773" xr:uid="{00000000-0005-0000-0000-0000C6860000}"/>
    <cellStyle name="40% - Accent5 4 3 6 3" xfId="13822" xr:uid="{00000000-0005-0000-0000-0000C7860000}"/>
    <cellStyle name="40% - Accent5 4 3 6 3 2" xfId="36424" xr:uid="{00000000-0005-0000-0000-0000C8860000}"/>
    <cellStyle name="40% - Accent5 4 3 6 4" xfId="25123" xr:uid="{00000000-0005-0000-0000-0000C9860000}"/>
    <cellStyle name="40% - Accent5 4 3 7" xfId="4122" xr:uid="{00000000-0005-0000-0000-0000CA860000}"/>
    <cellStyle name="40% - Accent5 4 3 7 2" xfId="9772" xr:uid="{00000000-0005-0000-0000-0000CB860000}"/>
    <cellStyle name="40% - Accent5 4 3 7 2 2" xfId="21073" xr:uid="{00000000-0005-0000-0000-0000CC860000}"/>
    <cellStyle name="40% - Accent5 4 3 7 2 2 2" xfId="43675" xr:uid="{00000000-0005-0000-0000-0000CD860000}"/>
    <cellStyle name="40% - Accent5 4 3 7 2 3" xfId="32374" xr:uid="{00000000-0005-0000-0000-0000CE860000}"/>
    <cellStyle name="40% - Accent5 4 3 7 3" xfId="15423" xr:uid="{00000000-0005-0000-0000-0000CF860000}"/>
    <cellStyle name="40% - Accent5 4 3 7 3 2" xfId="38025" xr:uid="{00000000-0005-0000-0000-0000D0860000}"/>
    <cellStyle name="40% - Accent5 4 3 7 4" xfId="26724" xr:uid="{00000000-0005-0000-0000-0000D1860000}"/>
    <cellStyle name="40% - Accent5 4 3 8" xfId="6573" xr:uid="{00000000-0005-0000-0000-0000D2860000}"/>
    <cellStyle name="40% - Accent5 4 3 8 2" xfId="17874" xr:uid="{00000000-0005-0000-0000-0000D3860000}"/>
    <cellStyle name="40% - Accent5 4 3 8 2 2" xfId="40476" xr:uid="{00000000-0005-0000-0000-0000D4860000}"/>
    <cellStyle name="40% - Accent5 4 3 8 3" xfId="29175" xr:uid="{00000000-0005-0000-0000-0000D5860000}"/>
    <cellStyle name="40% - Accent5 4 3 9" xfId="12224" xr:uid="{00000000-0005-0000-0000-0000D6860000}"/>
    <cellStyle name="40% - Accent5 4 3 9 2" xfId="34826" xr:uid="{00000000-0005-0000-0000-0000D7860000}"/>
    <cellStyle name="40% - Accent5 4 4" xfId="577" xr:uid="{00000000-0005-0000-0000-0000D8860000}"/>
    <cellStyle name="40% - Accent5 4 4 2" xfId="1151" xr:uid="{00000000-0005-0000-0000-0000D9860000}"/>
    <cellStyle name="40% - Accent5 4 4 2 2" xfId="2016" xr:uid="{00000000-0005-0000-0000-0000DA860000}"/>
    <cellStyle name="40% - Accent5 4 4 2 2 2" xfId="3219" xr:uid="{00000000-0005-0000-0000-0000DB860000}"/>
    <cellStyle name="40% - Accent5 4 4 2 2 2 2" xfId="6191" xr:uid="{00000000-0005-0000-0000-0000DC860000}"/>
    <cellStyle name="40% - Accent5 4 4 2 2 2 2 2" xfId="11841" xr:uid="{00000000-0005-0000-0000-0000DD860000}"/>
    <cellStyle name="40% - Accent5 4 4 2 2 2 2 2 2" xfId="23142" xr:uid="{00000000-0005-0000-0000-0000DE860000}"/>
    <cellStyle name="40% - Accent5 4 4 2 2 2 2 2 2 2" xfId="45744" xr:uid="{00000000-0005-0000-0000-0000DF860000}"/>
    <cellStyle name="40% - Accent5 4 4 2 2 2 2 2 3" xfId="34443" xr:uid="{00000000-0005-0000-0000-0000E0860000}"/>
    <cellStyle name="40% - Accent5 4 4 2 2 2 2 3" xfId="17492" xr:uid="{00000000-0005-0000-0000-0000E1860000}"/>
    <cellStyle name="40% - Accent5 4 4 2 2 2 2 3 2" xfId="40094" xr:uid="{00000000-0005-0000-0000-0000E2860000}"/>
    <cellStyle name="40% - Accent5 4 4 2 2 2 2 4" xfId="28793" xr:uid="{00000000-0005-0000-0000-0000E3860000}"/>
    <cellStyle name="40% - Accent5 4 4 2 2 2 3" xfId="9009" xr:uid="{00000000-0005-0000-0000-0000E4860000}"/>
    <cellStyle name="40% - Accent5 4 4 2 2 2 3 2" xfId="20310" xr:uid="{00000000-0005-0000-0000-0000E5860000}"/>
    <cellStyle name="40% - Accent5 4 4 2 2 2 3 2 2" xfId="42912" xr:uid="{00000000-0005-0000-0000-0000E6860000}"/>
    <cellStyle name="40% - Accent5 4 4 2 2 2 3 3" xfId="31611" xr:uid="{00000000-0005-0000-0000-0000E7860000}"/>
    <cellStyle name="40% - Accent5 4 4 2 2 2 4" xfId="14660" xr:uid="{00000000-0005-0000-0000-0000E8860000}"/>
    <cellStyle name="40% - Accent5 4 4 2 2 2 4 2" xfId="37262" xr:uid="{00000000-0005-0000-0000-0000E9860000}"/>
    <cellStyle name="40% - Accent5 4 4 2 2 2 5" xfId="25961" xr:uid="{00000000-0005-0000-0000-0000EA860000}"/>
    <cellStyle name="40% - Accent5 4 4 2 2 3" xfId="4957" xr:uid="{00000000-0005-0000-0000-0000EB860000}"/>
    <cellStyle name="40% - Accent5 4 4 2 2 3 2" xfId="10607" xr:uid="{00000000-0005-0000-0000-0000EC860000}"/>
    <cellStyle name="40% - Accent5 4 4 2 2 3 2 2" xfId="21908" xr:uid="{00000000-0005-0000-0000-0000ED860000}"/>
    <cellStyle name="40% - Accent5 4 4 2 2 3 2 2 2" xfId="44510" xr:uid="{00000000-0005-0000-0000-0000EE860000}"/>
    <cellStyle name="40% - Accent5 4 4 2 2 3 2 3" xfId="33209" xr:uid="{00000000-0005-0000-0000-0000EF860000}"/>
    <cellStyle name="40% - Accent5 4 4 2 2 3 3" xfId="16258" xr:uid="{00000000-0005-0000-0000-0000F0860000}"/>
    <cellStyle name="40% - Accent5 4 4 2 2 3 3 2" xfId="38860" xr:uid="{00000000-0005-0000-0000-0000F1860000}"/>
    <cellStyle name="40% - Accent5 4 4 2 2 3 4" xfId="27559" xr:uid="{00000000-0005-0000-0000-0000F2860000}"/>
    <cellStyle name="40% - Accent5 4 4 2 2 4" xfId="7872" xr:uid="{00000000-0005-0000-0000-0000F3860000}"/>
    <cellStyle name="40% - Accent5 4 4 2 2 4 2" xfId="19173" xr:uid="{00000000-0005-0000-0000-0000F4860000}"/>
    <cellStyle name="40% - Accent5 4 4 2 2 4 2 2" xfId="41775" xr:uid="{00000000-0005-0000-0000-0000F5860000}"/>
    <cellStyle name="40% - Accent5 4 4 2 2 4 3" xfId="30474" xr:uid="{00000000-0005-0000-0000-0000F6860000}"/>
    <cellStyle name="40% - Accent5 4 4 2 2 5" xfId="13523" xr:uid="{00000000-0005-0000-0000-0000F7860000}"/>
    <cellStyle name="40% - Accent5 4 4 2 2 5 2" xfId="36125" xr:uid="{00000000-0005-0000-0000-0000F8860000}"/>
    <cellStyle name="40% - Accent5 4 4 2 2 6" xfId="24824" xr:uid="{00000000-0005-0000-0000-0000F9860000}"/>
    <cellStyle name="40% - Accent5 4 4 2 3" xfId="2548" xr:uid="{00000000-0005-0000-0000-0000FA860000}"/>
    <cellStyle name="40% - Accent5 4 4 2 3 2" xfId="5567" xr:uid="{00000000-0005-0000-0000-0000FB860000}"/>
    <cellStyle name="40% - Accent5 4 4 2 3 2 2" xfId="11217" xr:uid="{00000000-0005-0000-0000-0000FC860000}"/>
    <cellStyle name="40% - Accent5 4 4 2 3 2 2 2" xfId="22518" xr:uid="{00000000-0005-0000-0000-0000FD860000}"/>
    <cellStyle name="40% - Accent5 4 4 2 3 2 2 2 2" xfId="45120" xr:uid="{00000000-0005-0000-0000-0000FE860000}"/>
    <cellStyle name="40% - Accent5 4 4 2 3 2 2 3" xfId="33819" xr:uid="{00000000-0005-0000-0000-0000FF860000}"/>
    <cellStyle name="40% - Accent5 4 4 2 3 2 3" xfId="16868" xr:uid="{00000000-0005-0000-0000-000000870000}"/>
    <cellStyle name="40% - Accent5 4 4 2 3 2 3 2" xfId="39470" xr:uid="{00000000-0005-0000-0000-000001870000}"/>
    <cellStyle name="40% - Accent5 4 4 2 3 2 4" xfId="28169" xr:uid="{00000000-0005-0000-0000-000002870000}"/>
    <cellStyle name="40% - Accent5 4 4 2 3 3" xfId="8384" xr:uid="{00000000-0005-0000-0000-000003870000}"/>
    <cellStyle name="40% - Accent5 4 4 2 3 3 2" xfId="19685" xr:uid="{00000000-0005-0000-0000-000004870000}"/>
    <cellStyle name="40% - Accent5 4 4 2 3 3 2 2" xfId="42287" xr:uid="{00000000-0005-0000-0000-000005870000}"/>
    <cellStyle name="40% - Accent5 4 4 2 3 3 3" xfId="30986" xr:uid="{00000000-0005-0000-0000-000006870000}"/>
    <cellStyle name="40% - Accent5 4 4 2 3 4" xfId="14035" xr:uid="{00000000-0005-0000-0000-000007870000}"/>
    <cellStyle name="40% - Accent5 4 4 2 3 4 2" xfId="36637" xr:uid="{00000000-0005-0000-0000-000008870000}"/>
    <cellStyle name="40% - Accent5 4 4 2 3 5" xfId="25336" xr:uid="{00000000-0005-0000-0000-000009870000}"/>
    <cellStyle name="40% - Accent5 4 4 2 4" xfId="4333" xr:uid="{00000000-0005-0000-0000-00000A870000}"/>
    <cellStyle name="40% - Accent5 4 4 2 4 2" xfId="9983" xr:uid="{00000000-0005-0000-0000-00000B870000}"/>
    <cellStyle name="40% - Accent5 4 4 2 4 2 2" xfId="21284" xr:uid="{00000000-0005-0000-0000-00000C870000}"/>
    <cellStyle name="40% - Accent5 4 4 2 4 2 2 2" xfId="43886" xr:uid="{00000000-0005-0000-0000-00000D870000}"/>
    <cellStyle name="40% - Accent5 4 4 2 4 2 3" xfId="32585" xr:uid="{00000000-0005-0000-0000-00000E870000}"/>
    <cellStyle name="40% - Accent5 4 4 2 4 3" xfId="15634" xr:uid="{00000000-0005-0000-0000-00000F870000}"/>
    <cellStyle name="40% - Accent5 4 4 2 4 3 2" xfId="38236" xr:uid="{00000000-0005-0000-0000-000010870000}"/>
    <cellStyle name="40% - Accent5 4 4 2 4 4" xfId="26935" xr:uid="{00000000-0005-0000-0000-000011870000}"/>
    <cellStyle name="40% - Accent5 4 4 2 5" xfId="7130" xr:uid="{00000000-0005-0000-0000-000012870000}"/>
    <cellStyle name="40% - Accent5 4 4 2 5 2" xfId="18431" xr:uid="{00000000-0005-0000-0000-000013870000}"/>
    <cellStyle name="40% - Accent5 4 4 2 5 2 2" xfId="41033" xr:uid="{00000000-0005-0000-0000-000014870000}"/>
    <cellStyle name="40% - Accent5 4 4 2 5 3" xfId="29732" xr:uid="{00000000-0005-0000-0000-000015870000}"/>
    <cellStyle name="40% - Accent5 4 4 2 6" xfId="12781" xr:uid="{00000000-0005-0000-0000-000016870000}"/>
    <cellStyle name="40% - Accent5 4 4 2 6 2" xfId="35383" xr:uid="{00000000-0005-0000-0000-000017870000}"/>
    <cellStyle name="40% - Accent5 4 4 2 7" xfId="24082" xr:uid="{00000000-0005-0000-0000-000018870000}"/>
    <cellStyle name="40% - Accent5 4 4 3" xfId="825" xr:uid="{00000000-0005-0000-0000-000019870000}"/>
    <cellStyle name="40% - Accent5 4 4 3 2" xfId="2912" xr:uid="{00000000-0005-0000-0000-00001A870000}"/>
    <cellStyle name="40% - Accent5 4 4 3 2 2" xfId="5884" xr:uid="{00000000-0005-0000-0000-00001B870000}"/>
    <cellStyle name="40% - Accent5 4 4 3 2 2 2" xfId="11534" xr:uid="{00000000-0005-0000-0000-00001C870000}"/>
    <cellStyle name="40% - Accent5 4 4 3 2 2 2 2" xfId="22835" xr:uid="{00000000-0005-0000-0000-00001D870000}"/>
    <cellStyle name="40% - Accent5 4 4 3 2 2 2 2 2" xfId="45437" xr:uid="{00000000-0005-0000-0000-00001E870000}"/>
    <cellStyle name="40% - Accent5 4 4 3 2 2 2 3" xfId="34136" xr:uid="{00000000-0005-0000-0000-00001F870000}"/>
    <cellStyle name="40% - Accent5 4 4 3 2 2 3" xfId="17185" xr:uid="{00000000-0005-0000-0000-000020870000}"/>
    <cellStyle name="40% - Accent5 4 4 3 2 2 3 2" xfId="39787" xr:uid="{00000000-0005-0000-0000-000021870000}"/>
    <cellStyle name="40% - Accent5 4 4 3 2 2 4" xfId="28486" xr:uid="{00000000-0005-0000-0000-000022870000}"/>
    <cellStyle name="40% - Accent5 4 4 3 2 3" xfId="8702" xr:uid="{00000000-0005-0000-0000-000023870000}"/>
    <cellStyle name="40% - Accent5 4 4 3 2 3 2" xfId="20003" xr:uid="{00000000-0005-0000-0000-000024870000}"/>
    <cellStyle name="40% - Accent5 4 4 3 2 3 2 2" xfId="42605" xr:uid="{00000000-0005-0000-0000-000025870000}"/>
    <cellStyle name="40% - Accent5 4 4 3 2 3 3" xfId="31304" xr:uid="{00000000-0005-0000-0000-000026870000}"/>
    <cellStyle name="40% - Accent5 4 4 3 2 4" xfId="14353" xr:uid="{00000000-0005-0000-0000-000027870000}"/>
    <cellStyle name="40% - Accent5 4 4 3 2 4 2" xfId="36955" xr:uid="{00000000-0005-0000-0000-000028870000}"/>
    <cellStyle name="40% - Accent5 4 4 3 2 5" xfId="25654" xr:uid="{00000000-0005-0000-0000-000029870000}"/>
    <cellStyle name="40% - Accent5 4 4 3 3" xfId="4650" xr:uid="{00000000-0005-0000-0000-00002A870000}"/>
    <cellStyle name="40% - Accent5 4 4 3 3 2" xfId="10300" xr:uid="{00000000-0005-0000-0000-00002B870000}"/>
    <cellStyle name="40% - Accent5 4 4 3 3 2 2" xfId="21601" xr:uid="{00000000-0005-0000-0000-00002C870000}"/>
    <cellStyle name="40% - Accent5 4 4 3 3 2 2 2" xfId="44203" xr:uid="{00000000-0005-0000-0000-00002D870000}"/>
    <cellStyle name="40% - Accent5 4 4 3 3 2 3" xfId="32902" xr:uid="{00000000-0005-0000-0000-00002E870000}"/>
    <cellStyle name="40% - Accent5 4 4 3 3 3" xfId="15951" xr:uid="{00000000-0005-0000-0000-00002F870000}"/>
    <cellStyle name="40% - Accent5 4 4 3 3 3 2" xfId="38553" xr:uid="{00000000-0005-0000-0000-000030870000}"/>
    <cellStyle name="40% - Accent5 4 4 3 3 4" xfId="27252" xr:uid="{00000000-0005-0000-0000-000031870000}"/>
    <cellStyle name="40% - Accent5 4 4 3 4" xfId="6833" xr:uid="{00000000-0005-0000-0000-000032870000}"/>
    <cellStyle name="40% - Accent5 4 4 3 4 2" xfId="18134" xr:uid="{00000000-0005-0000-0000-000033870000}"/>
    <cellStyle name="40% - Accent5 4 4 3 4 2 2" xfId="40736" xr:uid="{00000000-0005-0000-0000-000034870000}"/>
    <cellStyle name="40% - Accent5 4 4 3 4 3" xfId="29435" xr:uid="{00000000-0005-0000-0000-000035870000}"/>
    <cellStyle name="40% - Accent5 4 4 3 5" xfId="12484" xr:uid="{00000000-0005-0000-0000-000036870000}"/>
    <cellStyle name="40% - Accent5 4 4 3 5 2" xfId="35086" xr:uid="{00000000-0005-0000-0000-000037870000}"/>
    <cellStyle name="40% - Accent5 4 4 3 6" xfId="23785" xr:uid="{00000000-0005-0000-0000-000038870000}"/>
    <cellStyle name="40% - Accent5 4 4 4" xfId="2015" xr:uid="{00000000-0005-0000-0000-000039870000}"/>
    <cellStyle name="40% - Accent5 4 4 4 2" xfId="3810" xr:uid="{00000000-0005-0000-0000-00003A870000}"/>
    <cellStyle name="40% - Accent5 4 4 4 2 2" xfId="9520" xr:uid="{00000000-0005-0000-0000-00003B870000}"/>
    <cellStyle name="40% - Accent5 4 4 4 2 2 2" xfId="20821" xr:uid="{00000000-0005-0000-0000-00003C870000}"/>
    <cellStyle name="40% - Accent5 4 4 4 2 2 2 2" xfId="43423" xr:uid="{00000000-0005-0000-0000-00003D870000}"/>
    <cellStyle name="40% - Accent5 4 4 4 2 2 3" xfId="32122" xr:uid="{00000000-0005-0000-0000-00003E870000}"/>
    <cellStyle name="40% - Accent5 4 4 4 2 3" xfId="15171" xr:uid="{00000000-0005-0000-0000-00003F870000}"/>
    <cellStyle name="40% - Accent5 4 4 4 2 3 2" xfId="37773" xr:uid="{00000000-0005-0000-0000-000040870000}"/>
    <cellStyle name="40% - Accent5 4 4 4 2 4" xfId="26472" xr:uid="{00000000-0005-0000-0000-000041870000}"/>
    <cellStyle name="40% - Accent5 4 4 4 3" xfId="5260" xr:uid="{00000000-0005-0000-0000-000042870000}"/>
    <cellStyle name="40% - Accent5 4 4 4 3 2" xfId="10910" xr:uid="{00000000-0005-0000-0000-000043870000}"/>
    <cellStyle name="40% - Accent5 4 4 4 3 2 2" xfId="22211" xr:uid="{00000000-0005-0000-0000-000044870000}"/>
    <cellStyle name="40% - Accent5 4 4 4 3 2 2 2" xfId="44813" xr:uid="{00000000-0005-0000-0000-000045870000}"/>
    <cellStyle name="40% - Accent5 4 4 4 3 2 3" xfId="33512" xr:uid="{00000000-0005-0000-0000-000046870000}"/>
    <cellStyle name="40% - Accent5 4 4 4 3 3" xfId="16561" xr:uid="{00000000-0005-0000-0000-000047870000}"/>
    <cellStyle name="40% - Accent5 4 4 4 3 3 2" xfId="39163" xr:uid="{00000000-0005-0000-0000-000048870000}"/>
    <cellStyle name="40% - Accent5 4 4 4 3 4" xfId="27862" xr:uid="{00000000-0005-0000-0000-000049870000}"/>
    <cellStyle name="40% - Accent5 4 4 4 4" xfId="7871" xr:uid="{00000000-0005-0000-0000-00004A870000}"/>
    <cellStyle name="40% - Accent5 4 4 4 4 2" xfId="19172" xr:uid="{00000000-0005-0000-0000-00004B870000}"/>
    <cellStyle name="40% - Accent5 4 4 4 4 2 2" xfId="41774" xr:uid="{00000000-0005-0000-0000-00004C870000}"/>
    <cellStyle name="40% - Accent5 4 4 4 4 3" xfId="30473" xr:uid="{00000000-0005-0000-0000-00004D870000}"/>
    <cellStyle name="40% - Accent5 4 4 4 5" xfId="13522" xr:uid="{00000000-0005-0000-0000-00004E870000}"/>
    <cellStyle name="40% - Accent5 4 4 4 5 2" xfId="36124" xr:uid="{00000000-0005-0000-0000-00004F870000}"/>
    <cellStyle name="40% - Accent5 4 4 4 6" xfId="24823" xr:uid="{00000000-0005-0000-0000-000050870000}"/>
    <cellStyle name="40% - Accent5 4 4 5" xfId="2232" xr:uid="{00000000-0005-0000-0000-000051870000}"/>
    <cellStyle name="40% - Accent5 4 4 5 2" xfId="8074" xr:uid="{00000000-0005-0000-0000-000052870000}"/>
    <cellStyle name="40% - Accent5 4 4 5 2 2" xfId="19375" xr:uid="{00000000-0005-0000-0000-000053870000}"/>
    <cellStyle name="40% - Accent5 4 4 5 2 2 2" xfId="41977" xr:uid="{00000000-0005-0000-0000-000054870000}"/>
    <cellStyle name="40% - Accent5 4 4 5 2 3" xfId="30676" xr:uid="{00000000-0005-0000-0000-000055870000}"/>
    <cellStyle name="40% - Accent5 4 4 5 3" xfId="13725" xr:uid="{00000000-0005-0000-0000-000056870000}"/>
    <cellStyle name="40% - Accent5 4 4 5 3 2" xfId="36327" xr:uid="{00000000-0005-0000-0000-000057870000}"/>
    <cellStyle name="40% - Accent5 4 4 5 4" xfId="25026" xr:uid="{00000000-0005-0000-0000-000058870000}"/>
    <cellStyle name="40% - Accent5 4 4 6" xfId="4026" xr:uid="{00000000-0005-0000-0000-000059870000}"/>
    <cellStyle name="40% - Accent5 4 4 6 2" xfId="9676" xr:uid="{00000000-0005-0000-0000-00005A870000}"/>
    <cellStyle name="40% - Accent5 4 4 6 2 2" xfId="20977" xr:uid="{00000000-0005-0000-0000-00005B870000}"/>
    <cellStyle name="40% - Accent5 4 4 6 2 2 2" xfId="43579" xr:uid="{00000000-0005-0000-0000-00005C870000}"/>
    <cellStyle name="40% - Accent5 4 4 6 2 3" xfId="32278" xr:uid="{00000000-0005-0000-0000-00005D870000}"/>
    <cellStyle name="40% - Accent5 4 4 6 3" xfId="15327" xr:uid="{00000000-0005-0000-0000-00005E870000}"/>
    <cellStyle name="40% - Accent5 4 4 6 3 2" xfId="37929" xr:uid="{00000000-0005-0000-0000-00005F870000}"/>
    <cellStyle name="40% - Accent5 4 4 6 4" xfId="26628" xr:uid="{00000000-0005-0000-0000-000060870000}"/>
    <cellStyle name="40% - Accent5 4 4 7" xfId="6644" xr:uid="{00000000-0005-0000-0000-000061870000}"/>
    <cellStyle name="40% - Accent5 4 4 7 2" xfId="17945" xr:uid="{00000000-0005-0000-0000-000062870000}"/>
    <cellStyle name="40% - Accent5 4 4 7 2 2" xfId="40547" xr:uid="{00000000-0005-0000-0000-000063870000}"/>
    <cellStyle name="40% - Accent5 4 4 7 3" xfId="29246" xr:uid="{00000000-0005-0000-0000-000064870000}"/>
    <cellStyle name="40% - Accent5 4 4 8" xfId="12295" xr:uid="{00000000-0005-0000-0000-000065870000}"/>
    <cellStyle name="40% - Accent5 4 4 8 2" xfId="34897" xr:uid="{00000000-0005-0000-0000-000066870000}"/>
    <cellStyle name="40% - Accent5 4 4 9" xfId="23596" xr:uid="{00000000-0005-0000-0000-000067870000}"/>
    <cellStyle name="40% - Accent5 4 5" xfId="521" xr:uid="{00000000-0005-0000-0000-000068870000}"/>
    <cellStyle name="40% - Accent5 4 5 2" xfId="1290" xr:uid="{00000000-0005-0000-0000-000069870000}"/>
    <cellStyle name="40% - Accent5 4 5 2 2" xfId="2018" xr:uid="{00000000-0005-0000-0000-00006A870000}"/>
    <cellStyle name="40% - Accent5 4 5 2 2 2" xfId="3359" xr:uid="{00000000-0005-0000-0000-00006B870000}"/>
    <cellStyle name="40% - Accent5 4 5 2 2 2 2" xfId="6331" xr:uid="{00000000-0005-0000-0000-00006C870000}"/>
    <cellStyle name="40% - Accent5 4 5 2 2 2 2 2" xfId="11981" xr:uid="{00000000-0005-0000-0000-00006D870000}"/>
    <cellStyle name="40% - Accent5 4 5 2 2 2 2 2 2" xfId="23282" xr:uid="{00000000-0005-0000-0000-00006E870000}"/>
    <cellStyle name="40% - Accent5 4 5 2 2 2 2 2 2 2" xfId="45884" xr:uid="{00000000-0005-0000-0000-00006F870000}"/>
    <cellStyle name="40% - Accent5 4 5 2 2 2 2 2 3" xfId="34583" xr:uid="{00000000-0005-0000-0000-000070870000}"/>
    <cellStyle name="40% - Accent5 4 5 2 2 2 2 3" xfId="17632" xr:uid="{00000000-0005-0000-0000-000071870000}"/>
    <cellStyle name="40% - Accent5 4 5 2 2 2 2 3 2" xfId="40234" xr:uid="{00000000-0005-0000-0000-000072870000}"/>
    <cellStyle name="40% - Accent5 4 5 2 2 2 2 4" xfId="28933" xr:uid="{00000000-0005-0000-0000-000073870000}"/>
    <cellStyle name="40% - Accent5 4 5 2 2 2 3" xfId="9149" xr:uid="{00000000-0005-0000-0000-000074870000}"/>
    <cellStyle name="40% - Accent5 4 5 2 2 2 3 2" xfId="20450" xr:uid="{00000000-0005-0000-0000-000075870000}"/>
    <cellStyle name="40% - Accent5 4 5 2 2 2 3 2 2" xfId="43052" xr:uid="{00000000-0005-0000-0000-000076870000}"/>
    <cellStyle name="40% - Accent5 4 5 2 2 2 3 3" xfId="31751" xr:uid="{00000000-0005-0000-0000-000077870000}"/>
    <cellStyle name="40% - Accent5 4 5 2 2 2 4" xfId="14800" xr:uid="{00000000-0005-0000-0000-000078870000}"/>
    <cellStyle name="40% - Accent5 4 5 2 2 2 4 2" xfId="37402" xr:uid="{00000000-0005-0000-0000-000079870000}"/>
    <cellStyle name="40% - Accent5 4 5 2 2 2 5" xfId="26101" xr:uid="{00000000-0005-0000-0000-00007A870000}"/>
    <cellStyle name="40% - Accent5 4 5 2 2 3" xfId="5097" xr:uid="{00000000-0005-0000-0000-00007B870000}"/>
    <cellStyle name="40% - Accent5 4 5 2 2 3 2" xfId="10747" xr:uid="{00000000-0005-0000-0000-00007C870000}"/>
    <cellStyle name="40% - Accent5 4 5 2 2 3 2 2" xfId="22048" xr:uid="{00000000-0005-0000-0000-00007D870000}"/>
    <cellStyle name="40% - Accent5 4 5 2 2 3 2 2 2" xfId="44650" xr:uid="{00000000-0005-0000-0000-00007E870000}"/>
    <cellStyle name="40% - Accent5 4 5 2 2 3 2 3" xfId="33349" xr:uid="{00000000-0005-0000-0000-00007F870000}"/>
    <cellStyle name="40% - Accent5 4 5 2 2 3 3" xfId="16398" xr:uid="{00000000-0005-0000-0000-000080870000}"/>
    <cellStyle name="40% - Accent5 4 5 2 2 3 3 2" xfId="39000" xr:uid="{00000000-0005-0000-0000-000081870000}"/>
    <cellStyle name="40% - Accent5 4 5 2 2 3 4" xfId="27699" xr:uid="{00000000-0005-0000-0000-000082870000}"/>
    <cellStyle name="40% - Accent5 4 5 2 2 4" xfId="7874" xr:uid="{00000000-0005-0000-0000-000083870000}"/>
    <cellStyle name="40% - Accent5 4 5 2 2 4 2" xfId="19175" xr:uid="{00000000-0005-0000-0000-000084870000}"/>
    <cellStyle name="40% - Accent5 4 5 2 2 4 2 2" xfId="41777" xr:uid="{00000000-0005-0000-0000-000085870000}"/>
    <cellStyle name="40% - Accent5 4 5 2 2 4 3" xfId="30476" xr:uid="{00000000-0005-0000-0000-000086870000}"/>
    <cellStyle name="40% - Accent5 4 5 2 2 5" xfId="13525" xr:uid="{00000000-0005-0000-0000-000087870000}"/>
    <cellStyle name="40% - Accent5 4 5 2 2 5 2" xfId="36127" xr:uid="{00000000-0005-0000-0000-000088870000}"/>
    <cellStyle name="40% - Accent5 4 5 2 2 6" xfId="24826" xr:uid="{00000000-0005-0000-0000-000089870000}"/>
    <cellStyle name="40% - Accent5 4 5 2 3" xfId="2688" xr:uid="{00000000-0005-0000-0000-00008A870000}"/>
    <cellStyle name="40% - Accent5 4 5 2 3 2" xfId="5707" xr:uid="{00000000-0005-0000-0000-00008B870000}"/>
    <cellStyle name="40% - Accent5 4 5 2 3 2 2" xfId="11357" xr:uid="{00000000-0005-0000-0000-00008C870000}"/>
    <cellStyle name="40% - Accent5 4 5 2 3 2 2 2" xfId="22658" xr:uid="{00000000-0005-0000-0000-00008D870000}"/>
    <cellStyle name="40% - Accent5 4 5 2 3 2 2 2 2" xfId="45260" xr:uid="{00000000-0005-0000-0000-00008E870000}"/>
    <cellStyle name="40% - Accent5 4 5 2 3 2 2 3" xfId="33959" xr:uid="{00000000-0005-0000-0000-00008F870000}"/>
    <cellStyle name="40% - Accent5 4 5 2 3 2 3" xfId="17008" xr:uid="{00000000-0005-0000-0000-000090870000}"/>
    <cellStyle name="40% - Accent5 4 5 2 3 2 3 2" xfId="39610" xr:uid="{00000000-0005-0000-0000-000091870000}"/>
    <cellStyle name="40% - Accent5 4 5 2 3 2 4" xfId="28309" xr:uid="{00000000-0005-0000-0000-000092870000}"/>
    <cellStyle name="40% - Accent5 4 5 2 3 3" xfId="8524" xr:uid="{00000000-0005-0000-0000-000093870000}"/>
    <cellStyle name="40% - Accent5 4 5 2 3 3 2" xfId="19825" xr:uid="{00000000-0005-0000-0000-000094870000}"/>
    <cellStyle name="40% - Accent5 4 5 2 3 3 2 2" xfId="42427" xr:uid="{00000000-0005-0000-0000-000095870000}"/>
    <cellStyle name="40% - Accent5 4 5 2 3 3 3" xfId="31126" xr:uid="{00000000-0005-0000-0000-000096870000}"/>
    <cellStyle name="40% - Accent5 4 5 2 3 4" xfId="14175" xr:uid="{00000000-0005-0000-0000-000097870000}"/>
    <cellStyle name="40% - Accent5 4 5 2 3 4 2" xfId="36777" xr:uid="{00000000-0005-0000-0000-000098870000}"/>
    <cellStyle name="40% - Accent5 4 5 2 3 5" xfId="25476" xr:uid="{00000000-0005-0000-0000-000099870000}"/>
    <cellStyle name="40% - Accent5 4 5 2 4" xfId="4473" xr:uid="{00000000-0005-0000-0000-00009A870000}"/>
    <cellStyle name="40% - Accent5 4 5 2 4 2" xfId="10123" xr:uid="{00000000-0005-0000-0000-00009B870000}"/>
    <cellStyle name="40% - Accent5 4 5 2 4 2 2" xfId="21424" xr:uid="{00000000-0005-0000-0000-00009C870000}"/>
    <cellStyle name="40% - Accent5 4 5 2 4 2 2 2" xfId="44026" xr:uid="{00000000-0005-0000-0000-00009D870000}"/>
    <cellStyle name="40% - Accent5 4 5 2 4 2 3" xfId="32725" xr:uid="{00000000-0005-0000-0000-00009E870000}"/>
    <cellStyle name="40% - Accent5 4 5 2 4 3" xfId="15774" xr:uid="{00000000-0005-0000-0000-00009F870000}"/>
    <cellStyle name="40% - Accent5 4 5 2 4 3 2" xfId="38376" xr:uid="{00000000-0005-0000-0000-0000A0870000}"/>
    <cellStyle name="40% - Accent5 4 5 2 4 4" xfId="27075" xr:uid="{00000000-0005-0000-0000-0000A1870000}"/>
    <cellStyle name="40% - Accent5 4 5 2 5" xfId="7269" xr:uid="{00000000-0005-0000-0000-0000A2870000}"/>
    <cellStyle name="40% - Accent5 4 5 2 5 2" xfId="18570" xr:uid="{00000000-0005-0000-0000-0000A3870000}"/>
    <cellStyle name="40% - Accent5 4 5 2 5 2 2" xfId="41172" xr:uid="{00000000-0005-0000-0000-0000A4870000}"/>
    <cellStyle name="40% - Accent5 4 5 2 5 3" xfId="29871" xr:uid="{00000000-0005-0000-0000-0000A5870000}"/>
    <cellStyle name="40% - Accent5 4 5 2 6" xfId="12920" xr:uid="{00000000-0005-0000-0000-0000A6870000}"/>
    <cellStyle name="40% - Accent5 4 5 2 6 2" xfId="35522" xr:uid="{00000000-0005-0000-0000-0000A7870000}"/>
    <cellStyle name="40% - Accent5 4 5 2 7" xfId="24221" xr:uid="{00000000-0005-0000-0000-0000A8870000}"/>
    <cellStyle name="40% - Accent5 4 5 3" xfId="988" xr:uid="{00000000-0005-0000-0000-0000A9870000}"/>
    <cellStyle name="40% - Accent5 4 5 3 2" xfId="3051" xr:uid="{00000000-0005-0000-0000-0000AA870000}"/>
    <cellStyle name="40% - Accent5 4 5 3 2 2" xfId="6023" xr:uid="{00000000-0005-0000-0000-0000AB870000}"/>
    <cellStyle name="40% - Accent5 4 5 3 2 2 2" xfId="11673" xr:uid="{00000000-0005-0000-0000-0000AC870000}"/>
    <cellStyle name="40% - Accent5 4 5 3 2 2 2 2" xfId="22974" xr:uid="{00000000-0005-0000-0000-0000AD870000}"/>
    <cellStyle name="40% - Accent5 4 5 3 2 2 2 2 2" xfId="45576" xr:uid="{00000000-0005-0000-0000-0000AE870000}"/>
    <cellStyle name="40% - Accent5 4 5 3 2 2 2 3" xfId="34275" xr:uid="{00000000-0005-0000-0000-0000AF870000}"/>
    <cellStyle name="40% - Accent5 4 5 3 2 2 3" xfId="17324" xr:uid="{00000000-0005-0000-0000-0000B0870000}"/>
    <cellStyle name="40% - Accent5 4 5 3 2 2 3 2" xfId="39926" xr:uid="{00000000-0005-0000-0000-0000B1870000}"/>
    <cellStyle name="40% - Accent5 4 5 3 2 2 4" xfId="28625" xr:uid="{00000000-0005-0000-0000-0000B2870000}"/>
    <cellStyle name="40% - Accent5 4 5 3 2 3" xfId="8841" xr:uid="{00000000-0005-0000-0000-0000B3870000}"/>
    <cellStyle name="40% - Accent5 4 5 3 2 3 2" xfId="20142" xr:uid="{00000000-0005-0000-0000-0000B4870000}"/>
    <cellStyle name="40% - Accent5 4 5 3 2 3 2 2" xfId="42744" xr:uid="{00000000-0005-0000-0000-0000B5870000}"/>
    <cellStyle name="40% - Accent5 4 5 3 2 3 3" xfId="31443" xr:uid="{00000000-0005-0000-0000-0000B6870000}"/>
    <cellStyle name="40% - Accent5 4 5 3 2 4" xfId="14492" xr:uid="{00000000-0005-0000-0000-0000B7870000}"/>
    <cellStyle name="40% - Accent5 4 5 3 2 4 2" xfId="37094" xr:uid="{00000000-0005-0000-0000-0000B8870000}"/>
    <cellStyle name="40% - Accent5 4 5 3 2 5" xfId="25793" xr:uid="{00000000-0005-0000-0000-0000B9870000}"/>
    <cellStyle name="40% - Accent5 4 5 3 3" xfId="4789" xr:uid="{00000000-0005-0000-0000-0000BA870000}"/>
    <cellStyle name="40% - Accent5 4 5 3 3 2" xfId="10439" xr:uid="{00000000-0005-0000-0000-0000BB870000}"/>
    <cellStyle name="40% - Accent5 4 5 3 3 2 2" xfId="21740" xr:uid="{00000000-0005-0000-0000-0000BC870000}"/>
    <cellStyle name="40% - Accent5 4 5 3 3 2 2 2" xfId="44342" xr:uid="{00000000-0005-0000-0000-0000BD870000}"/>
    <cellStyle name="40% - Accent5 4 5 3 3 2 3" xfId="33041" xr:uid="{00000000-0005-0000-0000-0000BE870000}"/>
    <cellStyle name="40% - Accent5 4 5 3 3 3" xfId="16090" xr:uid="{00000000-0005-0000-0000-0000BF870000}"/>
    <cellStyle name="40% - Accent5 4 5 3 3 3 2" xfId="38692" xr:uid="{00000000-0005-0000-0000-0000C0870000}"/>
    <cellStyle name="40% - Accent5 4 5 3 3 4" xfId="27391" xr:uid="{00000000-0005-0000-0000-0000C1870000}"/>
    <cellStyle name="40% - Accent5 4 5 3 4" xfId="6976" xr:uid="{00000000-0005-0000-0000-0000C2870000}"/>
    <cellStyle name="40% - Accent5 4 5 3 4 2" xfId="18277" xr:uid="{00000000-0005-0000-0000-0000C3870000}"/>
    <cellStyle name="40% - Accent5 4 5 3 4 2 2" xfId="40879" xr:uid="{00000000-0005-0000-0000-0000C4870000}"/>
    <cellStyle name="40% - Accent5 4 5 3 4 3" xfId="29578" xr:uid="{00000000-0005-0000-0000-0000C5870000}"/>
    <cellStyle name="40% - Accent5 4 5 3 5" xfId="12627" xr:uid="{00000000-0005-0000-0000-0000C6870000}"/>
    <cellStyle name="40% - Accent5 4 5 3 5 2" xfId="35229" xr:uid="{00000000-0005-0000-0000-0000C7870000}"/>
    <cellStyle name="40% - Accent5 4 5 3 6" xfId="23928" xr:uid="{00000000-0005-0000-0000-0000C8870000}"/>
    <cellStyle name="40% - Accent5 4 5 4" xfId="2017" xr:uid="{00000000-0005-0000-0000-0000C9870000}"/>
    <cellStyle name="40% - Accent5 4 5 4 2" xfId="3811" xr:uid="{00000000-0005-0000-0000-0000CA870000}"/>
    <cellStyle name="40% - Accent5 4 5 4 2 2" xfId="9521" xr:uid="{00000000-0005-0000-0000-0000CB870000}"/>
    <cellStyle name="40% - Accent5 4 5 4 2 2 2" xfId="20822" xr:uid="{00000000-0005-0000-0000-0000CC870000}"/>
    <cellStyle name="40% - Accent5 4 5 4 2 2 2 2" xfId="43424" xr:uid="{00000000-0005-0000-0000-0000CD870000}"/>
    <cellStyle name="40% - Accent5 4 5 4 2 2 3" xfId="32123" xr:uid="{00000000-0005-0000-0000-0000CE870000}"/>
    <cellStyle name="40% - Accent5 4 5 4 2 3" xfId="15172" xr:uid="{00000000-0005-0000-0000-0000CF870000}"/>
    <cellStyle name="40% - Accent5 4 5 4 2 3 2" xfId="37774" xr:uid="{00000000-0005-0000-0000-0000D0870000}"/>
    <cellStyle name="40% - Accent5 4 5 4 2 4" xfId="26473" xr:uid="{00000000-0005-0000-0000-0000D1870000}"/>
    <cellStyle name="40% - Accent5 4 5 4 3" xfId="5399" xr:uid="{00000000-0005-0000-0000-0000D2870000}"/>
    <cellStyle name="40% - Accent5 4 5 4 3 2" xfId="11049" xr:uid="{00000000-0005-0000-0000-0000D3870000}"/>
    <cellStyle name="40% - Accent5 4 5 4 3 2 2" xfId="22350" xr:uid="{00000000-0005-0000-0000-0000D4870000}"/>
    <cellStyle name="40% - Accent5 4 5 4 3 2 2 2" xfId="44952" xr:uid="{00000000-0005-0000-0000-0000D5870000}"/>
    <cellStyle name="40% - Accent5 4 5 4 3 2 3" xfId="33651" xr:uid="{00000000-0005-0000-0000-0000D6870000}"/>
    <cellStyle name="40% - Accent5 4 5 4 3 3" xfId="16700" xr:uid="{00000000-0005-0000-0000-0000D7870000}"/>
    <cellStyle name="40% - Accent5 4 5 4 3 3 2" xfId="39302" xr:uid="{00000000-0005-0000-0000-0000D8870000}"/>
    <cellStyle name="40% - Accent5 4 5 4 3 4" xfId="28001" xr:uid="{00000000-0005-0000-0000-0000D9870000}"/>
    <cellStyle name="40% - Accent5 4 5 4 4" xfId="7873" xr:uid="{00000000-0005-0000-0000-0000DA870000}"/>
    <cellStyle name="40% - Accent5 4 5 4 4 2" xfId="19174" xr:uid="{00000000-0005-0000-0000-0000DB870000}"/>
    <cellStyle name="40% - Accent5 4 5 4 4 2 2" xfId="41776" xr:uid="{00000000-0005-0000-0000-0000DC870000}"/>
    <cellStyle name="40% - Accent5 4 5 4 4 3" xfId="30475" xr:uid="{00000000-0005-0000-0000-0000DD870000}"/>
    <cellStyle name="40% - Accent5 4 5 4 5" xfId="13524" xr:uid="{00000000-0005-0000-0000-0000DE870000}"/>
    <cellStyle name="40% - Accent5 4 5 4 5 2" xfId="36126" xr:uid="{00000000-0005-0000-0000-0000DF870000}"/>
    <cellStyle name="40% - Accent5 4 5 4 6" xfId="24825" xr:uid="{00000000-0005-0000-0000-0000E0870000}"/>
    <cellStyle name="40% - Accent5 4 5 5" xfId="2380" xr:uid="{00000000-0005-0000-0000-0000E1870000}"/>
    <cellStyle name="40% - Accent5 4 5 5 2" xfId="8216" xr:uid="{00000000-0005-0000-0000-0000E2870000}"/>
    <cellStyle name="40% - Accent5 4 5 5 2 2" xfId="19517" xr:uid="{00000000-0005-0000-0000-0000E3870000}"/>
    <cellStyle name="40% - Accent5 4 5 5 2 2 2" xfId="42119" xr:uid="{00000000-0005-0000-0000-0000E4870000}"/>
    <cellStyle name="40% - Accent5 4 5 5 2 3" xfId="30818" xr:uid="{00000000-0005-0000-0000-0000E5870000}"/>
    <cellStyle name="40% - Accent5 4 5 5 3" xfId="13867" xr:uid="{00000000-0005-0000-0000-0000E6870000}"/>
    <cellStyle name="40% - Accent5 4 5 5 3 2" xfId="36469" xr:uid="{00000000-0005-0000-0000-0000E7870000}"/>
    <cellStyle name="40% - Accent5 4 5 5 4" xfId="25168" xr:uid="{00000000-0005-0000-0000-0000E8870000}"/>
    <cellStyle name="40% - Accent5 4 5 6" xfId="4165" xr:uid="{00000000-0005-0000-0000-0000E9870000}"/>
    <cellStyle name="40% - Accent5 4 5 6 2" xfId="9815" xr:uid="{00000000-0005-0000-0000-0000EA870000}"/>
    <cellStyle name="40% - Accent5 4 5 6 2 2" xfId="21116" xr:uid="{00000000-0005-0000-0000-0000EB870000}"/>
    <cellStyle name="40% - Accent5 4 5 6 2 2 2" xfId="43718" xr:uid="{00000000-0005-0000-0000-0000EC870000}"/>
    <cellStyle name="40% - Accent5 4 5 6 2 3" xfId="32417" xr:uid="{00000000-0005-0000-0000-0000ED870000}"/>
    <cellStyle name="40% - Accent5 4 5 6 3" xfId="15466" xr:uid="{00000000-0005-0000-0000-0000EE870000}"/>
    <cellStyle name="40% - Accent5 4 5 6 3 2" xfId="38068" xr:uid="{00000000-0005-0000-0000-0000EF870000}"/>
    <cellStyle name="40% - Accent5 4 5 6 4" xfId="26767" xr:uid="{00000000-0005-0000-0000-0000F0870000}"/>
    <cellStyle name="40% - Accent5 4 5 7" xfId="6616" xr:uid="{00000000-0005-0000-0000-0000F1870000}"/>
    <cellStyle name="40% - Accent5 4 5 7 2" xfId="17917" xr:uid="{00000000-0005-0000-0000-0000F2870000}"/>
    <cellStyle name="40% - Accent5 4 5 7 2 2" xfId="40519" xr:uid="{00000000-0005-0000-0000-0000F3870000}"/>
    <cellStyle name="40% - Accent5 4 5 7 3" xfId="29218" xr:uid="{00000000-0005-0000-0000-0000F4870000}"/>
    <cellStyle name="40% - Accent5 4 5 8" xfId="12267" xr:uid="{00000000-0005-0000-0000-0000F5870000}"/>
    <cellStyle name="40% - Accent5 4 5 8 2" xfId="34869" xr:uid="{00000000-0005-0000-0000-0000F6870000}"/>
    <cellStyle name="40% - Accent5 4 5 9" xfId="23568" xr:uid="{00000000-0005-0000-0000-0000F7870000}"/>
    <cellStyle name="40% - Accent5 4 6" xfId="1123" xr:uid="{00000000-0005-0000-0000-0000F8870000}"/>
    <cellStyle name="40% - Accent5 4 6 2" xfId="2019" xr:uid="{00000000-0005-0000-0000-0000F9870000}"/>
    <cellStyle name="40% - Accent5 4 6 2 2" xfId="3190" xr:uid="{00000000-0005-0000-0000-0000FA870000}"/>
    <cellStyle name="40% - Accent5 4 6 2 2 2" xfId="6162" xr:uid="{00000000-0005-0000-0000-0000FB870000}"/>
    <cellStyle name="40% - Accent5 4 6 2 2 2 2" xfId="11812" xr:uid="{00000000-0005-0000-0000-0000FC870000}"/>
    <cellStyle name="40% - Accent5 4 6 2 2 2 2 2" xfId="23113" xr:uid="{00000000-0005-0000-0000-0000FD870000}"/>
    <cellStyle name="40% - Accent5 4 6 2 2 2 2 2 2" xfId="45715" xr:uid="{00000000-0005-0000-0000-0000FE870000}"/>
    <cellStyle name="40% - Accent5 4 6 2 2 2 2 3" xfId="34414" xr:uid="{00000000-0005-0000-0000-0000FF870000}"/>
    <cellStyle name="40% - Accent5 4 6 2 2 2 3" xfId="17463" xr:uid="{00000000-0005-0000-0000-000000880000}"/>
    <cellStyle name="40% - Accent5 4 6 2 2 2 3 2" xfId="40065" xr:uid="{00000000-0005-0000-0000-000001880000}"/>
    <cellStyle name="40% - Accent5 4 6 2 2 2 4" xfId="28764" xr:uid="{00000000-0005-0000-0000-000002880000}"/>
    <cellStyle name="40% - Accent5 4 6 2 2 3" xfId="8980" xr:uid="{00000000-0005-0000-0000-000003880000}"/>
    <cellStyle name="40% - Accent5 4 6 2 2 3 2" xfId="20281" xr:uid="{00000000-0005-0000-0000-000004880000}"/>
    <cellStyle name="40% - Accent5 4 6 2 2 3 2 2" xfId="42883" xr:uid="{00000000-0005-0000-0000-000005880000}"/>
    <cellStyle name="40% - Accent5 4 6 2 2 3 3" xfId="31582" xr:uid="{00000000-0005-0000-0000-000006880000}"/>
    <cellStyle name="40% - Accent5 4 6 2 2 4" xfId="14631" xr:uid="{00000000-0005-0000-0000-000007880000}"/>
    <cellStyle name="40% - Accent5 4 6 2 2 4 2" xfId="37233" xr:uid="{00000000-0005-0000-0000-000008880000}"/>
    <cellStyle name="40% - Accent5 4 6 2 2 5" xfId="25932" xr:uid="{00000000-0005-0000-0000-000009880000}"/>
    <cellStyle name="40% - Accent5 4 6 2 3" xfId="4928" xr:uid="{00000000-0005-0000-0000-00000A880000}"/>
    <cellStyle name="40% - Accent5 4 6 2 3 2" xfId="10578" xr:uid="{00000000-0005-0000-0000-00000B880000}"/>
    <cellStyle name="40% - Accent5 4 6 2 3 2 2" xfId="21879" xr:uid="{00000000-0005-0000-0000-00000C880000}"/>
    <cellStyle name="40% - Accent5 4 6 2 3 2 2 2" xfId="44481" xr:uid="{00000000-0005-0000-0000-00000D880000}"/>
    <cellStyle name="40% - Accent5 4 6 2 3 2 3" xfId="33180" xr:uid="{00000000-0005-0000-0000-00000E880000}"/>
    <cellStyle name="40% - Accent5 4 6 2 3 3" xfId="16229" xr:uid="{00000000-0005-0000-0000-00000F880000}"/>
    <cellStyle name="40% - Accent5 4 6 2 3 3 2" xfId="38831" xr:uid="{00000000-0005-0000-0000-000010880000}"/>
    <cellStyle name="40% - Accent5 4 6 2 3 4" xfId="27530" xr:uid="{00000000-0005-0000-0000-000011880000}"/>
    <cellStyle name="40% - Accent5 4 6 2 4" xfId="7875" xr:uid="{00000000-0005-0000-0000-000012880000}"/>
    <cellStyle name="40% - Accent5 4 6 2 4 2" xfId="19176" xr:uid="{00000000-0005-0000-0000-000013880000}"/>
    <cellStyle name="40% - Accent5 4 6 2 4 2 2" xfId="41778" xr:uid="{00000000-0005-0000-0000-000014880000}"/>
    <cellStyle name="40% - Accent5 4 6 2 4 3" xfId="30477" xr:uid="{00000000-0005-0000-0000-000015880000}"/>
    <cellStyle name="40% - Accent5 4 6 2 5" xfId="13526" xr:uid="{00000000-0005-0000-0000-000016880000}"/>
    <cellStyle name="40% - Accent5 4 6 2 5 2" xfId="36128" xr:uid="{00000000-0005-0000-0000-000017880000}"/>
    <cellStyle name="40% - Accent5 4 6 2 6" xfId="24827" xr:uid="{00000000-0005-0000-0000-000018880000}"/>
    <cellStyle name="40% - Accent5 4 6 3" xfId="2519" xr:uid="{00000000-0005-0000-0000-000019880000}"/>
    <cellStyle name="40% - Accent5 4 6 3 2" xfId="5538" xr:uid="{00000000-0005-0000-0000-00001A880000}"/>
    <cellStyle name="40% - Accent5 4 6 3 2 2" xfId="11188" xr:uid="{00000000-0005-0000-0000-00001B880000}"/>
    <cellStyle name="40% - Accent5 4 6 3 2 2 2" xfId="22489" xr:uid="{00000000-0005-0000-0000-00001C880000}"/>
    <cellStyle name="40% - Accent5 4 6 3 2 2 2 2" xfId="45091" xr:uid="{00000000-0005-0000-0000-00001D880000}"/>
    <cellStyle name="40% - Accent5 4 6 3 2 2 3" xfId="33790" xr:uid="{00000000-0005-0000-0000-00001E880000}"/>
    <cellStyle name="40% - Accent5 4 6 3 2 3" xfId="16839" xr:uid="{00000000-0005-0000-0000-00001F880000}"/>
    <cellStyle name="40% - Accent5 4 6 3 2 3 2" xfId="39441" xr:uid="{00000000-0005-0000-0000-000020880000}"/>
    <cellStyle name="40% - Accent5 4 6 3 2 4" xfId="28140" xr:uid="{00000000-0005-0000-0000-000021880000}"/>
    <cellStyle name="40% - Accent5 4 6 3 3" xfId="8355" xr:uid="{00000000-0005-0000-0000-000022880000}"/>
    <cellStyle name="40% - Accent5 4 6 3 3 2" xfId="19656" xr:uid="{00000000-0005-0000-0000-000023880000}"/>
    <cellStyle name="40% - Accent5 4 6 3 3 2 2" xfId="42258" xr:uid="{00000000-0005-0000-0000-000024880000}"/>
    <cellStyle name="40% - Accent5 4 6 3 3 3" xfId="30957" xr:uid="{00000000-0005-0000-0000-000025880000}"/>
    <cellStyle name="40% - Accent5 4 6 3 4" xfId="14006" xr:uid="{00000000-0005-0000-0000-000026880000}"/>
    <cellStyle name="40% - Accent5 4 6 3 4 2" xfId="36608" xr:uid="{00000000-0005-0000-0000-000027880000}"/>
    <cellStyle name="40% - Accent5 4 6 3 5" xfId="25307" xr:uid="{00000000-0005-0000-0000-000028880000}"/>
    <cellStyle name="40% - Accent5 4 6 4" xfId="4304" xr:uid="{00000000-0005-0000-0000-000029880000}"/>
    <cellStyle name="40% - Accent5 4 6 4 2" xfId="9954" xr:uid="{00000000-0005-0000-0000-00002A880000}"/>
    <cellStyle name="40% - Accent5 4 6 4 2 2" xfId="21255" xr:uid="{00000000-0005-0000-0000-00002B880000}"/>
    <cellStyle name="40% - Accent5 4 6 4 2 2 2" xfId="43857" xr:uid="{00000000-0005-0000-0000-00002C880000}"/>
    <cellStyle name="40% - Accent5 4 6 4 2 3" xfId="32556" xr:uid="{00000000-0005-0000-0000-00002D880000}"/>
    <cellStyle name="40% - Accent5 4 6 4 3" xfId="15605" xr:uid="{00000000-0005-0000-0000-00002E880000}"/>
    <cellStyle name="40% - Accent5 4 6 4 3 2" xfId="38207" xr:uid="{00000000-0005-0000-0000-00002F880000}"/>
    <cellStyle name="40% - Accent5 4 6 4 4" xfId="26906" xr:uid="{00000000-0005-0000-0000-000030880000}"/>
    <cellStyle name="40% - Accent5 4 6 5" xfId="7102" xr:uid="{00000000-0005-0000-0000-000031880000}"/>
    <cellStyle name="40% - Accent5 4 6 5 2" xfId="18403" xr:uid="{00000000-0005-0000-0000-000032880000}"/>
    <cellStyle name="40% - Accent5 4 6 5 2 2" xfId="41005" xr:uid="{00000000-0005-0000-0000-000033880000}"/>
    <cellStyle name="40% - Accent5 4 6 5 3" xfId="29704" xr:uid="{00000000-0005-0000-0000-000034880000}"/>
    <cellStyle name="40% - Accent5 4 6 6" xfId="12753" xr:uid="{00000000-0005-0000-0000-000035880000}"/>
    <cellStyle name="40% - Accent5 4 6 6 2" xfId="35355" xr:uid="{00000000-0005-0000-0000-000036880000}"/>
    <cellStyle name="40% - Accent5 4 6 7" xfId="24054" xr:uid="{00000000-0005-0000-0000-000037880000}"/>
    <cellStyle name="40% - Accent5 4 7" xfId="787" xr:uid="{00000000-0005-0000-0000-000038880000}"/>
    <cellStyle name="40% - Accent5 4 7 2" xfId="2884" xr:uid="{00000000-0005-0000-0000-000039880000}"/>
    <cellStyle name="40% - Accent5 4 7 2 2" xfId="5856" xr:uid="{00000000-0005-0000-0000-00003A880000}"/>
    <cellStyle name="40% - Accent5 4 7 2 2 2" xfId="11506" xr:uid="{00000000-0005-0000-0000-00003B880000}"/>
    <cellStyle name="40% - Accent5 4 7 2 2 2 2" xfId="22807" xr:uid="{00000000-0005-0000-0000-00003C880000}"/>
    <cellStyle name="40% - Accent5 4 7 2 2 2 2 2" xfId="45409" xr:uid="{00000000-0005-0000-0000-00003D880000}"/>
    <cellStyle name="40% - Accent5 4 7 2 2 2 3" xfId="34108" xr:uid="{00000000-0005-0000-0000-00003E880000}"/>
    <cellStyle name="40% - Accent5 4 7 2 2 3" xfId="17157" xr:uid="{00000000-0005-0000-0000-00003F880000}"/>
    <cellStyle name="40% - Accent5 4 7 2 2 3 2" xfId="39759" xr:uid="{00000000-0005-0000-0000-000040880000}"/>
    <cellStyle name="40% - Accent5 4 7 2 2 4" xfId="28458" xr:uid="{00000000-0005-0000-0000-000041880000}"/>
    <cellStyle name="40% - Accent5 4 7 2 3" xfId="8674" xr:uid="{00000000-0005-0000-0000-000042880000}"/>
    <cellStyle name="40% - Accent5 4 7 2 3 2" xfId="19975" xr:uid="{00000000-0005-0000-0000-000043880000}"/>
    <cellStyle name="40% - Accent5 4 7 2 3 2 2" xfId="42577" xr:uid="{00000000-0005-0000-0000-000044880000}"/>
    <cellStyle name="40% - Accent5 4 7 2 3 3" xfId="31276" xr:uid="{00000000-0005-0000-0000-000045880000}"/>
    <cellStyle name="40% - Accent5 4 7 2 4" xfId="14325" xr:uid="{00000000-0005-0000-0000-000046880000}"/>
    <cellStyle name="40% - Accent5 4 7 2 4 2" xfId="36927" xr:uid="{00000000-0005-0000-0000-000047880000}"/>
    <cellStyle name="40% - Accent5 4 7 2 5" xfId="25626" xr:uid="{00000000-0005-0000-0000-000048880000}"/>
    <cellStyle name="40% - Accent5 4 7 3" xfId="4622" xr:uid="{00000000-0005-0000-0000-000049880000}"/>
    <cellStyle name="40% - Accent5 4 7 3 2" xfId="10272" xr:uid="{00000000-0005-0000-0000-00004A880000}"/>
    <cellStyle name="40% - Accent5 4 7 3 2 2" xfId="21573" xr:uid="{00000000-0005-0000-0000-00004B880000}"/>
    <cellStyle name="40% - Accent5 4 7 3 2 2 2" xfId="44175" xr:uid="{00000000-0005-0000-0000-00004C880000}"/>
    <cellStyle name="40% - Accent5 4 7 3 2 3" xfId="32874" xr:uid="{00000000-0005-0000-0000-00004D880000}"/>
    <cellStyle name="40% - Accent5 4 7 3 3" xfId="15923" xr:uid="{00000000-0005-0000-0000-00004E880000}"/>
    <cellStyle name="40% - Accent5 4 7 3 3 2" xfId="38525" xr:uid="{00000000-0005-0000-0000-00004F880000}"/>
    <cellStyle name="40% - Accent5 4 7 3 4" xfId="27224" xr:uid="{00000000-0005-0000-0000-000050880000}"/>
    <cellStyle name="40% - Accent5 4 7 4" xfId="6804" xr:uid="{00000000-0005-0000-0000-000051880000}"/>
    <cellStyle name="40% - Accent5 4 7 4 2" xfId="18105" xr:uid="{00000000-0005-0000-0000-000052880000}"/>
    <cellStyle name="40% - Accent5 4 7 4 2 2" xfId="40707" xr:uid="{00000000-0005-0000-0000-000053880000}"/>
    <cellStyle name="40% - Accent5 4 7 4 3" xfId="29406" xr:uid="{00000000-0005-0000-0000-000054880000}"/>
    <cellStyle name="40% - Accent5 4 7 5" xfId="12455" xr:uid="{00000000-0005-0000-0000-000055880000}"/>
    <cellStyle name="40% - Accent5 4 7 5 2" xfId="35057" xr:uid="{00000000-0005-0000-0000-000056880000}"/>
    <cellStyle name="40% - Accent5 4 7 6" xfId="23756" xr:uid="{00000000-0005-0000-0000-000057880000}"/>
    <cellStyle name="40% - Accent5 4 8" xfId="2006" xr:uid="{00000000-0005-0000-0000-000058880000}"/>
    <cellStyle name="40% - Accent5 4 8 2" xfId="3805" xr:uid="{00000000-0005-0000-0000-000059880000}"/>
    <cellStyle name="40% - Accent5 4 8 2 2" xfId="9515" xr:uid="{00000000-0005-0000-0000-00005A880000}"/>
    <cellStyle name="40% - Accent5 4 8 2 2 2" xfId="20816" xr:uid="{00000000-0005-0000-0000-00005B880000}"/>
    <cellStyle name="40% - Accent5 4 8 2 2 2 2" xfId="43418" xr:uid="{00000000-0005-0000-0000-00005C880000}"/>
    <cellStyle name="40% - Accent5 4 8 2 2 3" xfId="32117" xr:uid="{00000000-0005-0000-0000-00005D880000}"/>
    <cellStyle name="40% - Accent5 4 8 2 3" xfId="15166" xr:uid="{00000000-0005-0000-0000-00005E880000}"/>
    <cellStyle name="40% - Accent5 4 8 2 3 2" xfId="37768" xr:uid="{00000000-0005-0000-0000-00005F880000}"/>
    <cellStyle name="40% - Accent5 4 8 2 4" xfId="26467" xr:uid="{00000000-0005-0000-0000-000060880000}"/>
    <cellStyle name="40% - Accent5 4 8 3" xfId="5232" xr:uid="{00000000-0005-0000-0000-000061880000}"/>
    <cellStyle name="40% - Accent5 4 8 3 2" xfId="10882" xr:uid="{00000000-0005-0000-0000-000062880000}"/>
    <cellStyle name="40% - Accent5 4 8 3 2 2" xfId="22183" xr:uid="{00000000-0005-0000-0000-000063880000}"/>
    <cellStyle name="40% - Accent5 4 8 3 2 2 2" xfId="44785" xr:uid="{00000000-0005-0000-0000-000064880000}"/>
    <cellStyle name="40% - Accent5 4 8 3 2 3" xfId="33484" xr:uid="{00000000-0005-0000-0000-000065880000}"/>
    <cellStyle name="40% - Accent5 4 8 3 3" xfId="16533" xr:uid="{00000000-0005-0000-0000-000066880000}"/>
    <cellStyle name="40% - Accent5 4 8 3 3 2" xfId="39135" xr:uid="{00000000-0005-0000-0000-000067880000}"/>
    <cellStyle name="40% - Accent5 4 8 3 4" xfId="27834" xr:uid="{00000000-0005-0000-0000-000068880000}"/>
    <cellStyle name="40% - Accent5 4 8 4" xfId="7862" xr:uid="{00000000-0005-0000-0000-000069880000}"/>
    <cellStyle name="40% - Accent5 4 8 4 2" xfId="19163" xr:uid="{00000000-0005-0000-0000-00006A880000}"/>
    <cellStyle name="40% - Accent5 4 8 4 2 2" xfId="41765" xr:uid="{00000000-0005-0000-0000-00006B880000}"/>
    <cellStyle name="40% - Accent5 4 8 4 3" xfId="30464" xr:uid="{00000000-0005-0000-0000-00006C880000}"/>
    <cellStyle name="40% - Accent5 4 8 5" xfId="13513" xr:uid="{00000000-0005-0000-0000-00006D880000}"/>
    <cellStyle name="40% - Accent5 4 8 5 2" xfId="36115" xr:uid="{00000000-0005-0000-0000-00006E880000}"/>
    <cellStyle name="40% - Accent5 4 8 6" xfId="24814" xr:uid="{00000000-0005-0000-0000-00006F880000}"/>
    <cellStyle name="40% - Accent5 4 9" xfId="2203" xr:uid="{00000000-0005-0000-0000-000070880000}"/>
    <cellStyle name="40% - Accent5 4 9 2" xfId="8046" xr:uid="{00000000-0005-0000-0000-000071880000}"/>
    <cellStyle name="40% - Accent5 4 9 2 2" xfId="19347" xr:uid="{00000000-0005-0000-0000-000072880000}"/>
    <cellStyle name="40% - Accent5 4 9 2 2 2" xfId="41949" xr:uid="{00000000-0005-0000-0000-000073880000}"/>
    <cellStyle name="40% - Accent5 4 9 2 3" xfId="30648" xr:uid="{00000000-0005-0000-0000-000074880000}"/>
    <cellStyle name="40% - Accent5 4 9 3" xfId="13697" xr:uid="{00000000-0005-0000-0000-000075880000}"/>
    <cellStyle name="40% - Accent5 4 9 3 2" xfId="36299" xr:uid="{00000000-0005-0000-0000-000076880000}"/>
    <cellStyle name="40% - Accent5 4 9 4" xfId="24998" xr:uid="{00000000-0005-0000-0000-000077880000}"/>
    <cellStyle name="40% - Accent5 5" xfId="276" xr:uid="{00000000-0005-0000-0000-000078880000}"/>
    <cellStyle name="40% - Accent5 5 10" xfId="12141" xr:uid="{00000000-0005-0000-0000-000079880000}"/>
    <cellStyle name="40% - Accent5 5 10 2" xfId="34743" xr:uid="{00000000-0005-0000-0000-00007A880000}"/>
    <cellStyle name="40% - Accent5 5 11" xfId="23442" xr:uid="{00000000-0005-0000-0000-00007B880000}"/>
    <cellStyle name="40% - Accent5 5 2" xfId="442" xr:uid="{00000000-0005-0000-0000-00007C880000}"/>
    <cellStyle name="40% - Accent5 5 2 10" xfId="23537" xr:uid="{00000000-0005-0000-0000-00007D880000}"/>
    <cellStyle name="40% - Accent5 5 2 2" xfId="687" xr:uid="{00000000-0005-0000-0000-00007E880000}"/>
    <cellStyle name="40% - Accent5 5 2 2 2" xfId="1397" xr:uid="{00000000-0005-0000-0000-00007F880000}"/>
    <cellStyle name="40% - Accent5 5 2 2 2 2" xfId="2023" xr:uid="{00000000-0005-0000-0000-000080880000}"/>
    <cellStyle name="40% - Accent5 5 2 2 2 2 2" xfId="3466" xr:uid="{00000000-0005-0000-0000-000081880000}"/>
    <cellStyle name="40% - Accent5 5 2 2 2 2 2 2" xfId="6438" xr:uid="{00000000-0005-0000-0000-000082880000}"/>
    <cellStyle name="40% - Accent5 5 2 2 2 2 2 2 2" xfId="12088" xr:uid="{00000000-0005-0000-0000-000083880000}"/>
    <cellStyle name="40% - Accent5 5 2 2 2 2 2 2 2 2" xfId="23389" xr:uid="{00000000-0005-0000-0000-000084880000}"/>
    <cellStyle name="40% - Accent5 5 2 2 2 2 2 2 2 2 2" xfId="45991" xr:uid="{00000000-0005-0000-0000-000085880000}"/>
    <cellStyle name="40% - Accent5 5 2 2 2 2 2 2 2 3" xfId="34690" xr:uid="{00000000-0005-0000-0000-000086880000}"/>
    <cellStyle name="40% - Accent5 5 2 2 2 2 2 2 3" xfId="17739" xr:uid="{00000000-0005-0000-0000-000087880000}"/>
    <cellStyle name="40% - Accent5 5 2 2 2 2 2 2 3 2" xfId="40341" xr:uid="{00000000-0005-0000-0000-000088880000}"/>
    <cellStyle name="40% - Accent5 5 2 2 2 2 2 2 4" xfId="29040" xr:uid="{00000000-0005-0000-0000-000089880000}"/>
    <cellStyle name="40% - Accent5 5 2 2 2 2 2 3" xfId="9256" xr:uid="{00000000-0005-0000-0000-00008A880000}"/>
    <cellStyle name="40% - Accent5 5 2 2 2 2 2 3 2" xfId="20557" xr:uid="{00000000-0005-0000-0000-00008B880000}"/>
    <cellStyle name="40% - Accent5 5 2 2 2 2 2 3 2 2" xfId="43159" xr:uid="{00000000-0005-0000-0000-00008C880000}"/>
    <cellStyle name="40% - Accent5 5 2 2 2 2 2 3 3" xfId="31858" xr:uid="{00000000-0005-0000-0000-00008D880000}"/>
    <cellStyle name="40% - Accent5 5 2 2 2 2 2 4" xfId="14907" xr:uid="{00000000-0005-0000-0000-00008E880000}"/>
    <cellStyle name="40% - Accent5 5 2 2 2 2 2 4 2" xfId="37509" xr:uid="{00000000-0005-0000-0000-00008F880000}"/>
    <cellStyle name="40% - Accent5 5 2 2 2 2 2 5" xfId="26208" xr:uid="{00000000-0005-0000-0000-000090880000}"/>
    <cellStyle name="40% - Accent5 5 2 2 2 2 3" xfId="5204" xr:uid="{00000000-0005-0000-0000-000091880000}"/>
    <cellStyle name="40% - Accent5 5 2 2 2 2 3 2" xfId="10854" xr:uid="{00000000-0005-0000-0000-000092880000}"/>
    <cellStyle name="40% - Accent5 5 2 2 2 2 3 2 2" xfId="22155" xr:uid="{00000000-0005-0000-0000-000093880000}"/>
    <cellStyle name="40% - Accent5 5 2 2 2 2 3 2 2 2" xfId="44757" xr:uid="{00000000-0005-0000-0000-000094880000}"/>
    <cellStyle name="40% - Accent5 5 2 2 2 2 3 2 3" xfId="33456" xr:uid="{00000000-0005-0000-0000-000095880000}"/>
    <cellStyle name="40% - Accent5 5 2 2 2 2 3 3" xfId="16505" xr:uid="{00000000-0005-0000-0000-000096880000}"/>
    <cellStyle name="40% - Accent5 5 2 2 2 2 3 3 2" xfId="39107" xr:uid="{00000000-0005-0000-0000-000097880000}"/>
    <cellStyle name="40% - Accent5 5 2 2 2 2 3 4" xfId="27806" xr:uid="{00000000-0005-0000-0000-000098880000}"/>
    <cellStyle name="40% - Accent5 5 2 2 2 2 4" xfId="7879" xr:uid="{00000000-0005-0000-0000-000099880000}"/>
    <cellStyle name="40% - Accent5 5 2 2 2 2 4 2" xfId="19180" xr:uid="{00000000-0005-0000-0000-00009A880000}"/>
    <cellStyle name="40% - Accent5 5 2 2 2 2 4 2 2" xfId="41782" xr:uid="{00000000-0005-0000-0000-00009B880000}"/>
    <cellStyle name="40% - Accent5 5 2 2 2 2 4 3" xfId="30481" xr:uid="{00000000-0005-0000-0000-00009C880000}"/>
    <cellStyle name="40% - Accent5 5 2 2 2 2 5" xfId="13530" xr:uid="{00000000-0005-0000-0000-00009D880000}"/>
    <cellStyle name="40% - Accent5 5 2 2 2 2 5 2" xfId="36132" xr:uid="{00000000-0005-0000-0000-00009E880000}"/>
    <cellStyle name="40% - Accent5 5 2 2 2 2 6" xfId="24831" xr:uid="{00000000-0005-0000-0000-00009F880000}"/>
    <cellStyle name="40% - Accent5 5 2 2 2 3" xfId="2795" xr:uid="{00000000-0005-0000-0000-0000A0880000}"/>
    <cellStyle name="40% - Accent5 5 2 2 2 3 2" xfId="5814" xr:uid="{00000000-0005-0000-0000-0000A1880000}"/>
    <cellStyle name="40% - Accent5 5 2 2 2 3 2 2" xfId="11464" xr:uid="{00000000-0005-0000-0000-0000A2880000}"/>
    <cellStyle name="40% - Accent5 5 2 2 2 3 2 2 2" xfId="22765" xr:uid="{00000000-0005-0000-0000-0000A3880000}"/>
    <cellStyle name="40% - Accent5 5 2 2 2 3 2 2 2 2" xfId="45367" xr:uid="{00000000-0005-0000-0000-0000A4880000}"/>
    <cellStyle name="40% - Accent5 5 2 2 2 3 2 2 3" xfId="34066" xr:uid="{00000000-0005-0000-0000-0000A5880000}"/>
    <cellStyle name="40% - Accent5 5 2 2 2 3 2 3" xfId="17115" xr:uid="{00000000-0005-0000-0000-0000A6880000}"/>
    <cellStyle name="40% - Accent5 5 2 2 2 3 2 3 2" xfId="39717" xr:uid="{00000000-0005-0000-0000-0000A7880000}"/>
    <cellStyle name="40% - Accent5 5 2 2 2 3 2 4" xfId="28416" xr:uid="{00000000-0005-0000-0000-0000A8880000}"/>
    <cellStyle name="40% - Accent5 5 2 2 2 3 3" xfId="8631" xr:uid="{00000000-0005-0000-0000-0000A9880000}"/>
    <cellStyle name="40% - Accent5 5 2 2 2 3 3 2" xfId="19932" xr:uid="{00000000-0005-0000-0000-0000AA880000}"/>
    <cellStyle name="40% - Accent5 5 2 2 2 3 3 2 2" xfId="42534" xr:uid="{00000000-0005-0000-0000-0000AB880000}"/>
    <cellStyle name="40% - Accent5 5 2 2 2 3 3 3" xfId="31233" xr:uid="{00000000-0005-0000-0000-0000AC880000}"/>
    <cellStyle name="40% - Accent5 5 2 2 2 3 4" xfId="14282" xr:uid="{00000000-0005-0000-0000-0000AD880000}"/>
    <cellStyle name="40% - Accent5 5 2 2 2 3 4 2" xfId="36884" xr:uid="{00000000-0005-0000-0000-0000AE880000}"/>
    <cellStyle name="40% - Accent5 5 2 2 2 3 5" xfId="25583" xr:uid="{00000000-0005-0000-0000-0000AF880000}"/>
    <cellStyle name="40% - Accent5 5 2 2 2 4" xfId="4580" xr:uid="{00000000-0005-0000-0000-0000B0880000}"/>
    <cellStyle name="40% - Accent5 5 2 2 2 4 2" xfId="10230" xr:uid="{00000000-0005-0000-0000-0000B1880000}"/>
    <cellStyle name="40% - Accent5 5 2 2 2 4 2 2" xfId="21531" xr:uid="{00000000-0005-0000-0000-0000B2880000}"/>
    <cellStyle name="40% - Accent5 5 2 2 2 4 2 2 2" xfId="44133" xr:uid="{00000000-0005-0000-0000-0000B3880000}"/>
    <cellStyle name="40% - Accent5 5 2 2 2 4 2 3" xfId="32832" xr:uid="{00000000-0005-0000-0000-0000B4880000}"/>
    <cellStyle name="40% - Accent5 5 2 2 2 4 3" xfId="15881" xr:uid="{00000000-0005-0000-0000-0000B5880000}"/>
    <cellStyle name="40% - Accent5 5 2 2 2 4 3 2" xfId="38483" xr:uid="{00000000-0005-0000-0000-0000B6880000}"/>
    <cellStyle name="40% - Accent5 5 2 2 2 4 4" xfId="27182" xr:uid="{00000000-0005-0000-0000-0000B7880000}"/>
    <cellStyle name="40% - Accent5 5 2 2 2 5" xfId="7376" xr:uid="{00000000-0005-0000-0000-0000B8880000}"/>
    <cellStyle name="40% - Accent5 5 2 2 2 5 2" xfId="18677" xr:uid="{00000000-0005-0000-0000-0000B9880000}"/>
    <cellStyle name="40% - Accent5 5 2 2 2 5 2 2" xfId="41279" xr:uid="{00000000-0005-0000-0000-0000BA880000}"/>
    <cellStyle name="40% - Accent5 5 2 2 2 5 3" xfId="29978" xr:uid="{00000000-0005-0000-0000-0000BB880000}"/>
    <cellStyle name="40% - Accent5 5 2 2 2 6" xfId="13027" xr:uid="{00000000-0005-0000-0000-0000BC880000}"/>
    <cellStyle name="40% - Accent5 5 2 2 2 6 2" xfId="35629" xr:uid="{00000000-0005-0000-0000-0000BD880000}"/>
    <cellStyle name="40% - Accent5 5 2 2 2 7" xfId="24328" xr:uid="{00000000-0005-0000-0000-0000BE880000}"/>
    <cellStyle name="40% - Accent5 5 2 2 3" xfId="1095" xr:uid="{00000000-0005-0000-0000-0000BF880000}"/>
    <cellStyle name="40% - Accent5 5 2 2 3 2" xfId="3158" xr:uid="{00000000-0005-0000-0000-0000C0880000}"/>
    <cellStyle name="40% - Accent5 5 2 2 3 2 2" xfId="6130" xr:uid="{00000000-0005-0000-0000-0000C1880000}"/>
    <cellStyle name="40% - Accent5 5 2 2 3 2 2 2" xfId="11780" xr:uid="{00000000-0005-0000-0000-0000C2880000}"/>
    <cellStyle name="40% - Accent5 5 2 2 3 2 2 2 2" xfId="23081" xr:uid="{00000000-0005-0000-0000-0000C3880000}"/>
    <cellStyle name="40% - Accent5 5 2 2 3 2 2 2 2 2" xfId="45683" xr:uid="{00000000-0005-0000-0000-0000C4880000}"/>
    <cellStyle name="40% - Accent5 5 2 2 3 2 2 2 3" xfId="34382" xr:uid="{00000000-0005-0000-0000-0000C5880000}"/>
    <cellStyle name="40% - Accent5 5 2 2 3 2 2 3" xfId="17431" xr:uid="{00000000-0005-0000-0000-0000C6880000}"/>
    <cellStyle name="40% - Accent5 5 2 2 3 2 2 3 2" xfId="40033" xr:uid="{00000000-0005-0000-0000-0000C7880000}"/>
    <cellStyle name="40% - Accent5 5 2 2 3 2 2 4" xfId="28732" xr:uid="{00000000-0005-0000-0000-0000C8880000}"/>
    <cellStyle name="40% - Accent5 5 2 2 3 2 3" xfId="8948" xr:uid="{00000000-0005-0000-0000-0000C9880000}"/>
    <cellStyle name="40% - Accent5 5 2 2 3 2 3 2" xfId="20249" xr:uid="{00000000-0005-0000-0000-0000CA880000}"/>
    <cellStyle name="40% - Accent5 5 2 2 3 2 3 2 2" xfId="42851" xr:uid="{00000000-0005-0000-0000-0000CB880000}"/>
    <cellStyle name="40% - Accent5 5 2 2 3 2 3 3" xfId="31550" xr:uid="{00000000-0005-0000-0000-0000CC880000}"/>
    <cellStyle name="40% - Accent5 5 2 2 3 2 4" xfId="14599" xr:uid="{00000000-0005-0000-0000-0000CD880000}"/>
    <cellStyle name="40% - Accent5 5 2 2 3 2 4 2" xfId="37201" xr:uid="{00000000-0005-0000-0000-0000CE880000}"/>
    <cellStyle name="40% - Accent5 5 2 2 3 2 5" xfId="25900" xr:uid="{00000000-0005-0000-0000-0000CF880000}"/>
    <cellStyle name="40% - Accent5 5 2 2 3 3" xfId="4896" xr:uid="{00000000-0005-0000-0000-0000D0880000}"/>
    <cellStyle name="40% - Accent5 5 2 2 3 3 2" xfId="10546" xr:uid="{00000000-0005-0000-0000-0000D1880000}"/>
    <cellStyle name="40% - Accent5 5 2 2 3 3 2 2" xfId="21847" xr:uid="{00000000-0005-0000-0000-0000D2880000}"/>
    <cellStyle name="40% - Accent5 5 2 2 3 3 2 2 2" xfId="44449" xr:uid="{00000000-0005-0000-0000-0000D3880000}"/>
    <cellStyle name="40% - Accent5 5 2 2 3 3 2 3" xfId="33148" xr:uid="{00000000-0005-0000-0000-0000D4880000}"/>
    <cellStyle name="40% - Accent5 5 2 2 3 3 3" xfId="16197" xr:uid="{00000000-0005-0000-0000-0000D5880000}"/>
    <cellStyle name="40% - Accent5 5 2 2 3 3 3 2" xfId="38799" xr:uid="{00000000-0005-0000-0000-0000D6880000}"/>
    <cellStyle name="40% - Accent5 5 2 2 3 3 4" xfId="27498" xr:uid="{00000000-0005-0000-0000-0000D7880000}"/>
    <cellStyle name="40% - Accent5 5 2 2 3 4" xfId="7083" xr:uid="{00000000-0005-0000-0000-0000D8880000}"/>
    <cellStyle name="40% - Accent5 5 2 2 3 4 2" xfId="18384" xr:uid="{00000000-0005-0000-0000-0000D9880000}"/>
    <cellStyle name="40% - Accent5 5 2 2 3 4 2 2" xfId="40986" xr:uid="{00000000-0005-0000-0000-0000DA880000}"/>
    <cellStyle name="40% - Accent5 5 2 2 3 4 3" xfId="29685" xr:uid="{00000000-0005-0000-0000-0000DB880000}"/>
    <cellStyle name="40% - Accent5 5 2 2 3 5" xfId="12734" xr:uid="{00000000-0005-0000-0000-0000DC880000}"/>
    <cellStyle name="40% - Accent5 5 2 2 3 5 2" xfId="35336" xr:uid="{00000000-0005-0000-0000-0000DD880000}"/>
    <cellStyle name="40% - Accent5 5 2 2 3 6" xfId="24035" xr:uid="{00000000-0005-0000-0000-0000DE880000}"/>
    <cellStyle name="40% - Accent5 5 2 2 4" xfId="2022" xr:uid="{00000000-0005-0000-0000-0000DF880000}"/>
    <cellStyle name="40% - Accent5 5 2 2 4 2" xfId="3814" xr:uid="{00000000-0005-0000-0000-0000E0880000}"/>
    <cellStyle name="40% - Accent5 5 2 2 4 2 2" xfId="9524" xr:uid="{00000000-0005-0000-0000-0000E1880000}"/>
    <cellStyle name="40% - Accent5 5 2 2 4 2 2 2" xfId="20825" xr:uid="{00000000-0005-0000-0000-0000E2880000}"/>
    <cellStyle name="40% - Accent5 5 2 2 4 2 2 2 2" xfId="43427" xr:uid="{00000000-0005-0000-0000-0000E3880000}"/>
    <cellStyle name="40% - Accent5 5 2 2 4 2 2 3" xfId="32126" xr:uid="{00000000-0005-0000-0000-0000E4880000}"/>
    <cellStyle name="40% - Accent5 5 2 2 4 2 3" xfId="15175" xr:uid="{00000000-0005-0000-0000-0000E5880000}"/>
    <cellStyle name="40% - Accent5 5 2 2 4 2 3 2" xfId="37777" xr:uid="{00000000-0005-0000-0000-0000E6880000}"/>
    <cellStyle name="40% - Accent5 5 2 2 4 2 4" xfId="26476" xr:uid="{00000000-0005-0000-0000-0000E7880000}"/>
    <cellStyle name="40% - Accent5 5 2 2 4 3" xfId="5506" xr:uid="{00000000-0005-0000-0000-0000E8880000}"/>
    <cellStyle name="40% - Accent5 5 2 2 4 3 2" xfId="11156" xr:uid="{00000000-0005-0000-0000-0000E9880000}"/>
    <cellStyle name="40% - Accent5 5 2 2 4 3 2 2" xfId="22457" xr:uid="{00000000-0005-0000-0000-0000EA880000}"/>
    <cellStyle name="40% - Accent5 5 2 2 4 3 2 2 2" xfId="45059" xr:uid="{00000000-0005-0000-0000-0000EB880000}"/>
    <cellStyle name="40% - Accent5 5 2 2 4 3 2 3" xfId="33758" xr:uid="{00000000-0005-0000-0000-0000EC880000}"/>
    <cellStyle name="40% - Accent5 5 2 2 4 3 3" xfId="16807" xr:uid="{00000000-0005-0000-0000-0000ED880000}"/>
    <cellStyle name="40% - Accent5 5 2 2 4 3 3 2" xfId="39409" xr:uid="{00000000-0005-0000-0000-0000EE880000}"/>
    <cellStyle name="40% - Accent5 5 2 2 4 3 4" xfId="28108" xr:uid="{00000000-0005-0000-0000-0000EF880000}"/>
    <cellStyle name="40% - Accent5 5 2 2 4 4" xfId="7878" xr:uid="{00000000-0005-0000-0000-0000F0880000}"/>
    <cellStyle name="40% - Accent5 5 2 2 4 4 2" xfId="19179" xr:uid="{00000000-0005-0000-0000-0000F1880000}"/>
    <cellStyle name="40% - Accent5 5 2 2 4 4 2 2" xfId="41781" xr:uid="{00000000-0005-0000-0000-0000F2880000}"/>
    <cellStyle name="40% - Accent5 5 2 2 4 4 3" xfId="30480" xr:uid="{00000000-0005-0000-0000-0000F3880000}"/>
    <cellStyle name="40% - Accent5 5 2 2 4 5" xfId="13529" xr:uid="{00000000-0005-0000-0000-0000F4880000}"/>
    <cellStyle name="40% - Accent5 5 2 2 4 5 2" xfId="36131" xr:uid="{00000000-0005-0000-0000-0000F5880000}"/>
    <cellStyle name="40% - Accent5 5 2 2 4 6" xfId="24830" xr:uid="{00000000-0005-0000-0000-0000F6880000}"/>
    <cellStyle name="40% - Accent5 5 2 2 5" xfId="2487" xr:uid="{00000000-0005-0000-0000-0000F7880000}"/>
    <cellStyle name="40% - Accent5 5 2 2 5 2" xfId="8323" xr:uid="{00000000-0005-0000-0000-0000F8880000}"/>
    <cellStyle name="40% - Accent5 5 2 2 5 2 2" xfId="19624" xr:uid="{00000000-0005-0000-0000-0000F9880000}"/>
    <cellStyle name="40% - Accent5 5 2 2 5 2 2 2" xfId="42226" xr:uid="{00000000-0005-0000-0000-0000FA880000}"/>
    <cellStyle name="40% - Accent5 5 2 2 5 2 3" xfId="30925" xr:uid="{00000000-0005-0000-0000-0000FB880000}"/>
    <cellStyle name="40% - Accent5 5 2 2 5 3" xfId="13974" xr:uid="{00000000-0005-0000-0000-0000FC880000}"/>
    <cellStyle name="40% - Accent5 5 2 2 5 3 2" xfId="36576" xr:uid="{00000000-0005-0000-0000-0000FD880000}"/>
    <cellStyle name="40% - Accent5 5 2 2 5 4" xfId="25275" xr:uid="{00000000-0005-0000-0000-0000FE880000}"/>
    <cellStyle name="40% - Accent5 5 2 2 6" xfId="4272" xr:uid="{00000000-0005-0000-0000-0000FF880000}"/>
    <cellStyle name="40% - Accent5 5 2 2 6 2" xfId="9922" xr:uid="{00000000-0005-0000-0000-000000890000}"/>
    <cellStyle name="40% - Accent5 5 2 2 6 2 2" xfId="21223" xr:uid="{00000000-0005-0000-0000-000001890000}"/>
    <cellStyle name="40% - Accent5 5 2 2 6 2 2 2" xfId="43825" xr:uid="{00000000-0005-0000-0000-000002890000}"/>
    <cellStyle name="40% - Accent5 5 2 2 6 2 3" xfId="32524" xr:uid="{00000000-0005-0000-0000-000003890000}"/>
    <cellStyle name="40% - Accent5 5 2 2 6 3" xfId="15573" xr:uid="{00000000-0005-0000-0000-000004890000}"/>
    <cellStyle name="40% - Accent5 5 2 2 6 3 2" xfId="38175" xr:uid="{00000000-0005-0000-0000-000005890000}"/>
    <cellStyle name="40% - Accent5 5 2 2 6 4" xfId="26874" xr:uid="{00000000-0005-0000-0000-000006890000}"/>
    <cellStyle name="40% - Accent5 5 2 2 7" xfId="6752" xr:uid="{00000000-0005-0000-0000-000007890000}"/>
    <cellStyle name="40% - Accent5 5 2 2 7 2" xfId="18053" xr:uid="{00000000-0005-0000-0000-000008890000}"/>
    <cellStyle name="40% - Accent5 5 2 2 7 2 2" xfId="40655" xr:uid="{00000000-0005-0000-0000-000009890000}"/>
    <cellStyle name="40% - Accent5 5 2 2 7 3" xfId="29354" xr:uid="{00000000-0005-0000-0000-00000A890000}"/>
    <cellStyle name="40% - Accent5 5 2 2 8" xfId="12403" xr:uid="{00000000-0005-0000-0000-00000B890000}"/>
    <cellStyle name="40% - Accent5 5 2 2 8 2" xfId="35005" xr:uid="{00000000-0005-0000-0000-00000C890000}"/>
    <cellStyle name="40% - Accent5 5 2 2 9" xfId="23704" xr:uid="{00000000-0005-0000-0000-00000D890000}"/>
    <cellStyle name="40% - Accent5 5 2 3" xfId="1259" xr:uid="{00000000-0005-0000-0000-00000E890000}"/>
    <cellStyle name="40% - Accent5 5 2 3 2" xfId="2024" xr:uid="{00000000-0005-0000-0000-00000F890000}"/>
    <cellStyle name="40% - Accent5 5 2 3 2 2" xfId="3327" xr:uid="{00000000-0005-0000-0000-000010890000}"/>
    <cellStyle name="40% - Accent5 5 2 3 2 2 2" xfId="6299" xr:uid="{00000000-0005-0000-0000-000011890000}"/>
    <cellStyle name="40% - Accent5 5 2 3 2 2 2 2" xfId="11949" xr:uid="{00000000-0005-0000-0000-000012890000}"/>
    <cellStyle name="40% - Accent5 5 2 3 2 2 2 2 2" xfId="23250" xr:uid="{00000000-0005-0000-0000-000013890000}"/>
    <cellStyle name="40% - Accent5 5 2 3 2 2 2 2 2 2" xfId="45852" xr:uid="{00000000-0005-0000-0000-000014890000}"/>
    <cellStyle name="40% - Accent5 5 2 3 2 2 2 2 3" xfId="34551" xr:uid="{00000000-0005-0000-0000-000015890000}"/>
    <cellStyle name="40% - Accent5 5 2 3 2 2 2 3" xfId="17600" xr:uid="{00000000-0005-0000-0000-000016890000}"/>
    <cellStyle name="40% - Accent5 5 2 3 2 2 2 3 2" xfId="40202" xr:uid="{00000000-0005-0000-0000-000017890000}"/>
    <cellStyle name="40% - Accent5 5 2 3 2 2 2 4" xfId="28901" xr:uid="{00000000-0005-0000-0000-000018890000}"/>
    <cellStyle name="40% - Accent5 5 2 3 2 2 3" xfId="9117" xr:uid="{00000000-0005-0000-0000-000019890000}"/>
    <cellStyle name="40% - Accent5 5 2 3 2 2 3 2" xfId="20418" xr:uid="{00000000-0005-0000-0000-00001A890000}"/>
    <cellStyle name="40% - Accent5 5 2 3 2 2 3 2 2" xfId="43020" xr:uid="{00000000-0005-0000-0000-00001B890000}"/>
    <cellStyle name="40% - Accent5 5 2 3 2 2 3 3" xfId="31719" xr:uid="{00000000-0005-0000-0000-00001C890000}"/>
    <cellStyle name="40% - Accent5 5 2 3 2 2 4" xfId="14768" xr:uid="{00000000-0005-0000-0000-00001D890000}"/>
    <cellStyle name="40% - Accent5 5 2 3 2 2 4 2" xfId="37370" xr:uid="{00000000-0005-0000-0000-00001E890000}"/>
    <cellStyle name="40% - Accent5 5 2 3 2 2 5" xfId="26069" xr:uid="{00000000-0005-0000-0000-00001F890000}"/>
    <cellStyle name="40% - Accent5 5 2 3 2 3" xfId="5065" xr:uid="{00000000-0005-0000-0000-000020890000}"/>
    <cellStyle name="40% - Accent5 5 2 3 2 3 2" xfId="10715" xr:uid="{00000000-0005-0000-0000-000021890000}"/>
    <cellStyle name="40% - Accent5 5 2 3 2 3 2 2" xfId="22016" xr:uid="{00000000-0005-0000-0000-000022890000}"/>
    <cellStyle name="40% - Accent5 5 2 3 2 3 2 2 2" xfId="44618" xr:uid="{00000000-0005-0000-0000-000023890000}"/>
    <cellStyle name="40% - Accent5 5 2 3 2 3 2 3" xfId="33317" xr:uid="{00000000-0005-0000-0000-000024890000}"/>
    <cellStyle name="40% - Accent5 5 2 3 2 3 3" xfId="16366" xr:uid="{00000000-0005-0000-0000-000025890000}"/>
    <cellStyle name="40% - Accent5 5 2 3 2 3 3 2" xfId="38968" xr:uid="{00000000-0005-0000-0000-000026890000}"/>
    <cellStyle name="40% - Accent5 5 2 3 2 3 4" xfId="27667" xr:uid="{00000000-0005-0000-0000-000027890000}"/>
    <cellStyle name="40% - Accent5 5 2 3 2 4" xfId="7880" xr:uid="{00000000-0005-0000-0000-000028890000}"/>
    <cellStyle name="40% - Accent5 5 2 3 2 4 2" xfId="19181" xr:uid="{00000000-0005-0000-0000-000029890000}"/>
    <cellStyle name="40% - Accent5 5 2 3 2 4 2 2" xfId="41783" xr:uid="{00000000-0005-0000-0000-00002A890000}"/>
    <cellStyle name="40% - Accent5 5 2 3 2 4 3" xfId="30482" xr:uid="{00000000-0005-0000-0000-00002B890000}"/>
    <cellStyle name="40% - Accent5 5 2 3 2 5" xfId="13531" xr:uid="{00000000-0005-0000-0000-00002C890000}"/>
    <cellStyle name="40% - Accent5 5 2 3 2 5 2" xfId="36133" xr:uid="{00000000-0005-0000-0000-00002D890000}"/>
    <cellStyle name="40% - Accent5 5 2 3 2 6" xfId="24832" xr:uid="{00000000-0005-0000-0000-00002E890000}"/>
    <cellStyle name="40% - Accent5 5 2 3 3" xfId="2656" xr:uid="{00000000-0005-0000-0000-00002F890000}"/>
    <cellStyle name="40% - Accent5 5 2 3 3 2" xfId="5675" xr:uid="{00000000-0005-0000-0000-000030890000}"/>
    <cellStyle name="40% - Accent5 5 2 3 3 2 2" xfId="11325" xr:uid="{00000000-0005-0000-0000-000031890000}"/>
    <cellStyle name="40% - Accent5 5 2 3 3 2 2 2" xfId="22626" xr:uid="{00000000-0005-0000-0000-000032890000}"/>
    <cellStyle name="40% - Accent5 5 2 3 3 2 2 2 2" xfId="45228" xr:uid="{00000000-0005-0000-0000-000033890000}"/>
    <cellStyle name="40% - Accent5 5 2 3 3 2 2 3" xfId="33927" xr:uid="{00000000-0005-0000-0000-000034890000}"/>
    <cellStyle name="40% - Accent5 5 2 3 3 2 3" xfId="16976" xr:uid="{00000000-0005-0000-0000-000035890000}"/>
    <cellStyle name="40% - Accent5 5 2 3 3 2 3 2" xfId="39578" xr:uid="{00000000-0005-0000-0000-000036890000}"/>
    <cellStyle name="40% - Accent5 5 2 3 3 2 4" xfId="28277" xr:uid="{00000000-0005-0000-0000-000037890000}"/>
    <cellStyle name="40% - Accent5 5 2 3 3 3" xfId="8492" xr:uid="{00000000-0005-0000-0000-000038890000}"/>
    <cellStyle name="40% - Accent5 5 2 3 3 3 2" xfId="19793" xr:uid="{00000000-0005-0000-0000-000039890000}"/>
    <cellStyle name="40% - Accent5 5 2 3 3 3 2 2" xfId="42395" xr:uid="{00000000-0005-0000-0000-00003A890000}"/>
    <cellStyle name="40% - Accent5 5 2 3 3 3 3" xfId="31094" xr:uid="{00000000-0005-0000-0000-00003B890000}"/>
    <cellStyle name="40% - Accent5 5 2 3 3 4" xfId="14143" xr:uid="{00000000-0005-0000-0000-00003C890000}"/>
    <cellStyle name="40% - Accent5 5 2 3 3 4 2" xfId="36745" xr:uid="{00000000-0005-0000-0000-00003D890000}"/>
    <cellStyle name="40% - Accent5 5 2 3 3 5" xfId="25444" xr:uid="{00000000-0005-0000-0000-00003E890000}"/>
    <cellStyle name="40% - Accent5 5 2 3 4" xfId="4441" xr:uid="{00000000-0005-0000-0000-00003F890000}"/>
    <cellStyle name="40% - Accent5 5 2 3 4 2" xfId="10091" xr:uid="{00000000-0005-0000-0000-000040890000}"/>
    <cellStyle name="40% - Accent5 5 2 3 4 2 2" xfId="21392" xr:uid="{00000000-0005-0000-0000-000041890000}"/>
    <cellStyle name="40% - Accent5 5 2 3 4 2 2 2" xfId="43994" xr:uid="{00000000-0005-0000-0000-000042890000}"/>
    <cellStyle name="40% - Accent5 5 2 3 4 2 3" xfId="32693" xr:uid="{00000000-0005-0000-0000-000043890000}"/>
    <cellStyle name="40% - Accent5 5 2 3 4 3" xfId="15742" xr:uid="{00000000-0005-0000-0000-000044890000}"/>
    <cellStyle name="40% - Accent5 5 2 3 4 3 2" xfId="38344" xr:uid="{00000000-0005-0000-0000-000045890000}"/>
    <cellStyle name="40% - Accent5 5 2 3 4 4" xfId="27043" xr:uid="{00000000-0005-0000-0000-000046890000}"/>
    <cellStyle name="40% - Accent5 5 2 3 5" xfId="7238" xr:uid="{00000000-0005-0000-0000-000047890000}"/>
    <cellStyle name="40% - Accent5 5 2 3 5 2" xfId="18539" xr:uid="{00000000-0005-0000-0000-000048890000}"/>
    <cellStyle name="40% - Accent5 5 2 3 5 2 2" xfId="41141" xr:uid="{00000000-0005-0000-0000-000049890000}"/>
    <cellStyle name="40% - Accent5 5 2 3 5 3" xfId="29840" xr:uid="{00000000-0005-0000-0000-00004A890000}"/>
    <cellStyle name="40% - Accent5 5 2 3 6" xfId="12889" xr:uid="{00000000-0005-0000-0000-00004B890000}"/>
    <cellStyle name="40% - Accent5 5 2 3 6 2" xfId="35491" xr:uid="{00000000-0005-0000-0000-00004C890000}"/>
    <cellStyle name="40% - Accent5 5 2 3 7" xfId="24190" xr:uid="{00000000-0005-0000-0000-00004D890000}"/>
    <cellStyle name="40% - Accent5 5 2 4" xfId="950" xr:uid="{00000000-0005-0000-0000-00004E890000}"/>
    <cellStyle name="40% - Accent5 5 2 4 2" xfId="3020" xr:uid="{00000000-0005-0000-0000-00004F890000}"/>
    <cellStyle name="40% - Accent5 5 2 4 2 2" xfId="5992" xr:uid="{00000000-0005-0000-0000-000050890000}"/>
    <cellStyle name="40% - Accent5 5 2 4 2 2 2" xfId="11642" xr:uid="{00000000-0005-0000-0000-000051890000}"/>
    <cellStyle name="40% - Accent5 5 2 4 2 2 2 2" xfId="22943" xr:uid="{00000000-0005-0000-0000-000052890000}"/>
    <cellStyle name="40% - Accent5 5 2 4 2 2 2 2 2" xfId="45545" xr:uid="{00000000-0005-0000-0000-000053890000}"/>
    <cellStyle name="40% - Accent5 5 2 4 2 2 2 3" xfId="34244" xr:uid="{00000000-0005-0000-0000-000054890000}"/>
    <cellStyle name="40% - Accent5 5 2 4 2 2 3" xfId="17293" xr:uid="{00000000-0005-0000-0000-000055890000}"/>
    <cellStyle name="40% - Accent5 5 2 4 2 2 3 2" xfId="39895" xr:uid="{00000000-0005-0000-0000-000056890000}"/>
    <cellStyle name="40% - Accent5 5 2 4 2 2 4" xfId="28594" xr:uid="{00000000-0005-0000-0000-000057890000}"/>
    <cellStyle name="40% - Accent5 5 2 4 2 3" xfId="8810" xr:uid="{00000000-0005-0000-0000-000058890000}"/>
    <cellStyle name="40% - Accent5 5 2 4 2 3 2" xfId="20111" xr:uid="{00000000-0005-0000-0000-000059890000}"/>
    <cellStyle name="40% - Accent5 5 2 4 2 3 2 2" xfId="42713" xr:uid="{00000000-0005-0000-0000-00005A890000}"/>
    <cellStyle name="40% - Accent5 5 2 4 2 3 3" xfId="31412" xr:uid="{00000000-0005-0000-0000-00005B890000}"/>
    <cellStyle name="40% - Accent5 5 2 4 2 4" xfId="14461" xr:uid="{00000000-0005-0000-0000-00005C890000}"/>
    <cellStyle name="40% - Accent5 5 2 4 2 4 2" xfId="37063" xr:uid="{00000000-0005-0000-0000-00005D890000}"/>
    <cellStyle name="40% - Accent5 5 2 4 2 5" xfId="25762" xr:uid="{00000000-0005-0000-0000-00005E890000}"/>
    <cellStyle name="40% - Accent5 5 2 4 3" xfId="4758" xr:uid="{00000000-0005-0000-0000-00005F890000}"/>
    <cellStyle name="40% - Accent5 5 2 4 3 2" xfId="10408" xr:uid="{00000000-0005-0000-0000-000060890000}"/>
    <cellStyle name="40% - Accent5 5 2 4 3 2 2" xfId="21709" xr:uid="{00000000-0005-0000-0000-000061890000}"/>
    <cellStyle name="40% - Accent5 5 2 4 3 2 2 2" xfId="44311" xr:uid="{00000000-0005-0000-0000-000062890000}"/>
    <cellStyle name="40% - Accent5 5 2 4 3 2 3" xfId="33010" xr:uid="{00000000-0005-0000-0000-000063890000}"/>
    <cellStyle name="40% - Accent5 5 2 4 3 3" xfId="16059" xr:uid="{00000000-0005-0000-0000-000064890000}"/>
    <cellStyle name="40% - Accent5 5 2 4 3 3 2" xfId="38661" xr:uid="{00000000-0005-0000-0000-000065890000}"/>
    <cellStyle name="40% - Accent5 5 2 4 3 4" xfId="27360" xr:uid="{00000000-0005-0000-0000-000066890000}"/>
    <cellStyle name="40% - Accent5 5 2 4 4" xfId="6945" xr:uid="{00000000-0005-0000-0000-000067890000}"/>
    <cellStyle name="40% - Accent5 5 2 4 4 2" xfId="18246" xr:uid="{00000000-0005-0000-0000-000068890000}"/>
    <cellStyle name="40% - Accent5 5 2 4 4 2 2" xfId="40848" xr:uid="{00000000-0005-0000-0000-000069890000}"/>
    <cellStyle name="40% - Accent5 5 2 4 4 3" xfId="29547" xr:uid="{00000000-0005-0000-0000-00006A890000}"/>
    <cellStyle name="40% - Accent5 5 2 4 5" xfId="12596" xr:uid="{00000000-0005-0000-0000-00006B890000}"/>
    <cellStyle name="40% - Accent5 5 2 4 5 2" xfId="35198" xr:uid="{00000000-0005-0000-0000-00006C890000}"/>
    <cellStyle name="40% - Accent5 5 2 4 6" xfId="23897" xr:uid="{00000000-0005-0000-0000-00006D890000}"/>
    <cellStyle name="40% - Accent5 5 2 5" xfId="2021" xr:uid="{00000000-0005-0000-0000-00006E890000}"/>
    <cellStyle name="40% - Accent5 5 2 5 2" xfId="3813" xr:uid="{00000000-0005-0000-0000-00006F890000}"/>
    <cellStyle name="40% - Accent5 5 2 5 2 2" xfId="9523" xr:uid="{00000000-0005-0000-0000-000070890000}"/>
    <cellStyle name="40% - Accent5 5 2 5 2 2 2" xfId="20824" xr:uid="{00000000-0005-0000-0000-000071890000}"/>
    <cellStyle name="40% - Accent5 5 2 5 2 2 2 2" xfId="43426" xr:uid="{00000000-0005-0000-0000-000072890000}"/>
    <cellStyle name="40% - Accent5 5 2 5 2 2 3" xfId="32125" xr:uid="{00000000-0005-0000-0000-000073890000}"/>
    <cellStyle name="40% - Accent5 5 2 5 2 3" xfId="15174" xr:uid="{00000000-0005-0000-0000-000074890000}"/>
    <cellStyle name="40% - Accent5 5 2 5 2 3 2" xfId="37776" xr:uid="{00000000-0005-0000-0000-000075890000}"/>
    <cellStyle name="40% - Accent5 5 2 5 2 4" xfId="26475" xr:uid="{00000000-0005-0000-0000-000076890000}"/>
    <cellStyle name="40% - Accent5 5 2 5 3" xfId="5368" xr:uid="{00000000-0005-0000-0000-000077890000}"/>
    <cellStyle name="40% - Accent5 5 2 5 3 2" xfId="11018" xr:uid="{00000000-0005-0000-0000-000078890000}"/>
    <cellStyle name="40% - Accent5 5 2 5 3 2 2" xfId="22319" xr:uid="{00000000-0005-0000-0000-000079890000}"/>
    <cellStyle name="40% - Accent5 5 2 5 3 2 2 2" xfId="44921" xr:uid="{00000000-0005-0000-0000-00007A890000}"/>
    <cellStyle name="40% - Accent5 5 2 5 3 2 3" xfId="33620" xr:uid="{00000000-0005-0000-0000-00007B890000}"/>
    <cellStyle name="40% - Accent5 5 2 5 3 3" xfId="16669" xr:uid="{00000000-0005-0000-0000-00007C890000}"/>
    <cellStyle name="40% - Accent5 5 2 5 3 3 2" xfId="39271" xr:uid="{00000000-0005-0000-0000-00007D890000}"/>
    <cellStyle name="40% - Accent5 5 2 5 3 4" xfId="27970" xr:uid="{00000000-0005-0000-0000-00007E890000}"/>
    <cellStyle name="40% - Accent5 5 2 5 4" xfId="7877" xr:uid="{00000000-0005-0000-0000-00007F890000}"/>
    <cellStyle name="40% - Accent5 5 2 5 4 2" xfId="19178" xr:uid="{00000000-0005-0000-0000-000080890000}"/>
    <cellStyle name="40% - Accent5 5 2 5 4 2 2" xfId="41780" xr:uid="{00000000-0005-0000-0000-000081890000}"/>
    <cellStyle name="40% - Accent5 5 2 5 4 3" xfId="30479" xr:uid="{00000000-0005-0000-0000-000082890000}"/>
    <cellStyle name="40% - Accent5 5 2 5 5" xfId="13528" xr:uid="{00000000-0005-0000-0000-000083890000}"/>
    <cellStyle name="40% - Accent5 5 2 5 5 2" xfId="36130" xr:uid="{00000000-0005-0000-0000-000084890000}"/>
    <cellStyle name="40% - Accent5 5 2 5 6" xfId="24829" xr:uid="{00000000-0005-0000-0000-000085890000}"/>
    <cellStyle name="40% - Accent5 5 2 6" xfId="2347" xr:uid="{00000000-0005-0000-0000-000086890000}"/>
    <cellStyle name="40% - Accent5 5 2 6 2" xfId="8183" xr:uid="{00000000-0005-0000-0000-000087890000}"/>
    <cellStyle name="40% - Accent5 5 2 6 2 2" xfId="19484" xr:uid="{00000000-0005-0000-0000-000088890000}"/>
    <cellStyle name="40% - Accent5 5 2 6 2 2 2" xfId="42086" xr:uid="{00000000-0005-0000-0000-000089890000}"/>
    <cellStyle name="40% - Accent5 5 2 6 2 3" xfId="30785" xr:uid="{00000000-0005-0000-0000-00008A890000}"/>
    <cellStyle name="40% - Accent5 5 2 6 3" xfId="13834" xr:uid="{00000000-0005-0000-0000-00008B890000}"/>
    <cellStyle name="40% - Accent5 5 2 6 3 2" xfId="36436" xr:uid="{00000000-0005-0000-0000-00008C890000}"/>
    <cellStyle name="40% - Accent5 5 2 6 4" xfId="25135" xr:uid="{00000000-0005-0000-0000-00008D890000}"/>
    <cellStyle name="40% - Accent5 5 2 7" xfId="4134" xr:uid="{00000000-0005-0000-0000-00008E890000}"/>
    <cellStyle name="40% - Accent5 5 2 7 2" xfId="9784" xr:uid="{00000000-0005-0000-0000-00008F890000}"/>
    <cellStyle name="40% - Accent5 5 2 7 2 2" xfId="21085" xr:uid="{00000000-0005-0000-0000-000090890000}"/>
    <cellStyle name="40% - Accent5 5 2 7 2 2 2" xfId="43687" xr:uid="{00000000-0005-0000-0000-000091890000}"/>
    <cellStyle name="40% - Accent5 5 2 7 2 3" xfId="32386" xr:uid="{00000000-0005-0000-0000-000092890000}"/>
    <cellStyle name="40% - Accent5 5 2 7 3" xfId="15435" xr:uid="{00000000-0005-0000-0000-000093890000}"/>
    <cellStyle name="40% - Accent5 5 2 7 3 2" xfId="38037" xr:uid="{00000000-0005-0000-0000-000094890000}"/>
    <cellStyle name="40% - Accent5 5 2 7 4" xfId="26736" xr:uid="{00000000-0005-0000-0000-000095890000}"/>
    <cellStyle name="40% - Accent5 5 2 8" xfId="6585" xr:uid="{00000000-0005-0000-0000-000096890000}"/>
    <cellStyle name="40% - Accent5 5 2 8 2" xfId="17886" xr:uid="{00000000-0005-0000-0000-000097890000}"/>
    <cellStyle name="40% - Accent5 5 2 8 2 2" xfId="40488" xr:uid="{00000000-0005-0000-0000-000098890000}"/>
    <cellStyle name="40% - Accent5 5 2 8 3" xfId="29187" xr:uid="{00000000-0005-0000-0000-000099890000}"/>
    <cellStyle name="40% - Accent5 5 2 9" xfId="12236" xr:uid="{00000000-0005-0000-0000-00009A890000}"/>
    <cellStyle name="40% - Accent5 5 2 9 2" xfId="34838" xr:uid="{00000000-0005-0000-0000-00009B890000}"/>
    <cellStyle name="40% - Accent5 5 3" xfId="591" xr:uid="{00000000-0005-0000-0000-00009C890000}"/>
    <cellStyle name="40% - Accent5 5 3 2" xfId="1304" xr:uid="{00000000-0005-0000-0000-00009D890000}"/>
    <cellStyle name="40% - Accent5 5 3 2 2" xfId="2026" xr:uid="{00000000-0005-0000-0000-00009E890000}"/>
    <cellStyle name="40% - Accent5 5 3 2 2 2" xfId="3373" xr:uid="{00000000-0005-0000-0000-00009F890000}"/>
    <cellStyle name="40% - Accent5 5 3 2 2 2 2" xfId="6345" xr:uid="{00000000-0005-0000-0000-0000A0890000}"/>
    <cellStyle name="40% - Accent5 5 3 2 2 2 2 2" xfId="11995" xr:uid="{00000000-0005-0000-0000-0000A1890000}"/>
    <cellStyle name="40% - Accent5 5 3 2 2 2 2 2 2" xfId="23296" xr:uid="{00000000-0005-0000-0000-0000A2890000}"/>
    <cellStyle name="40% - Accent5 5 3 2 2 2 2 2 2 2" xfId="45898" xr:uid="{00000000-0005-0000-0000-0000A3890000}"/>
    <cellStyle name="40% - Accent5 5 3 2 2 2 2 2 3" xfId="34597" xr:uid="{00000000-0005-0000-0000-0000A4890000}"/>
    <cellStyle name="40% - Accent5 5 3 2 2 2 2 3" xfId="17646" xr:uid="{00000000-0005-0000-0000-0000A5890000}"/>
    <cellStyle name="40% - Accent5 5 3 2 2 2 2 3 2" xfId="40248" xr:uid="{00000000-0005-0000-0000-0000A6890000}"/>
    <cellStyle name="40% - Accent5 5 3 2 2 2 2 4" xfId="28947" xr:uid="{00000000-0005-0000-0000-0000A7890000}"/>
    <cellStyle name="40% - Accent5 5 3 2 2 2 3" xfId="9163" xr:uid="{00000000-0005-0000-0000-0000A8890000}"/>
    <cellStyle name="40% - Accent5 5 3 2 2 2 3 2" xfId="20464" xr:uid="{00000000-0005-0000-0000-0000A9890000}"/>
    <cellStyle name="40% - Accent5 5 3 2 2 2 3 2 2" xfId="43066" xr:uid="{00000000-0005-0000-0000-0000AA890000}"/>
    <cellStyle name="40% - Accent5 5 3 2 2 2 3 3" xfId="31765" xr:uid="{00000000-0005-0000-0000-0000AB890000}"/>
    <cellStyle name="40% - Accent5 5 3 2 2 2 4" xfId="14814" xr:uid="{00000000-0005-0000-0000-0000AC890000}"/>
    <cellStyle name="40% - Accent5 5 3 2 2 2 4 2" xfId="37416" xr:uid="{00000000-0005-0000-0000-0000AD890000}"/>
    <cellStyle name="40% - Accent5 5 3 2 2 2 5" xfId="26115" xr:uid="{00000000-0005-0000-0000-0000AE890000}"/>
    <cellStyle name="40% - Accent5 5 3 2 2 3" xfId="5111" xr:uid="{00000000-0005-0000-0000-0000AF890000}"/>
    <cellStyle name="40% - Accent5 5 3 2 2 3 2" xfId="10761" xr:uid="{00000000-0005-0000-0000-0000B0890000}"/>
    <cellStyle name="40% - Accent5 5 3 2 2 3 2 2" xfId="22062" xr:uid="{00000000-0005-0000-0000-0000B1890000}"/>
    <cellStyle name="40% - Accent5 5 3 2 2 3 2 2 2" xfId="44664" xr:uid="{00000000-0005-0000-0000-0000B2890000}"/>
    <cellStyle name="40% - Accent5 5 3 2 2 3 2 3" xfId="33363" xr:uid="{00000000-0005-0000-0000-0000B3890000}"/>
    <cellStyle name="40% - Accent5 5 3 2 2 3 3" xfId="16412" xr:uid="{00000000-0005-0000-0000-0000B4890000}"/>
    <cellStyle name="40% - Accent5 5 3 2 2 3 3 2" xfId="39014" xr:uid="{00000000-0005-0000-0000-0000B5890000}"/>
    <cellStyle name="40% - Accent5 5 3 2 2 3 4" xfId="27713" xr:uid="{00000000-0005-0000-0000-0000B6890000}"/>
    <cellStyle name="40% - Accent5 5 3 2 2 4" xfId="7882" xr:uid="{00000000-0005-0000-0000-0000B7890000}"/>
    <cellStyle name="40% - Accent5 5 3 2 2 4 2" xfId="19183" xr:uid="{00000000-0005-0000-0000-0000B8890000}"/>
    <cellStyle name="40% - Accent5 5 3 2 2 4 2 2" xfId="41785" xr:uid="{00000000-0005-0000-0000-0000B9890000}"/>
    <cellStyle name="40% - Accent5 5 3 2 2 4 3" xfId="30484" xr:uid="{00000000-0005-0000-0000-0000BA890000}"/>
    <cellStyle name="40% - Accent5 5 3 2 2 5" xfId="13533" xr:uid="{00000000-0005-0000-0000-0000BB890000}"/>
    <cellStyle name="40% - Accent5 5 3 2 2 5 2" xfId="36135" xr:uid="{00000000-0005-0000-0000-0000BC890000}"/>
    <cellStyle name="40% - Accent5 5 3 2 2 6" xfId="24834" xr:uid="{00000000-0005-0000-0000-0000BD890000}"/>
    <cellStyle name="40% - Accent5 5 3 2 3" xfId="2702" xr:uid="{00000000-0005-0000-0000-0000BE890000}"/>
    <cellStyle name="40% - Accent5 5 3 2 3 2" xfId="5721" xr:uid="{00000000-0005-0000-0000-0000BF890000}"/>
    <cellStyle name="40% - Accent5 5 3 2 3 2 2" xfId="11371" xr:uid="{00000000-0005-0000-0000-0000C0890000}"/>
    <cellStyle name="40% - Accent5 5 3 2 3 2 2 2" xfId="22672" xr:uid="{00000000-0005-0000-0000-0000C1890000}"/>
    <cellStyle name="40% - Accent5 5 3 2 3 2 2 2 2" xfId="45274" xr:uid="{00000000-0005-0000-0000-0000C2890000}"/>
    <cellStyle name="40% - Accent5 5 3 2 3 2 2 3" xfId="33973" xr:uid="{00000000-0005-0000-0000-0000C3890000}"/>
    <cellStyle name="40% - Accent5 5 3 2 3 2 3" xfId="17022" xr:uid="{00000000-0005-0000-0000-0000C4890000}"/>
    <cellStyle name="40% - Accent5 5 3 2 3 2 3 2" xfId="39624" xr:uid="{00000000-0005-0000-0000-0000C5890000}"/>
    <cellStyle name="40% - Accent5 5 3 2 3 2 4" xfId="28323" xr:uid="{00000000-0005-0000-0000-0000C6890000}"/>
    <cellStyle name="40% - Accent5 5 3 2 3 3" xfId="8538" xr:uid="{00000000-0005-0000-0000-0000C7890000}"/>
    <cellStyle name="40% - Accent5 5 3 2 3 3 2" xfId="19839" xr:uid="{00000000-0005-0000-0000-0000C8890000}"/>
    <cellStyle name="40% - Accent5 5 3 2 3 3 2 2" xfId="42441" xr:uid="{00000000-0005-0000-0000-0000C9890000}"/>
    <cellStyle name="40% - Accent5 5 3 2 3 3 3" xfId="31140" xr:uid="{00000000-0005-0000-0000-0000CA890000}"/>
    <cellStyle name="40% - Accent5 5 3 2 3 4" xfId="14189" xr:uid="{00000000-0005-0000-0000-0000CB890000}"/>
    <cellStyle name="40% - Accent5 5 3 2 3 4 2" xfId="36791" xr:uid="{00000000-0005-0000-0000-0000CC890000}"/>
    <cellStyle name="40% - Accent5 5 3 2 3 5" xfId="25490" xr:uid="{00000000-0005-0000-0000-0000CD890000}"/>
    <cellStyle name="40% - Accent5 5 3 2 4" xfId="4487" xr:uid="{00000000-0005-0000-0000-0000CE890000}"/>
    <cellStyle name="40% - Accent5 5 3 2 4 2" xfId="10137" xr:uid="{00000000-0005-0000-0000-0000CF890000}"/>
    <cellStyle name="40% - Accent5 5 3 2 4 2 2" xfId="21438" xr:uid="{00000000-0005-0000-0000-0000D0890000}"/>
    <cellStyle name="40% - Accent5 5 3 2 4 2 2 2" xfId="44040" xr:uid="{00000000-0005-0000-0000-0000D1890000}"/>
    <cellStyle name="40% - Accent5 5 3 2 4 2 3" xfId="32739" xr:uid="{00000000-0005-0000-0000-0000D2890000}"/>
    <cellStyle name="40% - Accent5 5 3 2 4 3" xfId="15788" xr:uid="{00000000-0005-0000-0000-0000D3890000}"/>
    <cellStyle name="40% - Accent5 5 3 2 4 3 2" xfId="38390" xr:uid="{00000000-0005-0000-0000-0000D4890000}"/>
    <cellStyle name="40% - Accent5 5 3 2 4 4" xfId="27089" xr:uid="{00000000-0005-0000-0000-0000D5890000}"/>
    <cellStyle name="40% - Accent5 5 3 2 5" xfId="7283" xr:uid="{00000000-0005-0000-0000-0000D6890000}"/>
    <cellStyle name="40% - Accent5 5 3 2 5 2" xfId="18584" xr:uid="{00000000-0005-0000-0000-0000D7890000}"/>
    <cellStyle name="40% - Accent5 5 3 2 5 2 2" xfId="41186" xr:uid="{00000000-0005-0000-0000-0000D8890000}"/>
    <cellStyle name="40% - Accent5 5 3 2 5 3" xfId="29885" xr:uid="{00000000-0005-0000-0000-0000D9890000}"/>
    <cellStyle name="40% - Accent5 5 3 2 6" xfId="12934" xr:uid="{00000000-0005-0000-0000-0000DA890000}"/>
    <cellStyle name="40% - Accent5 5 3 2 6 2" xfId="35536" xr:uid="{00000000-0005-0000-0000-0000DB890000}"/>
    <cellStyle name="40% - Accent5 5 3 2 7" xfId="24235" xr:uid="{00000000-0005-0000-0000-0000DC890000}"/>
    <cellStyle name="40% - Accent5 5 3 3" xfId="1002" xr:uid="{00000000-0005-0000-0000-0000DD890000}"/>
    <cellStyle name="40% - Accent5 5 3 3 2" xfId="3065" xr:uid="{00000000-0005-0000-0000-0000DE890000}"/>
    <cellStyle name="40% - Accent5 5 3 3 2 2" xfId="6037" xr:uid="{00000000-0005-0000-0000-0000DF890000}"/>
    <cellStyle name="40% - Accent5 5 3 3 2 2 2" xfId="11687" xr:uid="{00000000-0005-0000-0000-0000E0890000}"/>
    <cellStyle name="40% - Accent5 5 3 3 2 2 2 2" xfId="22988" xr:uid="{00000000-0005-0000-0000-0000E1890000}"/>
    <cellStyle name="40% - Accent5 5 3 3 2 2 2 2 2" xfId="45590" xr:uid="{00000000-0005-0000-0000-0000E2890000}"/>
    <cellStyle name="40% - Accent5 5 3 3 2 2 2 3" xfId="34289" xr:uid="{00000000-0005-0000-0000-0000E3890000}"/>
    <cellStyle name="40% - Accent5 5 3 3 2 2 3" xfId="17338" xr:uid="{00000000-0005-0000-0000-0000E4890000}"/>
    <cellStyle name="40% - Accent5 5 3 3 2 2 3 2" xfId="39940" xr:uid="{00000000-0005-0000-0000-0000E5890000}"/>
    <cellStyle name="40% - Accent5 5 3 3 2 2 4" xfId="28639" xr:uid="{00000000-0005-0000-0000-0000E6890000}"/>
    <cellStyle name="40% - Accent5 5 3 3 2 3" xfId="8855" xr:uid="{00000000-0005-0000-0000-0000E7890000}"/>
    <cellStyle name="40% - Accent5 5 3 3 2 3 2" xfId="20156" xr:uid="{00000000-0005-0000-0000-0000E8890000}"/>
    <cellStyle name="40% - Accent5 5 3 3 2 3 2 2" xfId="42758" xr:uid="{00000000-0005-0000-0000-0000E9890000}"/>
    <cellStyle name="40% - Accent5 5 3 3 2 3 3" xfId="31457" xr:uid="{00000000-0005-0000-0000-0000EA890000}"/>
    <cellStyle name="40% - Accent5 5 3 3 2 4" xfId="14506" xr:uid="{00000000-0005-0000-0000-0000EB890000}"/>
    <cellStyle name="40% - Accent5 5 3 3 2 4 2" xfId="37108" xr:uid="{00000000-0005-0000-0000-0000EC890000}"/>
    <cellStyle name="40% - Accent5 5 3 3 2 5" xfId="25807" xr:uid="{00000000-0005-0000-0000-0000ED890000}"/>
    <cellStyle name="40% - Accent5 5 3 3 3" xfId="4803" xr:uid="{00000000-0005-0000-0000-0000EE890000}"/>
    <cellStyle name="40% - Accent5 5 3 3 3 2" xfId="10453" xr:uid="{00000000-0005-0000-0000-0000EF890000}"/>
    <cellStyle name="40% - Accent5 5 3 3 3 2 2" xfId="21754" xr:uid="{00000000-0005-0000-0000-0000F0890000}"/>
    <cellStyle name="40% - Accent5 5 3 3 3 2 2 2" xfId="44356" xr:uid="{00000000-0005-0000-0000-0000F1890000}"/>
    <cellStyle name="40% - Accent5 5 3 3 3 2 3" xfId="33055" xr:uid="{00000000-0005-0000-0000-0000F2890000}"/>
    <cellStyle name="40% - Accent5 5 3 3 3 3" xfId="16104" xr:uid="{00000000-0005-0000-0000-0000F3890000}"/>
    <cellStyle name="40% - Accent5 5 3 3 3 3 2" xfId="38706" xr:uid="{00000000-0005-0000-0000-0000F4890000}"/>
    <cellStyle name="40% - Accent5 5 3 3 3 4" xfId="27405" xr:uid="{00000000-0005-0000-0000-0000F5890000}"/>
    <cellStyle name="40% - Accent5 5 3 3 4" xfId="6990" xr:uid="{00000000-0005-0000-0000-0000F6890000}"/>
    <cellStyle name="40% - Accent5 5 3 3 4 2" xfId="18291" xr:uid="{00000000-0005-0000-0000-0000F7890000}"/>
    <cellStyle name="40% - Accent5 5 3 3 4 2 2" xfId="40893" xr:uid="{00000000-0005-0000-0000-0000F8890000}"/>
    <cellStyle name="40% - Accent5 5 3 3 4 3" xfId="29592" xr:uid="{00000000-0005-0000-0000-0000F9890000}"/>
    <cellStyle name="40% - Accent5 5 3 3 5" xfId="12641" xr:uid="{00000000-0005-0000-0000-0000FA890000}"/>
    <cellStyle name="40% - Accent5 5 3 3 5 2" xfId="35243" xr:uid="{00000000-0005-0000-0000-0000FB890000}"/>
    <cellStyle name="40% - Accent5 5 3 3 6" xfId="23942" xr:uid="{00000000-0005-0000-0000-0000FC890000}"/>
    <cellStyle name="40% - Accent5 5 3 4" xfId="2025" xr:uid="{00000000-0005-0000-0000-0000FD890000}"/>
    <cellStyle name="40% - Accent5 5 3 4 2" xfId="3816" xr:uid="{00000000-0005-0000-0000-0000FE890000}"/>
    <cellStyle name="40% - Accent5 5 3 4 2 2" xfId="9526" xr:uid="{00000000-0005-0000-0000-0000FF890000}"/>
    <cellStyle name="40% - Accent5 5 3 4 2 2 2" xfId="20827" xr:uid="{00000000-0005-0000-0000-0000008A0000}"/>
    <cellStyle name="40% - Accent5 5 3 4 2 2 2 2" xfId="43429" xr:uid="{00000000-0005-0000-0000-0000018A0000}"/>
    <cellStyle name="40% - Accent5 5 3 4 2 2 3" xfId="32128" xr:uid="{00000000-0005-0000-0000-0000028A0000}"/>
    <cellStyle name="40% - Accent5 5 3 4 2 3" xfId="15177" xr:uid="{00000000-0005-0000-0000-0000038A0000}"/>
    <cellStyle name="40% - Accent5 5 3 4 2 3 2" xfId="37779" xr:uid="{00000000-0005-0000-0000-0000048A0000}"/>
    <cellStyle name="40% - Accent5 5 3 4 2 4" xfId="26478" xr:uid="{00000000-0005-0000-0000-0000058A0000}"/>
    <cellStyle name="40% - Accent5 5 3 4 3" xfId="5413" xr:uid="{00000000-0005-0000-0000-0000068A0000}"/>
    <cellStyle name="40% - Accent5 5 3 4 3 2" xfId="11063" xr:uid="{00000000-0005-0000-0000-0000078A0000}"/>
    <cellStyle name="40% - Accent5 5 3 4 3 2 2" xfId="22364" xr:uid="{00000000-0005-0000-0000-0000088A0000}"/>
    <cellStyle name="40% - Accent5 5 3 4 3 2 2 2" xfId="44966" xr:uid="{00000000-0005-0000-0000-0000098A0000}"/>
    <cellStyle name="40% - Accent5 5 3 4 3 2 3" xfId="33665" xr:uid="{00000000-0005-0000-0000-00000A8A0000}"/>
    <cellStyle name="40% - Accent5 5 3 4 3 3" xfId="16714" xr:uid="{00000000-0005-0000-0000-00000B8A0000}"/>
    <cellStyle name="40% - Accent5 5 3 4 3 3 2" xfId="39316" xr:uid="{00000000-0005-0000-0000-00000C8A0000}"/>
    <cellStyle name="40% - Accent5 5 3 4 3 4" xfId="28015" xr:uid="{00000000-0005-0000-0000-00000D8A0000}"/>
    <cellStyle name="40% - Accent5 5 3 4 4" xfId="7881" xr:uid="{00000000-0005-0000-0000-00000E8A0000}"/>
    <cellStyle name="40% - Accent5 5 3 4 4 2" xfId="19182" xr:uid="{00000000-0005-0000-0000-00000F8A0000}"/>
    <cellStyle name="40% - Accent5 5 3 4 4 2 2" xfId="41784" xr:uid="{00000000-0005-0000-0000-0000108A0000}"/>
    <cellStyle name="40% - Accent5 5 3 4 4 3" xfId="30483" xr:uid="{00000000-0005-0000-0000-0000118A0000}"/>
    <cellStyle name="40% - Accent5 5 3 4 5" xfId="13532" xr:uid="{00000000-0005-0000-0000-0000128A0000}"/>
    <cellStyle name="40% - Accent5 5 3 4 5 2" xfId="36134" xr:uid="{00000000-0005-0000-0000-0000138A0000}"/>
    <cellStyle name="40% - Accent5 5 3 4 6" xfId="24833" xr:uid="{00000000-0005-0000-0000-0000148A0000}"/>
    <cellStyle name="40% - Accent5 5 3 5" xfId="2394" xr:uid="{00000000-0005-0000-0000-0000158A0000}"/>
    <cellStyle name="40% - Accent5 5 3 5 2" xfId="8230" xr:uid="{00000000-0005-0000-0000-0000168A0000}"/>
    <cellStyle name="40% - Accent5 5 3 5 2 2" xfId="19531" xr:uid="{00000000-0005-0000-0000-0000178A0000}"/>
    <cellStyle name="40% - Accent5 5 3 5 2 2 2" xfId="42133" xr:uid="{00000000-0005-0000-0000-0000188A0000}"/>
    <cellStyle name="40% - Accent5 5 3 5 2 3" xfId="30832" xr:uid="{00000000-0005-0000-0000-0000198A0000}"/>
    <cellStyle name="40% - Accent5 5 3 5 3" xfId="13881" xr:uid="{00000000-0005-0000-0000-00001A8A0000}"/>
    <cellStyle name="40% - Accent5 5 3 5 3 2" xfId="36483" xr:uid="{00000000-0005-0000-0000-00001B8A0000}"/>
    <cellStyle name="40% - Accent5 5 3 5 4" xfId="25182" xr:uid="{00000000-0005-0000-0000-00001C8A0000}"/>
    <cellStyle name="40% - Accent5 5 3 6" xfId="4179" xr:uid="{00000000-0005-0000-0000-00001D8A0000}"/>
    <cellStyle name="40% - Accent5 5 3 6 2" xfId="9829" xr:uid="{00000000-0005-0000-0000-00001E8A0000}"/>
    <cellStyle name="40% - Accent5 5 3 6 2 2" xfId="21130" xr:uid="{00000000-0005-0000-0000-00001F8A0000}"/>
    <cellStyle name="40% - Accent5 5 3 6 2 2 2" xfId="43732" xr:uid="{00000000-0005-0000-0000-0000208A0000}"/>
    <cellStyle name="40% - Accent5 5 3 6 2 3" xfId="32431" xr:uid="{00000000-0005-0000-0000-0000218A0000}"/>
    <cellStyle name="40% - Accent5 5 3 6 3" xfId="15480" xr:uid="{00000000-0005-0000-0000-0000228A0000}"/>
    <cellStyle name="40% - Accent5 5 3 6 3 2" xfId="38082" xr:uid="{00000000-0005-0000-0000-0000238A0000}"/>
    <cellStyle name="40% - Accent5 5 3 6 4" xfId="26781" xr:uid="{00000000-0005-0000-0000-0000248A0000}"/>
    <cellStyle name="40% - Accent5 5 3 7" xfId="6657" xr:uid="{00000000-0005-0000-0000-0000258A0000}"/>
    <cellStyle name="40% - Accent5 5 3 7 2" xfId="17958" xr:uid="{00000000-0005-0000-0000-0000268A0000}"/>
    <cellStyle name="40% - Accent5 5 3 7 2 2" xfId="40560" xr:uid="{00000000-0005-0000-0000-0000278A0000}"/>
    <cellStyle name="40% - Accent5 5 3 7 3" xfId="29259" xr:uid="{00000000-0005-0000-0000-0000288A0000}"/>
    <cellStyle name="40% - Accent5 5 3 8" xfId="12308" xr:uid="{00000000-0005-0000-0000-0000298A0000}"/>
    <cellStyle name="40% - Accent5 5 3 8 2" xfId="34910" xr:uid="{00000000-0005-0000-0000-00002A8A0000}"/>
    <cellStyle name="40% - Accent5 5 3 9" xfId="23609" xr:uid="{00000000-0005-0000-0000-00002B8A0000}"/>
    <cellStyle name="40% - Accent5 5 4" xfId="1164" xr:uid="{00000000-0005-0000-0000-00002C8A0000}"/>
    <cellStyle name="40% - Accent5 5 4 2" xfId="2027" xr:uid="{00000000-0005-0000-0000-00002D8A0000}"/>
    <cellStyle name="40% - Accent5 5 4 2 2" xfId="3232" xr:uid="{00000000-0005-0000-0000-00002E8A0000}"/>
    <cellStyle name="40% - Accent5 5 4 2 2 2" xfId="6204" xr:uid="{00000000-0005-0000-0000-00002F8A0000}"/>
    <cellStyle name="40% - Accent5 5 4 2 2 2 2" xfId="11854" xr:uid="{00000000-0005-0000-0000-0000308A0000}"/>
    <cellStyle name="40% - Accent5 5 4 2 2 2 2 2" xfId="23155" xr:uid="{00000000-0005-0000-0000-0000318A0000}"/>
    <cellStyle name="40% - Accent5 5 4 2 2 2 2 2 2" xfId="45757" xr:uid="{00000000-0005-0000-0000-0000328A0000}"/>
    <cellStyle name="40% - Accent5 5 4 2 2 2 2 3" xfId="34456" xr:uid="{00000000-0005-0000-0000-0000338A0000}"/>
    <cellStyle name="40% - Accent5 5 4 2 2 2 3" xfId="17505" xr:uid="{00000000-0005-0000-0000-0000348A0000}"/>
    <cellStyle name="40% - Accent5 5 4 2 2 2 3 2" xfId="40107" xr:uid="{00000000-0005-0000-0000-0000358A0000}"/>
    <cellStyle name="40% - Accent5 5 4 2 2 2 4" xfId="28806" xr:uid="{00000000-0005-0000-0000-0000368A0000}"/>
    <cellStyle name="40% - Accent5 5 4 2 2 3" xfId="9022" xr:uid="{00000000-0005-0000-0000-0000378A0000}"/>
    <cellStyle name="40% - Accent5 5 4 2 2 3 2" xfId="20323" xr:uid="{00000000-0005-0000-0000-0000388A0000}"/>
    <cellStyle name="40% - Accent5 5 4 2 2 3 2 2" xfId="42925" xr:uid="{00000000-0005-0000-0000-0000398A0000}"/>
    <cellStyle name="40% - Accent5 5 4 2 2 3 3" xfId="31624" xr:uid="{00000000-0005-0000-0000-00003A8A0000}"/>
    <cellStyle name="40% - Accent5 5 4 2 2 4" xfId="14673" xr:uid="{00000000-0005-0000-0000-00003B8A0000}"/>
    <cellStyle name="40% - Accent5 5 4 2 2 4 2" xfId="37275" xr:uid="{00000000-0005-0000-0000-00003C8A0000}"/>
    <cellStyle name="40% - Accent5 5 4 2 2 5" xfId="25974" xr:uid="{00000000-0005-0000-0000-00003D8A0000}"/>
    <cellStyle name="40% - Accent5 5 4 2 3" xfId="4970" xr:uid="{00000000-0005-0000-0000-00003E8A0000}"/>
    <cellStyle name="40% - Accent5 5 4 2 3 2" xfId="10620" xr:uid="{00000000-0005-0000-0000-00003F8A0000}"/>
    <cellStyle name="40% - Accent5 5 4 2 3 2 2" xfId="21921" xr:uid="{00000000-0005-0000-0000-0000408A0000}"/>
    <cellStyle name="40% - Accent5 5 4 2 3 2 2 2" xfId="44523" xr:uid="{00000000-0005-0000-0000-0000418A0000}"/>
    <cellStyle name="40% - Accent5 5 4 2 3 2 3" xfId="33222" xr:uid="{00000000-0005-0000-0000-0000428A0000}"/>
    <cellStyle name="40% - Accent5 5 4 2 3 3" xfId="16271" xr:uid="{00000000-0005-0000-0000-0000438A0000}"/>
    <cellStyle name="40% - Accent5 5 4 2 3 3 2" xfId="38873" xr:uid="{00000000-0005-0000-0000-0000448A0000}"/>
    <cellStyle name="40% - Accent5 5 4 2 3 4" xfId="27572" xr:uid="{00000000-0005-0000-0000-0000458A0000}"/>
    <cellStyle name="40% - Accent5 5 4 2 4" xfId="7883" xr:uid="{00000000-0005-0000-0000-0000468A0000}"/>
    <cellStyle name="40% - Accent5 5 4 2 4 2" xfId="19184" xr:uid="{00000000-0005-0000-0000-0000478A0000}"/>
    <cellStyle name="40% - Accent5 5 4 2 4 2 2" xfId="41786" xr:uid="{00000000-0005-0000-0000-0000488A0000}"/>
    <cellStyle name="40% - Accent5 5 4 2 4 3" xfId="30485" xr:uid="{00000000-0005-0000-0000-0000498A0000}"/>
    <cellStyle name="40% - Accent5 5 4 2 5" xfId="13534" xr:uid="{00000000-0005-0000-0000-00004A8A0000}"/>
    <cellStyle name="40% - Accent5 5 4 2 5 2" xfId="36136" xr:uid="{00000000-0005-0000-0000-00004B8A0000}"/>
    <cellStyle name="40% - Accent5 5 4 2 6" xfId="24835" xr:uid="{00000000-0005-0000-0000-00004C8A0000}"/>
    <cellStyle name="40% - Accent5 5 4 3" xfId="2561" xr:uid="{00000000-0005-0000-0000-00004D8A0000}"/>
    <cellStyle name="40% - Accent5 5 4 3 2" xfId="5580" xr:uid="{00000000-0005-0000-0000-00004E8A0000}"/>
    <cellStyle name="40% - Accent5 5 4 3 2 2" xfId="11230" xr:uid="{00000000-0005-0000-0000-00004F8A0000}"/>
    <cellStyle name="40% - Accent5 5 4 3 2 2 2" xfId="22531" xr:uid="{00000000-0005-0000-0000-0000508A0000}"/>
    <cellStyle name="40% - Accent5 5 4 3 2 2 2 2" xfId="45133" xr:uid="{00000000-0005-0000-0000-0000518A0000}"/>
    <cellStyle name="40% - Accent5 5 4 3 2 2 3" xfId="33832" xr:uid="{00000000-0005-0000-0000-0000528A0000}"/>
    <cellStyle name="40% - Accent5 5 4 3 2 3" xfId="16881" xr:uid="{00000000-0005-0000-0000-0000538A0000}"/>
    <cellStyle name="40% - Accent5 5 4 3 2 3 2" xfId="39483" xr:uid="{00000000-0005-0000-0000-0000548A0000}"/>
    <cellStyle name="40% - Accent5 5 4 3 2 4" xfId="28182" xr:uid="{00000000-0005-0000-0000-0000558A0000}"/>
    <cellStyle name="40% - Accent5 5 4 3 3" xfId="8397" xr:uid="{00000000-0005-0000-0000-0000568A0000}"/>
    <cellStyle name="40% - Accent5 5 4 3 3 2" xfId="19698" xr:uid="{00000000-0005-0000-0000-0000578A0000}"/>
    <cellStyle name="40% - Accent5 5 4 3 3 2 2" xfId="42300" xr:uid="{00000000-0005-0000-0000-0000588A0000}"/>
    <cellStyle name="40% - Accent5 5 4 3 3 3" xfId="30999" xr:uid="{00000000-0005-0000-0000-0000598A0000}"/>
    <cellStyle name="40% - Accent5 5 4 3 4" xfId="14048" xr:uid="{00000000-0005-0000-0000-00005A8A0000}"/>
    <cellStyle name="40% - Accent5 5 4 3 4 2" xfId="36650" xr:uid="{00000000-0005-0000-0000-00005B8A0000}"/>
    <cellStyle name="40% - Accent5 5 4 3 5" xfId="25349" xr:uid="{00000000-0005-0000-0000-00005C8A0000}"/>
    <cellStyle name="40% - Accent5 5 4 4" xfId="4346" xr:uid="{00000000-0005-0000-0000-00005D8A0000}"/>
    <cellStyle name="40% - Accent5 5 4 4 2" xfId="9996" xr:uid="{00000000-0005-0000-0000-00005E8A0000}"/>
    <cellStyle name="40% - Accent5 5 4 4 2 2" xfId="21297" xr:uid="{00000000-0005-0000-0000-00005F8A0000}"/>
    <cellStyle name="40% - Accent5 5 4 4 2 2 2" xfId="43899" xr:uid="{00000000-0005-0000-0000-0000608A0000}"/>
    <cellStyle name="40% - Accent5 5 4 4 2 3" xfId="32598" xr:uid="{00000000-0005-0000-0000-0000618A0000}"/>
    <cellStyle name="40% - Accent5 5 4 4 3" xfId="15647" xr:uid="{00000000-0005-0000-0000-0000628A0000}"/>
    <cellStyle name="40% - Accent5 5 4 4 3 2" xfId="38249" xr:uid="{00000000-0005-0000-0000-0000638A0000}"/>
    <cellStyle name="40% - Accent5 5 4 4 4" xfId="26948" xr:uid="{00000000-0005-0000-0000-0000648A0000}"/>
    <cellStyle name="40% - Accent5 5 4 5" xfId="7143" xr:uid="{00000000-0005-0000-0000-0000658A0000}"/>
    <cellStyle name="40% - Accent5 5 4 5 2" xfId="18444" xr:uid="{00000000-0005-0000-0000-0000668A0000}"/>
    <cellStyle name="40% - Accent5 5 4 5 2 2" xfId="41046" xr:uid="{00000000-0005-0000-0000-0000678A0000}"/>
    <cellStyle name="40% - Accent5 5 4 5 3" xfId="29745" xr:uid="{00000000-0005-0000-0000-0000688A0000}"/>
    <cellStyle name="40% - Accent5 5 4 6" xfId="12794" xr:uid="{00000000-0005-0000-0000-0000698A0000}"/>
    <cellStyle name="40% - Accent5 5 4 6 2" xfId="35396" xr:uid="{00000000-0005-0000-0000-00006A8A0000}"/>
    <cellStyle name="40% - Accent5 5 4 7" xfId="24095" xr:uid="{00000000-0005-0000-0000-00006B8A0000}"/>
    <cellStyle name="40% - Accent5 5 5" xfId="844" xr:uid="{00000000-0005-0000-0000-00006C8A0000}"/>
    <cellStyle name="40% - Accent5 5 5 2" xfId="2925" xr:uid="{00000000-0005-0000-0000-00006D8A0000}"/>
    <cellStyle name="40% - Accent5 5 5 2 2" xfId="5897" xr:uid="{00000000-0005-0000-0000-00006E8A0000}"/>
    <cellStyle name="40% - Accent5 5 5 2 2 2" xfId="11547" xr:uid="{00000000-0005-0000-0000-00006F8A0000}"/>
    <cellStyle name="40% - Accent5 5 5 2 2 2 2" xfId="22848" xr:uid="{00000000-0005-0000-0000-0000708A0000}"/>
    <cellStyle name="40% - Accent5 5 5 2 2 2 2 2" xfId="45450" xr:uid="{00000000-0005-0000-0000-0000718A0000}"/>
    <cellStyle name="40% - Accent5 5 5 2 2 2 3" xfId="34149" xr:uid="{00000000-0005-0000-0000-0000728A0000}"/>
    <cellStyle name="40% - Accent5 5 5 2 2 3" xfId="17198" xr:uid="{00000000-0005-0000-0000-0000738A0000}"/>
    <cellStyle name="40% - Accent5 5 5 2 2 3 2" xfId="39800" xr:uid="{00000000-0005-0000-0000-0000748A0000}"/>
    <cellStyle name="40% - Accent5 5 5 2 2 4" xfId="28499" xr:uid="{00000000-0005-0000-0000-0000758A0000}"/>
    <cellStyle name="40% - Accent5 5 5 2 3" xfId="8715" xr:uid="{00000000-0005-0000-0000-0000768A0000}"/>
    <cellStyle name="40% - Accent5 5 5 2 3 2" xfId="20016" xr:uid="{00000000-0005-0000-0000-0000778A0000}"/>
    <cellStyle name="40% - Accent5 5 5 2 3 2 2" xfId="42618" xr:uid="{00000000-0005-0000-0000-0000788A0000}"/>
    <cellStyle name="40% - Accent5 5 5 2 3 3" xfId="31317" xr:uid="{00000000-0005-0000-0000-0000798A0000}"/>
    <cellStyle name="40% - Accent5 5 5 2 4" xfId="14366" xr:uid="{00000000-0005-0000-0000-00007A8A0000}"/>
    <cellStyle name="40% - Accent5 5 5 2 4 2" xfId="36968" xr:uid="{00000000-0005-0000-0000-00007B8A0000}"/>
    <cellStyle name="40% - Accent5 5 5 2 5" xfId="25667" xr:uid="{00000000-0005-0000-0000-00007C8A0000}"/>
    <cellStyle name="40% - Accent5 5 5 3" xfId="4663" xr:uid="{00000000-0005-0000-0000-00007D8A0000}"/>
    <cellStyle name="40% - Accent5 5 5 3 2" xfId="10313" xr:uid="{00000000-0005-0000-0000-00007E8A0000}"/>
    <cellStyle name="40% - Accent5 5 5 3 2 2" xfId="21614" xr:uid="{00000000-0005-0000-0000-00007F8A0000}"/>
    <cellStyle name="40% - Accent5 5 5 3 2 2 2" xfId="44216" xr:uid="{00000000-0005-0000-0000-0000808A0000}"/>
    <cellStyle name="40% - Accent5 5 5 3 2 3" xfId="32915" xr:uid="{00000000-0005-0000-0000-0000818A0000}"/>
    <cellStyle name="40% - Accent5 5 5 3 3" xfId="15964" xr:uid="{00000000-0005-0000-0000-0000828A0000}"/>
    <cellStyle name="40% - Accent5 5 5 3 3 2" xfId="38566" xr:uid="{00000000-0005-0000-0000-0000838A0000}"/>
    <cellStyle name="40% - Accent5 5 5 3 4" xfId="27265" xr:uid="{00000000-0005-0000-0000-0000848A0000}"/>
    <cellStyle name="40% - Accent5 5 5 4" xfId="6849" xr:uid="{00000000-0005-0000-0000-0000858A0000}"/>
    <cellStyle name="40% - Accent5 5 5 4 2" xfId="18150" xr:uid="{00000000-0005-0000-0000-0000868A0000}"/>
    <cellStyle name="40% - Accent5 5 5 4 2 2" xfId="40752" xr:uid="{00000000-0005-0000-0000-0000878A0000}"/>
    <cellStyle name="40% - Accent5 5 5 4 3" xfId="29451" xr:uid="{00000000-0005-0000-0000-0000888A0000}"/>
    <cellStyle name="40% - Accent5 5 5 5" xfId="12500" xr:uid="{00000000-0005-0000-0000-0000898A0000}"/>
    <cellStyle name="40% - Accent5 5 5 5 2" xfId="35102" xr:uid="{00000000-0005-0000-0000-00008A8A0000}"/>
    <cellStyle name="40% - Accent5 5 5 6" xfId="23801" xr:uid="{00000000-0005-0000-0000-00008B8A0000}"/>
    <cellStyle name="40% - Accent5 5 6" xfId="2020" xr:uid="{00000000-0005-0000-0000-00008C8A0000}"/>
    <cellStyle name="40% - Accent5 5 6 2" xfId="3812" xr:uid="{00000000-0005-0000-0000-00008D8A0000}"/>
    <cellStyle name="40% - Accent5 5 6 2 2" xfId="9522" xr:uid="{00000000-0005-0000-0000-00008E8A0000}"/>
    <cellStyle name="40% - Accent5 5 6 2 2 2" xfId="20823" xr:uid="{00000000-0005-0000-0000-00008F8A0000}"/>
    <cellStyle name="40% - Accent5 5 6 2 2 2 2" xfId="43425" xr:uid="{00000000-0005-0000-0000-0000908A0000}"/>
    <cellStyle name="40% - Accent5 5 6 2 2 3" xfId="32124" xr:uid="{00000000-0005-0000-0000-0000918A0000}"/>
    <cellStyle name="40% - Accent5 5 6 2 3" xfId="15173" xr:uid="{00000000-0005-0000-0000-0000928A0000}"/>
    <cellStyle name="40% - Accent5 5 6 2 3 2" xfId="37775" xr:uid="{00000000-0005-0000-0000-0000938A0000}"/>
    <cellStyle name="40% - Accent5 5 6 2 4" xfId="26474" xr:uid="{00000000-0005-0000-0000-0000948A0000}"/>
    <cellStyle name="40% - Accent5 5 6 3" xfId="5273" xr:uid="{00000000-0005-0000-0000-0000958A0000}"/>
    <cellStyle name="40% - Accent5 5 6 3 2" xfId="10923" xr:uid="{00000000-0005-0000-0000-0000968A0000}"/>
    <cellStyle name="40% - Accent5 5 6 3 2 2" xfId="22224" xr:uid="{00000000-0005-0000-0000-0000978A0000}"/>
    <cellStyle name="40% - Accent5 5 6 3 2 2 2" xfId="44826" xr:uid="{00000000-0005-0000-0000-0000988A0000}"/>
    <cellStyle name="40% - Accent5 5 6 3 2 3" xfId="33525" xr:uid="{00000000-0005-0000-0000-0000998A0000}"/>
    <cellStyle name="40% - Accent5 5 6 3 3" xfId="16574" xr:uid="{00000000-0005-0000-0000-00009A8A0000}"/>
    <cellStyle name="40% - Accent5 5 6 3 3 2" xfId="39176" xr:uid="{00000000-0005-0000-0000-00009B8A0000}"/>
    <cellStyle name="40% - Accent5 5 6 3 4" xfId="27875" xr:uid="{00000000-0005-0000-0000-00009C8A0000}"/>
    <cellStyle name="40% - Accent5 5 6 4" xfId="7876" xr:uid="{00000000-0005-0000-0000-00009D8A0000}"/>
    <cellStyle name="40% - Accent5 5 6 4 2" xfId="19177" xr:uid="{00000000-0005-0000-0000-00009E8A0000}"/>
    <cellStyle name="40% - Accent5 5 6 4 2 2" xfId="41779" xr:uid="{00000000-0005-0000-0000-00009F8A0000}"/>
    <cellStyle name="40% - Accent5 5 6 4 3" xfId="30478" xr:uid="{00000000-0005-0000-0000-0000A08A0000}"/>
    <cellStyle name="40% - Accent5 5 6 5" xfId="13527" xr:uid="{00000000-0005-0000-0000-0000A18A0000}"/>
    <cellStyle name="40% - Accent5 5 6 5 2" xfId="36129" xr:uid="{00000000-0005-0000-0000-0000A28A0000}"/>
    <cellStyle name="40% - Accent5 5 6 6" xfId="24828" xr:uid="{00000000-0005-0000-0000-0000A38A0000}"/>
    <cellStyle name="40% - Accent5 5 7" xfId="2246" xr:uid="{00000000-0005-0000-0000-0000A48A0000}"/>
    <cellStyle name="40% - Accent5 5 7 2" xfId="8087" xr:uid="{00000000-0005-0000-0000-0000A58A0000}"/>
    <cellStyle name="40% - Accent5 5 7 2 2" xfId="19388" xr:uid="{00000000-0005-0000-0000-0000A68A0000}"/>
    <cellStyle name="40% - Accent5 5 7 2 2 2" xfId="41990" xr:uid="{00000000-0005-0000-0000-0000A78A0000}"/>
    <cellStyle name="40% - Accent5 5 7 2 3" xfId="30689" xr:uid="{00000000-0005-0000-0000-0000A88A0000}"/>
    <cellStyle name="40% - Accent5 5 7 3" xfId="13738" xr:uid="{00000000-0005-0000-0000-0000A98A0000}"/>
    <cellStyle name="40% - Accent5 5 7 3 2" xfId="36340" xr:uid="{00000000-0005-0000-0000-0000AA8A0000}"/>
    <cellStyle name="40% - Accent5 5 7 4" xfId="25039" xr:uid="{00000000-0005-0000-0000-0000AB8A0000}"/>
    <cellStyle name="40% - Accent5 5 8" xfId="4039" xr:uid="{00000000-0005-0000-0000-0000AC8A0000}"/>
    <cellStyle name="40% - Accent5 5 8 2" xfId="9689" xr:uid="{00000000-0005-0000-0000-0000AD8A0000}"/>
    <cellStyle name="40% - Accent5 5 8 2 2" xfId="20990" xr:uid="{00000000-0005-0000-0000-0000AE8A0000}"/>
    <cellStyle name="40% - Accent5 5 8 2 2 2" xfId="43592" xr:uid="{00000000-0005-0000-0000-0000AF8A0000}"/>
    <cellStyle name="40% - Accent5 5 8 2 3" xfId="32291" xr:uid="{00000000-0005-0000-0000-0000B08A0000}"/>
    <cellStyle name="40% - Accent5 5 8 3" xfId="15340" xr:uid="{00000000-0005-0000-0000-0000B18A0000}"/>
    <cellStyle name="40% - Accent5 5 8 3 2" xfId="37942" xr:uid="{00000000-0005-0000-0000-0000B28A0000}"/>
    <cellStyle name="40% - Accent5 5 8 4" xfId="26641" xr:uid="{00000000-0005-0000-0000-0000B38A0000}"/>
    <cellStyle name="40% - Accent5 5 9" xfId="6490" xr:uid="{00000000-0005-0000-0000-0000B48A0000}"/>
    <cellStyle name="40% - Accent5 5 9 2" xfId="17791" xr:uid="{00000000-0005-0000-0000-0000B58A0000}"/>
    <cellStyle name="40% - Accent5 5 9 2 2" xfId="40393" xr:uid="{00000000-0005-0000-0000-0000B68A0000}"/>
    <cellStyle name="40% - Accent5 5 9 3" xfId="29092" xr:uid="{00000000-0005-0000-0000-0000B78A0000}"/>
    <cellStyle name="40% - Accent5 6" xfId="298" xr:uid="{00000000-0005-0000-0000-0000B88A0000}"/>
    <cellStyle name="40% - Accent5 7" xfId="400" xr:uid="{00000000-0005-0000-0000-0000B98A0000}"/>
    <cellStyle name="40% - Accent5 7 10" xfId="23495" xr:uid="{00000000-0005-0000-0000-0000BA8A0000}"/>
    <cellStyle name="40% - Accent5 7 2" xfId="645" xr:uid="{00000000-0005-0000-0000-0000BB8A0000}"/>
    <cellStyle name="40% - Accent5 7 2 2" xfId="1355" xr:uid="{00000000-0005-0000-0000-0000BC8A0000}"/>
    <cellStyle name="40% - Accent5 7 2 2 2" xfId="2030" xr:uid="{00000000-0005-0000-0000-0000BD8A0000}"/>
    <cellStyle name="40% - Accent5 7 2 2 2 2" xfId="3424" xr:uid="{00000000-0005-0000-0000-0000BE8A0000}"/>
    <cellStyle name="40% - Accent5 7 2 2 2 2 2" xfId="6396" xr:uid="{00000000-0005-0000-0000-0000BF8A0000}"/>
    <cellStyle name="40% - Accent5 7 2 2 2 2 2 2" xfId="12046" xr:uid="{00000000-0005-0000-0000-0000C08A0000}"/>
    <cellStyle name="40% - Accent5 7 2 2 2 2 2 2 2" xfId="23347" xr:uid="{00000000-0005-0000-0000-0000C18A0000}"/>
    <cellStyle name="40% - Accent5 7 2 2 2 2 2 2 2 2" xfId="45949" xr:uid="{00000000-0005-0000-0000-0000C28A0000}"/>
    <cellStyle name="40% - Accent5 7 2 2 2 2 2 2 3" xfId="34648" xr:uid="{00000000-0005-0000-0000-0000C38A0000}"/>
    <cellStyle name="40% - Accent5 7 2 2 2 2 2 3" xfId="17697" xr:uid="{00000000-0005-0000-0000-0000C48A0000}"/>
    <cellStyle name="40% - Accent5 7 2 2 2 2 2 3 2" xfId="40299" xr:uid="{00000000-0005-0000-0000-0000C58A0000}"/>
    <cellStyle name="40% - Accent5 7 2 2 2 2 2 4" xfId="28998" xr:uid="{00000000-0005-0000-0000-0000C68A0000}"/>
    <cellStyle name="40% - Accent5 7 2 2 2 2 3" xfId="9214" xr:uid="{00000000-0005-0000-0000-0000C78A0000}"/>
    <cellStyle name="40% - Accent5 7 2 2 2 2 3 2" xfId="20515" xr:uid="{00000000-0005-0000-0000-0000C88A0000}"/>
    <cellStyle name="40% - Accent5 7 2 2 2 2 3 2 2" xfId="43117" xr:uid="{00000000-0005-0000-0000-0000C98A0000}"/>
    <cellStyle name="40% - Accent5 7 2 2 2 2 3 3" xfId="31816" xr:uid="{00000000-0005-0000-0000-0000CA8A0000}"/>
    <cellStyle name="40% - Accent5 7 2 2 2 2 4" xfId="14865" xr:uid="{00000000-0005-0000-0000-0000CB8A0000}"/>
    <cellStyle name="40% - Accent5 7 2 2 2 2 4 2" xfId="37467" xr:uid="{00000000-0005-0000-0000-0000CC8A0000}"/>
    <cellStyle name="40% - Accent5 7 2 2 2 2 5" xfId="26166" xr:uid="{00000000-0005-0000-0000-0000CD8A0000}"/>
    <cellStyle name="40% - Accent5 7 2 2 2 3" xfId="5162" xr:uid="{00000000-0005-0000-0000-0000CE8A0000}"/>
    <cellStyle name="40% - Accent5 7 2 2 2 3 2" xfId="10812" xr:uid="{00000000-0005-0000-0000-0000CF8A0000}"/>
    <cellStyle name="40% - Accent5 7 2 2 2 3 2 2" xfId="22113" xr:uid="{00000000-0005-0000-0000-0000D08A0000}"/>
    <cellStyle name="40% - Accent5 7 2 2 2 3 2 2 2" xfId="44715" xr:uid="{00000000-0005-0000-0000-0000D18A0000}"/>
    <cellStyle name="40% - Accent5 7 2 2 2 3 2 3" xfId="33414" xr:uid="{00000000-0005-0000-0000-0000D28A0000}"/>
    <cellStyle name="40% - Accent5 7 2 2 2 3 3" xfId="16463" xr:uid="{00000000-0005-0000-0000-0000D38A0000}"/>
    <cellStyle name="40% - Accent5 7 2 2 2 3 3 2" xfId="39065" xr:uid="{00000000-0005-0000-0000-0000D48A0000}"/>
    <cellStyle name="40% - Accent5 7 2 2 2 3 4" xfId="27764" xr:uid="{00000000-0005-0000-0000-0000D58A0000}"/>
    <cellStyle name="40% - Accent5 7 2 2 2 4" xfId="7886" xr:uid="{00000000-0005-0000-0000-0000D68A0000}"/>
    <cellStyle name="40% - Accent5 7 2 2 2 4 2" xfId="19187" xr:uid="{00000000-0005-0000-0000-0000D78A0000}"/>
    <cellStyle name="40% - Accent5 7 2 2 2 4 2 2" xfId="41789" xr:uid="{00000000-0005-0000-0000-0000D88A0000}"/>
    <cellStyle name="40% - Accent5 7 2 2 2 4 3" xfId="30488" xr:uid="{00000000-0005-0000-0000-0000D98A0000}"/>
    <cellStyle name="40% - Accent5 7 2 2 2 5" xfId="13537" xr:uid="{00000000-0005-0000-0000-0000DA8A0000}"/>
    <cellStyle name="40% - Accent5 7 2 2 2 5 2" xfId="36139" xr:uid="{00000000-0005-0000-0000-0000DB8A0000}"/>
    <cellStyle name="40% - Accent5 7 2 2 2 6" xfId="24838" xr:uid="{00000000-0005-0000-0000-0000DC8A0000}"/>
    <cellStyle name="40% - Accent5 7 2 2 3" xfId="2753" xr:uid="{00000000-0005-0000-0000-0000DD8A0000}"/>
    <cellStyle name="40% - Accent5 7 2 2 3 2" xfId="5772" xr:uid="{00000000-0005-0000-0000-0000DE8A0000}"/>
    <cellStyle name="40% - Accent5 7 2 2 3 2 2" xfId="11422" xr:uid="{00000000-0005-0000-0000-0000DF8A0000}"/>
    <cellStyle name="40% - Accent5 7 2 2 3 2 2 2" xfId="22723" xr:uid="{00000000-0005-0000-0000-0000E08A0000}"/>
    <cellStyle name="40% - Accent5 7 2 2 3 2 2 2 2" xfId="45325" xr:uid="{00000000-0005-0000-0000-0000E18A0000}"/>
    <cellStyle name="40% - Accent5 7 2 2 3 2 2 3" xfId="34024" xr:uid="{00000000-0005-0000-0000-0000E28A0000}"/>
    <cellStyle name="40% - Accent5 7 2 2 3 2 3" xfId="17073" xr:uid="{00000000-0005-0000-0000-0000E38A0000}"/>
    <cellStyle name="40% - Accent5 7 2 2 3 2 3 2" xfId="39675" xr:uid="{00000000-0005-0000-0000-0000E48A0000}"/>
    <cellStyle name="40% - Accent5 7 2 2 3 2 4" xfId="28374" xr:uid="{00000000-0005-0000-0000-0000E58A0000}"/>
    <cellStyle name="40% - Accent5 7 2 2 3 3" xfId="8589" xr:uid="{00000000-0005-0000-0000-0000E68A0000}"/>
    <cellStyle name="40% - Accent5 7 2 2 3 3 2" xfId="19890" xr:uid="{00000000-0005-0000-0000-0000E78A0000}"/>
    <cellStyle name="40% - Accent5 7 2 2 3 3 2 2" xfId="42492" xr:uid="{00000000-0005-0000-0000-0000E88A0000}"/>
    <cellStyle name="40% - Accent5 7 2 2 3 3 3" xfId="31191" xr:uid="{00000000-0005-0000-0000-0000E98A0000}"/>
    <cellStyle name="40% - Accent5 7 2 2 3 4" xfId="14240" xr:uid="{00000000-0005-0000-0000-0000EA8A0000}"/>
    <cellStyle name="40% - Accent5 7 2 2 3 4 2" xfId="36842" xr:uid="{00000000-0005-0000-0000-0000EB8A0000}"/>
    <cellStyle name="40% - Accent5 7 2 2 3 5" xfId="25541" xr:uid="{00000000-0005-0000-0000-0000EC8A0000}"/>
    <cellStyle name="40% - Accent5 7 2 2 4" xfId="4538" xr:uid="{00000000-0005-0000-0000-0000ED8A0000}"/>
    <cellStyle name="40% - Accent5 7 2 2 4 2" xfId="10188" xr:uid="{00000000-0005-0000-0000-0000EE8A0000}"/>
    <cellStyle name="40% - Accent5 7 2 2 4 2 2" xfId="21489" xr:uid="{00000000-0005-0000-0000-0000EF8A0000}"/>
    <cellStyle name="40% - Accent5 7 2 2 4 2 2 2" xfId="44091" xr:uid="{00000000-0005-0000-0000-0000F08A0000}"/>
    <cellStyle name="40% - Accent5 7 2 2 4 2 3" xfId="32790" xr:uid="{00000000-0005-0000-0000-0000F18A0000}"/>
    <cellStyle name="40% - Accent5 7 2 2 4 3" xfId="15839" xr:uid="{00000000-0005-0000-0000-0000F28A0000}"/>
    <cellStyle name="40% - Accent5 7 2 2 4 3 2" xfId="38441" xr:uid="{00000000-0005-0000-0000-0000F38A0000}"/>
    <cellStyle name="40% - Accent5 7 2 2 4 4" xfId="27140" xr:uid="{00000000-0005-0000-0000-0000F48A0000}"/>
    <cellStyle name="40% - Accent5 7 2 2 5" xfId="7334" xr:uid="{00000000-0005-0000-0000-0000F58A0000}"/>
    <cellStyle name="40% - Accent5 7 2 2 5 2" xfId="18635" xr:uid="{00000000-0005-0000-0000-0000F68A0000}"/>
    <cellStyle name="40% - Accent5 7 2 2 5 2 2" xfId="41237" xr:uid="{00000000-0005-0000-0000-0000F78A0000}"/>
    <cellStyle name="40% - Accent5 7 2 2 5 3" xfId="29936" xr:uid="{00000000-0005-0000-0000-0000F88A0000}"/>
    <cellStyle name="40% - Accent5 7 2 2 6" xfId="12985" xr:uid="{00000000-0005-0000-0000-0000F98A0000}"/>
    <cellStyle name="40% - Accent5 7 2 2 6 2" xfId="35587" xr:uid="{00000000-0005-0000-0000-0000FA8A0000}"/>
    <cellStyle name="40% - Accent5 7 2 2 7" xfId="24286" xr:uid="{00000000-0005-0000-0000-0000FB8A0000}"/>
    <cellStyle name="40% - Accent5 7 2 3" xfId="1053" xr:uid="{00000000-0005-0000-0000-0000FC8A0000}"/>
    <cellStyle name="40% - Accent5 7 2 3 2" xfId="3116" xr:uid="{00000000-0005-0000-0000-0000FD8A0000}"/>
    <cellStyle name="40% - Accent5 7 2 3 2 2" xfId="6088" xr:uid="{00000000-0005-0000-0000-0000FE8A0000}"/>
    <cellStyle name="40% - Accent5 7 2 3 2 2 2" xfId="11738" xr:uid="{00000000-0005-0000-0000-0000FF8A0000}"/>
    <cellStyle name="40% - Accent5 7 2 3 2 2 2 2" xfId="23039" xr:uid="{00000000-0005-0000-0000-0000008B0000}"/>
    <cellStyle name="40% - Accent5 7 2 3 2 2 2 2 2" xfId="45641" xr:uid="{00000000-0005-0000-0000-0000018B0000}"/>
    <cellStyle name="40% - Accent5 7 2 3 2 2 2 3" xfId="34340" xr:uid="{00000000-0005-0000-0000-0000028B0000}"/>
    <cellStyle name="40% - Accent5 7 2 3 2 2 3" xfId="17389" xr:uid="{00000000-0005-0000-0000-0000038B0000}"/>
    <cellStyle name="40% - Accent5 7 2 3 2 2 3 2" xfId="39991" xr:uid="{00000000-0005-0000-0000-0000048B0000}"/>
    <cellStyle name="40% - Accent5 7 2 3 2 2 4" xfId="28690" xr:uid="{00000000-0005-0000-0000-0000058B0000}"/>
    <cellStyle name="40% - Accent5 7 2 3 2 3" xfId="8906" xr:uid="{00000000-0005-0000-0000-0000068B0000}"/>
    <cellStyle name="40% - Accent5 7 2 3 2 3 2" xfId="20207" xr:uid="{00000000-0005-0000-0000-0000078B0000}"/>
    <cellStyle name="40% - Accent5 7 2 3 2 3 2 2" xfId="42809" xr:uid="{00000000-0005-0000-0000-0000088B0000}"/>
    <cellStyle name="40% - Accent5 7 2 3 2 3 3" xfId="31508" xr:uid="{00000000-0005-0000-0000-0000098B0000}"/>
    <cellStyle name="40% - Accent5 7 2 3 2 4" xfId="14557" xr:uid="{00000000-0005-0000-0000-00000A8B0000}"/>
    <cellStyle name="40% - Accent5 7 2 3 2 4 2" xfId="37159" xr:uid="{00000000-0005-0000-0000-00000B8B0000}"/>
    <cellStyle name="40% - Accent5 7 2 3 2 5" xfId="25858" xr:uid="{00000000-0005-0000-0000-00000C8B0000}"/>
    <cellStyle name="40% - Accent5 7 2 3 3" xfId="4854" xr:uid="{00000000-0005-0000-0000-00000D8B0000}"/>
    <cellStyle name="40% - Accent5 7 2 3 3 2" xfId="10504" xr:uid="{00000000-0005-0000-0000-00000E8B0000}"/>
    <cellStyle name="40% - Accent5 7 2 3 3 2 2" xfId="21805" xr:uid="{00000000-0005-0000-0000-00000F8B0000}"/>
    <cellStyle name="40% - Accent5 7 2 3 3 2 2 2" xfId="44407" xr:uid="{00000000-0005-0000-0000-0000108B0000}"/>
    <cellStyle name="40% - Accent5 7 2 3 3 2 3" xfId="33106" xr:uid="{00000000-0005-0000-0000-0000118B0000}"/>
    <cellStyle name="40% - Accent5 7 2 3 3 3" xfId="16155" xr:uid="{00000000-0005-0000-0000-0000128B0000}"/>
    <cellStyle name="40% - Accent5 7 2 3 3 3 2" xfId="38757" xr:uid="{00000000-0005-0000-0000-0000138B0000}"/>
    <cellStyle name="40% - Accent5 7 2 3 3 4" xfId="27456" xr:uid="{00000000-0005-0000-0000-0000148B0000}"/>
    <cellStyle name="40% - Accent5 7 2 3 4" xfId="7041" xr:uid="{00000000-0005-0000-0000-0000158B0000}"/>
    <cellStyle name="40% - Accent5 7 2 3 4 2" xfId="18342" xr:uid="{00000000-0005-0000-0000-0000168B0000}"/>
    <cellStyle name="40% - Accent5 7 2 3 4 2 2" xfId="40944" xr:uid="{00000000-0005-0000-0000-0000178B0000}"/>
    <cellStyle name="40% - Accent5 7 2 3 4 3" xfId="29643" xr:uid="{00000000-0005-0000-0000-0000188B0000}"/>
    <cellStyle name="40% - Accent5 7 2 3 5" xfId="12692" xr:uid="{00000000-0005-0000-0000-0000198B0000}"/>
    <cellStyle name="40% - Accent5 7 2 3 5 2" xfId="35294" xr:uid="{00000000-0005-0000-0000-00001A8B0000}"/>
    <cellStyle name="40% - Accent5 7 2 3 6" xfId="23993" xr:uid="{00000000-0005-0000-0000-00001B8B0000}"/>
    <cellStyle name="40% - Accent5 7 2 4" xfId="2029" xr:uid="{00000000-0005-0000-0000-00001C8B0000}"/>
    <cellStyle name="40% - Accent5 7 2 4 2" xfId="3818" xr:uid="{00000000-0005-0000-0000-00001D8B0000}"/>
    <cellStyle name="40% - Accent5 7 2 4 2 2" xfId="9528" xr:uid="{00000000-0005-0000-0000-00001E8B0000}"/>
    <cellStyle name="40% - Accent5 7 2 4 2 2 2" xfId="20829" xr:uid="{00000000-0005-0000-0000-00001F8B0000}"/>
    <cellStyle name="40% - Accent5 7 2 4 2 2 2 2" xfId="43431" xr:uid="{00000000-0005-0000-0000-0000208B0000}"/>
    <cellStyle name="40% - Accent5 7 2 4 2 2 3" xfId="32130" xr:uid="{00000000-0005-0000-0000-0000218B0000}"/>
    <cellStyle name="40% - Accent5 7 2 4 2 3" xfId="15179" xr:uid="{00000000-0005-0000-0000-0000228B0000}"/>
    <cellStyle name="40% - Accent5 7 2 4 2 3 2" xfId="37781" xr:uid="{00000000-0005-0000-0000-0000238B0000}"/>
    <cellStyle name="40% - Accent5 7 2 4 2 4" xfId="26480" xr:uid="{00000000-0005-0000-0000-0000248B0000}"/>
    <cellStyle name="40% - Accent5 7 2 4 3" xfId="5464" xr:uid="{00000000-0005-0000-0000-0000258B0000}"/>
    <cellStyle name="40% - Accent5 7 2 4 3 2" xfId="11114" xr:uid="{00000000-0005-0000-0000-0000268B0000}"/>
    <cellStyle name="40% - Accent5 7 2 4 3 2 2" xfId="22415" xr:uid="{00000000-0005-0000-0000-0000278B0000}"/>
    <cellStyle name="40% - Accent5 7 2 4 3 2 2 2" xfId="45017" xr:uid="{00000000-0005-0000-0000-0000288B0000}"/>
    <cellStyle name="40% - Accent5 7 2 4 3 2 3" xfId="33716" xr:uid="{00000000-0005-0000-0000-0000298B0000}"/>
    <cellStyle name="40% - Accent5 7 2 4 3 3" xfId="16765" xr:uid="{00000000-0005-0000-0000-00002A8B0000}"/>
    <cellStyle name="40% - Accent5 7 2 4 3 3 2" xfId="39367" xr:uid="{00000000-0005-0000-0000-00002B8B0000}"/>
    <cellStyle name="40% - Accent5 7 2 4 3 4" xfId="28066" xr:uid="{00000000-0005-0000-0000-00002C8B0000}"/>
    <cellStyle name="40% - Accent5 7 2 4 4" xfId="7885" xr:uid="{00000000-0005-0000-0000-00002D8B0000}"/>
    <cellStyle name="40% - Accent5 7 2 4 4 2" xfId="19186" xr:uid="{00000000-0005-0000-0000-00002E8B0000}"/>
    <cellStyle name="40% - Accent5 7 2 4 4 2 2" xfId="41788" xr:uid="{00000000-0005-0000-0000-00002F8B0000}"/>
    <cellStyle name="40% - Accent5 7 2 4 4 3" xfId="30487" xr:uid="{00000000-0005-0000-0000-0000308B0000}"/>
    <cellStyle name="40% - Accent5 7 2 4 5" xfId="13536" xr:uid="{00000000-0005-0000-0000-0000318B0000}"/>
    <cellStyle name="40% - Accent5 7 2 4 5 2" xfId="36138" xr:uid="{00000000-0005-0000-0000-0000328B0000}"/>
    <cellStyle name="40% - Accent5 7 2 4 6" xfId="24837" xr:uid="{00000000-0005-0000-0000-0000338B0000}"/>
    <cellStyle name="40% - Accent5 7 2 5" xfId="2445" xr:uid="{00000000-0005-0000-0000-0000348B0000}"/>
    <cellStyle name="40% - Accent5 7 2 5 2" xfId="8281" xr:uid="{00000000-0005-0000-0000-0000358B0000}"/>
    <cellStyle name="40% - Accent5 7 2 5 2 2" xfId="19582" xr:uid="{00000000-0005-0000-0000-0000368B0000}"/>
    <cellStyle name="40% - Accent5 7 2 5 2 2 2" xfId="42184" xr:uid="{00000000-0005-0000-0000-0000378B0000}"/>
    <cellStyle name="40% - Accent5 7 2 5 2 3" xfId="30883" xr:uid="{00000000-0005-0000-0000-0000388B0000}"/>
    <cellStyle name="40% - Accent5 7 2 5 3" xfId="13932" xr:uid="{00000000-0005-0000-0000-0000398B0000}"/>
    <cellStyle name="40% - Accent5 7 2 5 3 2" xfId="36534" xr:uid="{00000000-0005-0000-0000-00003A8B0000}"/>
    <cellStyle name="40% - Accent5 7 2 5 4" xfId="25233" xr:uid="{00000000-0005-0000-0000-00003B8B0000}"/>
    <cellStyle name="40% - Accent5 7 2 6" xfId="4230" xr:uid="{00000000-0005-0000-0000-00003C8B0000}"/>
    <cellStyle name="40% - Accent5 7 2 6 2" xfId="9880" xr:uid="{00000000-0005-0000-0000-00003D8B0000}"/>
    <cellStyle name="40% - Accent5 7 2 6 2 2" xfId="21181" xr:uid="{00000000-0005-0000-0000-00003E8B0000}"/>
    <cellStyle name="40% - Accent5 7 2 6 2 2 2" xfId="43783" xr:uid="{00000000-0005-0000-0000-00003F8B0000}"/>
    <cellStyle name="40% - Accent5 7 2 6 2 3" xfId="32482" xr:uid="{00000000-0005-0000-0000-0000408B0000}"/>
    <cellStyle name="40% - Accent5 7 2 6 3" xfId="15531" xr:uid="{00000000-0005-0000-0000-0000418B0000}"/>
    <cellStyle name="40% - Accent5 7 2 6 3 2" xfId="38133" xr:uid="{00000000-0005-0000-0000-0000428B0000}"/>
    <cellStyle name="40% - Accent5 7 2 6 4" xfId="26832" xr:uid="{00000000-0005-0000-0000-0000438B0000}"/>
    <cellStyle name="40% - Accent5 7 2 7" xfId="6710" xr:uid="{00000000-0005-0000-0000-0000448B0000}"/>
    <cellStyle name="40% - Accent5 7 2 7 2" xfId="18011" xr:uid="{00000000-0005-0000-0000-0000458B0000}"/>
    <cellStyle name="40% - Accent5 7 2 7 2 2" xfId="40613" xr:uid="{00000000-0005-0000-0000-0000468B0000}"/>
    <cellStyle name="40% - Accent5 7 2 7 3" xfId="29312" xr:uid="{00000000-0005-0000-0000-0000478B0000}"/>
    <cellStyle name="40% - Accent5 7 2 8" xfId="12361" xr:uid="{00000000-0005-0000-0000-0000488B0000}"/>
    <cellStyle name="40% - Accent5 7 2 8 2" xfId="34963" xr:uid="{00000000-0005-0000-0000-0000498B0000}"/>
    <cellStyle name="40% - Accent5 7 2 9" xfId="23662" xr:uid="{00000000-0005-0000-0000-00004A8B0000}"/>
    <cellStyle name="40% - Accent5 7 3" xfId="1217" xr:uid="{00000000-0005-0000-0000-00004B8B0000}"/>
    <cellStyle name="40% - Accent5 7 3 2" xfId="2031" xr:uid="{00000000-0005-0000-0000-00004C8B0000}"/>
    <cellStyle name="40% - Accent5 7 3 2 2" xfId="3285" xr:uid="{00000000-0005-0000-0000-00004D8B0000}"/>
    <cellStyle name="40% - Accent5 7 3 2 2 2" xfId="6257" xr:uid="{00000000-0005-0000-0000-00004E8B0000}"/>
    <cellStyle name="40% - Accent5 7 3 2 2 2 2" xfId="11907" xr:uid="{00000000-0005-0000-0000-00004F8B0000}"/>
    <cellStyle name="40% - Accent5 7 3 2 2 2 2 2" xfId="23208" xr:uid="{00000000-0005-0000-0000-0000508B0000}"/>
    <cellStyle name="40% - Accent5 7 3 2 2 2 2 2 2" xfId="45810" xr:uid="{00000000-0005-0000-0000-0000518B0000}"/>
    <cellStyle name="40% - Accent5 7 3 2 2 2 2 3" xfId="34509" xr:uid="{00000000-0005-0000-0000-0000528B0000}"/>
    <cellStyle name="40% - Accent5 7 3 2 2 2 3" xfId="17558" xr:uid="{00000000-0005-0000-0000-0000538B0000}"/>
    <cellStyle name="40% - Accent5 7 3 2 2 2 3 2" xfId="40160" xr:uid="{00000000-0005-0000-0000-0000548B0000}"/>
    <cellStyle name="40% - Accent5 7 3 2 2 2 4" xfId="28859" xr:uid="{00000000-0005-0000-0000-0000558B0000}"/>
    <cellStyle name="40% - Accent5 7 3 2 2 3" xfId="9075" xr:uid="{00000000-0005-0000-0000-0000568B0000}"/>
    <cellStyle name="40% - Accent5 7 3 2 2 3 2" xfId="20376" xr:uid="{00000000-0005-0000-0000-0000578B0000}"/>
    <cellStyle name="40% - Accent5 7 3 2 2 3 2 2" xfId="42978" xr:uid="{00000000-0005-0000-0000-0000588B0000}"/>
    <cellStyle name="40% - Accent5 7 3 2 2 3 3" xfId="31677" xr:uid="{00000000-0005-0000-0000-0000598B0000}"/>
    <cellStyle name="40% - Accent5 7 3 2 2 4" xfId="14726" xr:uid="{00000000-0005-0000-0000-00005A8B0000}"/>
    <cellStyle name="40% - Accent5 7 3 2 2 4 2" xfId="37328" xr:uid="{00000000-0005-0000-0000-00005B8B0000}"/>
    <cellStyle name="40% - Accent5 7 3 2 2 5" xfId="26027" xr:uid="{00000000-0005-0000-0000-00005C8B0000}"/>
    <cellStyle name="40% - Accent5 7 3 2 3" xfId="5023" xr:uid="{00000000-0005-0000-0000-00005D8B0000}"/>
    <cellStyle name="40% - Accent5 7 3 2 3 2" xfId="10673" xr:uid="{00000000-0005-0000-0000-00005E8B0000}"/>
    <cellStyle name="40% - Accent5 7 3 2 3 2 2" xfId="21974" xr:uid="{00000000-0005-0000-0000-00005F8B0000}"/>
    <cellStyle name="40% - Accent5 7 3 2 3 2 2 2" xfId="44576" xr:uid="{00000000-0005-0000-0000-0000608B0000}"/>
    <cellStyle name="40% - Accent5 7 3 2 3 2 3" xfId="33275" xr:uid="{00000000-0005-0000-0000-0000618B0000}"/>
    <cellStyle name="40% - Accent5 7 3 2 3 3" xfId="16324" xr:uid="{00000000-0005-0000-0000-0000628B0000}"/>
    <cellStyle name="40% - Accent5 7 3 2 3 3 2" xfId="38926" xr:uid="{00000000-0005-0000-0000-0000638B0000}"/>
    <cellStyle name="40% - Accent5 7 3 2 3 4" xfId="27625" xr:uid="{00000000-0005-0000-0000-0000648B0000}"/>
    <cellStyle name="40% - Accent5 7 3 2 4" xfId="7887" xr:uid="{00000000-0005-0000-0000-0000658B0000}"/>
    <cellStyle name="40% - Accent5 7 3 2 4 2" xfId="19188" xr:uid="{00000000-0005-0000-0000-0000668B0000}"/>
    <cellStyle name="40% - Accent5 7 3 2 4 2 2" xfId="41790" xr:uid="{00000000-0005-0000-0000-0000678B0000}"/>
    <cellStyle name="40% - Accent5 7 3 2 4 3" xfId="30489" xr:uid="{00000000-0005-0000-0000-0000688B0000}"/>
    <cellStyle name="40% - Accent5 7 3 2 5" xfId="13538" xr:uid="{00000000-0005-0000-0000-0000698B0000}"/>
    <cellStyle name="40% - Accent5 7 3 2 5 2" xfId="36140" xr:uid="{00000000-0005-0000-0000-00006A8B0000}"/>
    <cellStyle name="40% - Accent5 7 3 2 6" xfId="24839" xr:uid="{00000000-0005-0000-0000-00006B8B0000}"/>
    <cellStyle name="40% - Accent5 7 3 3" xfId="2614" xr:uid="{00000000-0005-0000-0000-00006C8B0000}"/>
    <cellStyle name="40% - Accent5 7 3 3 2" xfId="5633" xr:uid="{00000000-0005-0000-0000-00006D8B0000}"/>
    <cellStyle name="40% - Accent5 7 3 3 2 2" xfId="11283" xr:uid="{00000000-0005-0000-0000-00006E8B0000}"/>
    <cellStyle name="40% - Accent5 7 3 3 2 2 2" xfId="22584" xr:uid="{00000000-0005-0000-0000-00006F8B0000}"/>
    <cellStyle name="40% - Accent5 7 3 3 2 2 2 2" xfId="45186" xr:uid="{00000000-0005-0000-0000-0000708B0000}"/>
    <cellStyle name="40% - Accent5 7 3 3 2 2 3" xfId="33885" xr:uid="{00000000-0005-0000-0000-0000718B0000}"/>
    <cellStyle name="40% - Accent5 7 3 3 2 3" xfId="16934" xr:uid="{00000000-0005-0000-0000-0000728B0000}"/>
    <cellStyle name="40% - Accent5 7 3 3 2 3 2" xfId="39536" xr:uid="{00000000-0005-0000-0000-0000738B0000}"/>
    <cellStyle name="40% - Accent5 7 3 3 2 4" xfId="28235" xr:uid="{00000000-0005-0000-0000-0000748B0000}"/>
    <cellStyle name="40% - Accent5 7 3 3 3" xfId="8450" xr:uid="{00000000-0005-0000-0000-0000758B0000}"/>
    <cellStyle name="40% - Accent5 7 3 3 3 2" xfId="19751" xr:uid="{00000000-0005-0000-0000-0000768B0000}"/>
    <cellStyle name="40% - Accent5 7 3 3 3 2 2" xfId="42353" xr:uid="{00000000-0005-0000-0000-0000778B0000}"/>
    <cellStyle name="40% - Accent5 7 3 3 3 3" xfId="31052" xr:uid="{00000000-0005-0000-0000-0000788B0000}"/>
    <cellStyle name="40% - Accent5 7 3 3 4" xfId="14101" xr:uid="{00000000-0005-0000-0000-0000798B0000}"/>
    <cellStyle name="40% - Accent5 7 3 3 4 2" xfId="36703" xr:uid="{00000000-0005-0000-0000-00007A8B0000}"/>
    <cellStyle name="40% - Accent5 7 3 3 5" xfId="25402" xr:uid="{00000000-0005-0000-0000-00007B8B0000}"/>
    <cellStyle name="40% - Accent5 7 3 4" xfId="4399" xr:uid="{00000000-0005-0000-0000-00007C8B0000}"/>
    <cellStyle name="40% - Accent5 7 3 4 2" xfId="10049" xr:uid="{00000000-0005-0000-0000-00007D8B0000}"/>
    <cellStyle name="40% - Accent5 7 3 4 2 2" xfId="21350" xr:uid="{00000000-0005-0000-0000-00007E8B0000}"/>
    <cellStyle name="40% - Accent5 7 3 4 2 2 2" xfId="43952" xr:uid="{00000000-0005-0000-0000-00007F8B0000}"/>
    <cellStyle name="40% - Accent5 7 3 4 2 3" xfId="32651" xr:uid="{00000000-0005-0000-0000-0000808B0000}"/>
    <cellStyle name="40% - Accent5 7 3 4 3" xfId="15700" xr:uid="{00000000-0005-0000-0000-0000818B0000}"/>
    <cellStyle name="40% - Accent5 7 3 4 3 2" xfId="38302" xr:uid="{00000000-0005-0000-0000-0000828B0000}"/>
    <cellStyle name="40% - Accent5 7 3 4 4" xfId="27001" xr:uid="{00000000-0005-0000-0000-0000838B0000}"/>
    <cellStyle name="40% - Accent5 7 3 5" xfId="7196" xr:uid="{00000000-0005-0000-0000-0000848B0000}"/>
    <cellStyle name="40% - Accent5 7 3 5 2" xfId="18497" xr:uid="{00000000-0005-0000-0000-0000858B0000}"/>
    <cellStyle name="40% - Accent5 7 3 5 2 2" xfId="41099" xr:uid="{00000000-0005-0000-0000-0000868B0000}"/>
    <cellStyle name="40% - Accent5 7 3 5 3" xfId="29798" xr:uid="{00000000-0005-0000-0000-0000878B0000}"/>
    <cellStyle name="40% - Accent5 7 3 6" xfId="12847" xr:uid="{00000000-0005-0000-0000-0000888B0000}"/>
    <cellStyle name="40% - Accent5 7 3 6 2" xfId="35449" xr:uid="{00000000-0005-0000-0000-0000898B0000}"/>
    <cellStyle name="40% - Accent5 7 3 7" xfId="24148" xr:uid="{00000000-0005-0000-0000-00008A8B0000}"/>
    <cellStyle name="40% - Accent5 7 4" xfId="908" xr:uid="{00000000-0005-0000-0000-00008B8B0000}"/>
    <cellStyle name="40% - Accent5 7 4 2" xfId="2978" xr:uid="{00000000-0005-0000-0000-00008C8B0000}"/>
    <cellStyle name="40% - Accent5 7 4 2 2" xfId="5950" xr:uid="{00000000-0005-0000-0000-00008D8B0000}"/>
    <cellStyle name="40% - Accent5 7 4 2 2 2" xfId="11600" xr:uid="{00000000-0005-0000-0000-00008E8B0000}"/>
    <cellStyle name="40% - Accent5 7 4 2 2 2 2" xfId="22901" xr:uid="{00000000-0005-0000-0000-00008F8B0000}"/>
    <cellStyle name="40% - Accent5 7 4 2 2 2 2 2" xfId="45503" xr:uid="{00000000-0005-0000-0000-0000908B0000}"/>
    <cellStyle name="40% - Accent5 7 4 2 2 2 3" xfId="34202" xr:uid="{00000000-0005-0000-0000-0000918B0000}"/>
    <cellStyle name="40% - Accent5 7 4 2 2 3" xfId="17251" xr:uid="{00000000-0005-0000-0000-0000928B0000}"/>
    <cellStyle name="40% - Accent5 7 4 2 2 3 2" xfId="39853" xr:uid="{00000000-0005-0000-0000-0000938B0000}"/>
    <cellStyle name="40% - Accent5 7 4 2 2 4" xfId="28552" xr:uid="{00000000-0005-0000-0000-0000948B0000}"/>
    <cellStyle name="40% - Accent5 7 4 2 3" xfId="8768" xr:uid="{00000000-0005-0000-0000-0000958B0000}"/>
    <cellStyle name="40% - Accent5 7 4 2 3 2" xfId="20069" xr:uid="{00000000-0005-0000-0000-0000968B0000}"/>
    <cellStyle name="40% - Accent5 7 4 2 3 2 2" xfId="42671" xr:uid="{00000000-0005-0000-0000-0000978B0000}"/>
    <cellStyle name="40% - Accent5 7 4 2 3 3" xfId="31370" xr:uid="{00000000-0005-0000-0000-0000988B0000}"/>
    <cellStyle name="40% - Accent5 7 4 2 4" xfId="14419" xr:uid="{00000000-0005-0000-0000-0000998B0000}"/>
    <cellStyle name="40% - Accent5 7 4 2 4 2" xfId="37021" xr:uid="{00000000-0005-0000-0000-00009A8B0000}"/>
    <cellStyle name="40% - Accent5 7 4 2 5" xfId="25720" xr:uid="{00000000-0005-0000-0000-00009B8B0000}"/>
    <cellStyle name="40% - Accent5 7 4 3" xfId="4716" xr:uid="{00000000-0005-0000-0000-00009C8B0000}"/>
    <cellStyle name="40% - Accent5 7 4 3 2" xfId="10366" xr:uid="{00000000-0005-0000-0000-00009D8B0000}"/>
    <cellStyle name="40% - Accent5 7 4 3 2 2" xfId="21667" xr:uid="{00000000-0005-0000-0000-00009E8B0000}"/>
    <cellStyle name="40% - Accent5 7 4 3 2 2 2" xfId="44269" xr:uid="{00000000-0005-0000-0000-00009F8B0000}"/>
    <cellStyle name="40% - Accent5 7 4 3 2 3" xfId="32968" xr:uid="{00000000-0005-0000-0000-0000A08B0000}"/>
    <cellStyle name="40% - Accent5 7 4 3 3" xfId="16017" xr:uid="{00000000-0005-0000-0000-0000A18B0000}"/>
    <cellStyle name="40% - Accent5 7 4 3 3 2" xfId="38619" xr:uid="{00000000-0005-0000-0000-0000A28B0000}"/>
    <cellStyle name="40% - Accent5 7 4 3 4" xfId="27318" xr:uid="{00000000-0005-0000-0000-0000A38B0000}"/>
    <cellStyle name="40% - Accent5 7 4 4" xfId="6903" xr:uid="{00000000-0005-0000-0000-0000A48B0000}"/>
    <cellStyle name="40% - Accent5 7 4 4 2" xfId="18204" xr:uid="{00000000-0005-0000-0000-0000A58B0000}"/>
    <cellStyle name="40% - Accent5 7 4 4 2 2" xfId="40806" xr:uid="{00000000-0005-0000-0000-0000A68B0000}"/>
    <cellStyle name="40% - Accent5 7 4 4 3" xfId="29505" xr:uid="{00000000-0005-0000-0000-0000A78B0000}"/>
    <cellStyle name="40% - Accent5 7 4 5" xfId="12554" xr:uid="{00000000-0005-0000-0000-0000A88B0000}"/>
    <cellStyle name="40% - Accent5 7 4 5 2" xfId="35156" xr:uid="{00000000-0005-0000-0000-0000A98B0000}"/>
    <cellStyle name="40% - Accent5 7 4 6" xfId="23855" xr:uid="{00000000-0005-0000-0000-0000AA8B0000}"/>
    <cellStyle name="40% - Accent5 7 5" xfId="2028" xr:uid="{00000000-0005-0000-0000-0000AB8B0000}"/>
    <cellStyle name="40% - Accent5 7 5 2" xfId="3817" xr:uid="{00000000-0005-0000-0000-0000AC8B0000}"/>
    <cellStyle name="40% - Accent5 7 5 2 2" xfId="9527" xr:uid="{00000000-0005-0000-0000-0000AD8B0000}"/>
    <cellStyle name="40% - Accent5 7 5 2 2 2" xfId="20828" xr:uid="{00000000-0005-0000-0000-0000AE8B0000}"/>
    <cellStyle name="40% - Accent5 7 5 2 2 2 2" xfId="43430" xr:uid="{00000000-0005-0000-0000-0000AF8B0000}"/>
    <cellStyle name="40% - Accent5 7 5 2 2 3" xfId="32129" xr:uid="{00000000-0005-0000-0000-0000B08B0000}"/>
    <cellStyle name="40% - Accent5 7 5 2 3" xfId="15178" xr:uid="{00000000-0005-0000-0000-0000B18B0000}"/>
    <cellStyle name="40% - Accent5 7 5 2 3 2" xfId="37780" xr:uid="{00000000-0005-0000-0000-0000B28B0000}"/>
    <cellStyle name="40% - Accent5 7 5 2 4" xfId="26479" xr:uid="{00000000-0005-0000-0000-0000B38B0000}"/>
    <cellStyle name="40% - Accent5 7 5 3" xfId="5326" xr:uid="{00000000-0005-0000-0000-0000B48B0000}"/>
    <cellStyle name="40% - Accent5 7 5 3 2" xfId="10976" xr:uid="{00000000-0005-0000-0000-0000B58B0000}"/>
    <cellStyle name="40% - Accent5 7 5 3 2 2" xfId="22277" xr:uid="{00000000-0005-0000-0000-0000B68B0000}"/>
    <cellStyle name="40% - Accent5 7 5 3 2 2 2" xfId="44879" xr:uid="{00000000-0005-0000-0000-0000B78B0000}"/>
    <cellStyle name="40% - Accent5 7 5 3 2 3" xfId="33578" xr:uid="{00000000-0005-0000-0000-0000B88B0000}"/>
    <cellStyle name="40% - Accent5 7 5 3 3" xfId="16627" xr:uid="{00000000-0005-0000-0000-0000B98B0000}"/>
    <cellStyle name="40% - Accent5 7 5 3 3 2" xfId="39229" xr:uid="{00000000-0005-0000-0000-0000BA8B0000}"/>
    <cellStyle name="40% - Accent5 7 5 3 4" xfId="27928" xr:uid="{00000000-0005-0000-0000-0000BB8B0000}"/>
    <cellStyle name="40% - Accent5 7 5 4" xfId="7884" xr:uid="{00000000-0005-0000-0000-0000BC8B0000}"/>
    <cellStyle name="40% - Accent5 7 5 4 2" xfId="19185" xr:uid="{00000000-0005-0000-0000-0000BD8B0000}"/>
    <cellStyle name="40% - Accent5 7 5 4 2 2" xfId="41787" xr:uid="{00000000-0005-0000-0000-0000BE8B0000}"/>
    <cellStyle name="40% - Accent5 7 5 4 3" xfId="30486" xr:uid="{00000000-0005-0000-0000-0000BF8B0000}"/>
    <cellStyle name="40% - Accent5 7 5 5" xfId="13535" xr:uid="{00000000-0005-0000-0000-0000C08B0000}"/>
    <cellStyle name="40% - Accent5 7 5 5 2" xfId="36137" xr:uid="{00000000-0005-0000-0000-0000C18B0000}"/>
    <cellStyle name="40% - Accent5 7 5 6" xfId="24836" xr:uid="{00000000-0005-0000-0000-0000C28B0000}"/>
    <cellStyle name="40% - Accent5 7 6" xfId="2305" xr:uid="{00000000-0005-0000-0000-0000C38B0000}"/>
    <cellStyle name="40% - Accent5 7 6 2" xfId="8141" xr:uid="{00000000-0005-0000-0000-0000C48B0000}"/>
    <cellStyle name="40% - Accent5 7 6 2 2" xfId="19442" xr:uid="{00000000-0005-0000-0000-0000C58B0000}"/>
    <cellStyle name="40% - Accent5 7 6 2 2 2" xfId="42044" xr:uid="{00000000-0005-0000-0000-0000C68B0000}"/>
    <cellStyle name="40% - Accent5 7 6 2 3" xfId="30743" xr:uid="{00000000-0005-0000-0000-0000C78B0000}"/>
    <cellStyle name="40% - Accent5 7 6 3" xfId="13792" xr:uid="{00000000-0005-0000-0000-0000C88B0000}"/>
    <cellStyle name="40% - Accent5 7 6 3 2" xfId="36394" xr:uid="{00000000-0005-0000-0000-0000C98B0000}"/>
    <cellStyle name="40% - Accent5 7 6 4" xfId="25093" xr:uid="{00000000-0005-0000-0000-0000CA8B0000}"/>
    <cellStyle name="40% - Accent5 7 7" xfId="4092" xr:uid="{00000000-0005-0000-0000-0000CB8B0000}"/>
    <cellStyle name="40% - Accent5 7 7 2" xfId="9742" xr:uid="{00000000-0005-0000-0000-0000CC8B0000}"/>
    <cellStyle name="40% - Accent5 7 7 2 2" xfId="21043" xr:uid="{00000000-0005-0000-0000-0000CD8B0000}"/>
    <cellStyle name="40% - Accent5 7 7 2 2 2" xfId="43645" xr:uid="{00000000-0005-0000-0000-0000CE8B0000}"/>
    <cellStyle name="40% - Accent5 7 7 2 3" xfId="32344" xr:uid="{00000000-0005-0000-0000-0000CF8B0000}"/>
    <cellStyle name="40% - Accent5 7 7 3" xfId="15393" xr:uid="{00000000-0005-0000-0000-0000D08B0000}"/>
    <cellStyle name="40% - Accent5 7 7 3 2" xfId="37995" xr:uid="{00000000-0005-0000-0000-0000D18B0000}"/>
    <cellStyle name="40% - Accent5 7 7 4" xfId="26694" xr:uid="{00000000-0005-0000-0000-0000D28B0000}"/>
    <cellStyle name="40% - Accent5 7 8" xfId="6543" xr:uid="{00000000-0005-0000-0000-0000D38B0000}"/>
    <cellStyle name="40% - Accent5 7 8 2" xfId="17844" xr:uid="{00000000-0005-0000-0000-0000D48B0000}"/>
    <cellStyle name="40% - Accent5 7 8 2 2" xfId="40446" xr:uid="{00000000-0005-0000-0000-0000D58B0000}"/>
    <cellStyle name="40% - Accent5 7 8 3" xfId="29145" xr:uid="{00000000-0005-0000-0000-0000D68B0000}"/>
    <cellStyle name="40% - Accent5 7 9" xfId="12194" xr:uid="{00000000-0005-0000-0000-0000D78B0000}"/>
    <cellStyle name="40% - Accent5 7 9 2" xfId="34796" xr:uid="{00000000-0005-0000-0000-0000D88B0000}"/>
    <cellStyle name="40% - Accent5 8" xfId="503" xr:uid="{00000000-0005-0000-0000-0000D98B0000}"/>
    <cellStyle name="40% - Accent5 8 2" xfId="1274" xr:uid="{00000000-0005-0000-0000-0000DA8B0000}"/>
    <cellStyle name="40% - Accent5 8 2 2" xfId="2033" xr:uid="{00000000-0005-0000-0000-0000DB8B0000}"/>
    <cellStyle name="40% - Accent5 8 2 2 2" xfId="3343" xr:uid="{00000000-0005-0000-0000-0000DC8B0000}"/>
    <cellStyle name="40% - Accent5 8 2 2 2 2" xfId="6315" xr:uid="{00000000-0005-0000-0000-0000DD8B0000}"/>
    <cellStyle name="40% - Accent5 8 2 2 2 2 2" xfId="11965" xr:uid="{00000000-0005-0000-0000-0000DE8B0000}"/>
    <cellStyle name="40% - Accent5 8 2 2 2 2 2 2" xfId="23266" xr:uid="{00000000-0005-0000-0000-0000DF8B0000}"/>
    <cellStyle name="40% - Accent5 8 2 2 2 2 2 2 2" xfId="45868" xr:uid="{00000000-0005-0000-0000-0000E08B0000}"/>
    <cellStyle name="40% - Accent5 8 2 2 2 2 2 3" xfId="34567" xr:uid="{00000000-0005-0000-0000-0000E18B0000}"/>
    <cellStyle name="40% - Accent5 8 2 2 2 2 3" xfId="17616" xr:uid="{00000000-0005-0000-0000-0000E28B0000}"/>
    <cellStyle name="40% - Accent5 8 2 2 2 2 3 2" xfId="40218" xr:uid="{00000000-0005-0000-0000-0000E38B0000}"/>
    <cellStyle name="40% - Accent5 8 2 2 2 2 4" xfId="28917" xr:uid="{00000000-0005-0000-0000-0000E48B0000}"/>
    <cellStyle name="40% - Accent5 8 2 2 2 3" xfId="9133" xr:uid="{00000000-0005-0000-0000-0000E58B0000}"/>
    <cellStyle name="40% - Accent5 8 2 2 2 3 2" xfId="20434" xr:uid="{00000000-0005-0000-0000-0000E68B0000}"/>
    <cellStyle name="40% - Accent5 8 2 2 2 3 2 2" xfId="43036" xr:uid="{00000000-0005-0000-0000-0000E78B0000}"/>
    <cellStyle name="40% - Accent5 8 2 2 2 3 3" xfId="31735" xr:uid="{00000000-0005-0000-0000-0000E88B0000}"/>
    <cellStyle name="40% - Accent5 8 2 2 2 4" xfId="14784" xr:uid="{00000000-0005-0000-0000-0000E98B0000}"/>
    <cellStyle name="40% - Accent5 8 2 2 2 4 2" xfId="37386" xr:uid="{00000000-0005-0000-0000-0000EA8B0000}"/>
    <cellStyle name="40% - Accent5 8 2 2 2 5" xfId="26085" xr:uid="{00000000-0005-0000-0000-0000EB8B0000}"/>
    <cellStyle name="40% - Accent5 8 2 2 3" xfId="5081" xr:uid="{00000000-0005-0000-0000-0000EC8B0000}"/>
    <cellStyle name="40% - Accent5 8 2 2 3 2" xfId="10731" xr:uid="{00000000-0005-0000-0000-0000ED8B0000}"/>
    <cellStyle name="40% - Accent5 8 2 2 3 2 2" xfId="22032" xr:uid="{00000000-0005-0000-0000-0000EE8B0000}"/>
    <cellStyle name="40% - Accent5 8 2 2 3 2 2 2" xfId="44634" xr:uid="{00000000-0005-0000-0000-0000EF8B0000}"/>
    <cellStyle name="40% - Accent5 8 2 2 3 2 3" xfId="33333" xr:uid="{00000000-0005-0000-0000-0000F08B0000}"/>
    <cellStyle name="40% - Accent5 8 2 2 3 3" xfId="16382" xr:uid="{00000000-0005-0000-0000-0000F18B0000}"/>
    <cellStyle name="40% - Accent5 8 2 2 3 3 2" xfId="38984" xr:uid="{00000000-0005-0000-0000-0000F28B0000}"/>
    <cellStyle name="40% - Accent5 8 2 2 3 4" xfId="27683" xr:uid="{00000000-0005-0000-0000-0000F38B0000}"/>
    <cellStyle name="40% - Accent5 8 2 2 4" xfId="7889" xr:uid="{00000000-0005-0000-0000-0000F48B0000}"/>
    <cellStyle name="40% - Accent5 8 2 2 4 2" xfId="19190" xr:uid="{00000000-0005-0000-0000-0000F58B0000}"/>
    <cellStyle name="40% - Accent5 8 2 2 4 2 2" xfId="41792" xr:uid="{00000000-0005-0000-0000-0000F68B0000}"/>
    <cellStyle name="40% - Accent5 8 2 2 4 3" xfId="30491" xr:uid="{00000000-0005-0000-0000-0000F78B0000}"/>
    <cellStyle name="40% - Accent5 8 2 2 5" xfId="13540" xr:uid="{00000000-0005-0000-0000-0000F88B0000}"/>
    <cellStyle name="40% - Accent5 8 2 2 5 2" xfId="36142" xr:uid="{00000000-0005-0000-0000-0000F98B0000}"/>
    <cellStyle name="40% - Accent5 8 2 2 6" xfId="24841" xr:uid="{00000000-0005-0000-0000-0000FA8B0000}"/>
    <cellStyle name="40% - Accent5 8 2 3" xfId="2672" xr:uid="{00000000-0005-0000-0000-0000FB8B0000}"/>
    <cellStyle name="40% - Accent5 8 2 3 2" xfId="5691" xr:uid="{00000000-0005-0000-0000-0000FC8B0000}"/>
    <cellStyle name="40% - Accent5 8 2 3 2 2" xfId="11341" xr:uid="{00000000-0005-0000-0000-0000FD8B0000}"/>
    <cellStyle name="40% - Accent5 8 2 3 2 2 2" xfId="22642" xr:uid="{00000000-0005-0000-0000-0000FE8B0000}"/>
    <cellStyle name="40% - Accent5 8 2 3 2 2 2 2" xfId="45244" xr:uid="{00000000-0005-0000-0000-0000FF8B0000}"/>
    <cellStyle name="40% - Accent5 8 2 3 2 2 3" xfId="33943" xr:uid="{00000000-0005-0000-0000-0000008C0000}"/>
    <cellStyle name="40% - Accent5 8 2 3 2 3" xfId="16992" xr:uid="{00000000-0005-0000-0000-0000018C0000}"/>
    <cellStyle name="40% - Accent5 8 2 3 2 3 2" xfId="39594" xr:uid="{00000000-0005-0000-0000-0000028C0000}"/>
    <cellStyle name="40% - Accent5 8 2 3 2 4" xfId="28293" xr:uid="{00000000-0005-0000-0000-0000038C0000}"/>
    <cellStyle name="40% - Accent5 8 2 3 3" xfId="8508" xr:uid="{00000000-0005-0000-0000-0000048C0000}"/>
    <cellStyle name="40% - Accent5 8 2 3 3 2" xfId="19809" xr:uid="{00000000-0005-0000-0000-0000058C0000}"/>
    <cellStyle name="40% - Accent5 8 2 3 3 2 2" xfId="42411" xr:uid="{00000000-0005-0000-0000-0000068C0000}"/>
    <cellStyle name="40% - Accent5 8 2 3 3 3" xfId="31110" xr:uid="{00000000-0005-0000-0000-0000078C0000}"/>
    <cellStyle name="40% - Accent5 8 2 3 4" xfId="14159" xr:uid="{00000000-0005-0000-0000-0000088C0000}"/>
    <cellStyle name="40% - Accent5 8 2 3 4 2" xfId="36761" xr:uid="{00000000-0005-0000-0000-0000098C0000}"/>
    <cellStyle name="40% - Accent5 8 2 3 5" xfId="25460" xr:uid="{00000000-0005-0000-0000-00000A8C0000}"/>
    <cellStyle name="40% - Accent5 8 2 4" xfId="4457" xr:uid="{00000000-0005-0000-0000-00000B8C0000}"/>
    <cellStyle name="40% - Accent5 8 2 4 2" xfId="10107" xr:uid="{00000000-0005-0000-0000-00000C8C0000}"/>
    <cellStyle name="40% - Accent5 8 2 4 2 2" xfId="21408" xr:uid="{00000000-0005-0000-0000-00000D8C0000}"/>
    <cellStyle name="40% - Accent5 8 2 4 2 2 2" xfId="44010" xr:uid="{00000000-0005-0000-0000-00000E8C0000}"/>
    <cellStyle name="40% - Accent5 8 2 4 2 3" xfId="32709" xr:uid="{00000000-0005-0000-0000-00000F8C0000}"/>
    <cellStyle name="40% - Accent5 8 2 4 3" xfId="15758" xr:uid="{00000000-0005-0000-0000-0000108C0000}"/>
    <cellStyle name="40% - Accent5 8 2 4 3 2" xfId="38360" xr:uid="{00000000-0005-0000-0000-0000118C0000}"/>
    <cellStyle name="40% - Accent5 8 2 4 4" xfId="27059" xr:uid="{00000000-0005-0000-0000-0000128C0000}"/>
    <cellStyle name="40% - Accent5 8 2 5" xfId="7253" xr:uid="{00000000-0005-0000-0000-0000138C0000}"/>
    <cellStyle name="40% - Accent5 8 2 5 2" xfId="18554" xr:uid="{00000000-0005-0000-0000-0000148C0000}"/>
    <cellStyle name="40% - Accent5 8 2 5 2 2" xfId="41156" xr:uid="{00000000-0005-0000-0000-0000158C0000}"/>
    <cellStyle name="40% - Accent5 8 2 5 3" xfId="29855" xr:uid="{00000000-0005-0000-0000-0000168C0000}"/>
    <cellStyle name="40% - Accent5 8 2 6" xfId="12904" xr:uid="{00000000-0005-0000-0000-0000178C0000}"/>
    <cellStyle name="40% - Accent5 8 2 6 2" xfId="35506" xr:uid="{00000000-0005-0000-0000-0000188C0000}"/>
    <cellStyle name="40% - Accent5 8 2 7" xfId="24205" xr:uid="{00000000-0005-0000-0000-0000198C0000}"/>
    <cellStyle name="40% - Accent5 8 3" xfId="971" xr:uid="{00000000-0005-0000-0000-00001A8C0000}"/>
    <cellStyle name="40% - Accent5 8 3 2" xfId="3035" xr:uid="{00000000-0005-0000-0000-00001B8C0000}"/>
    <cellStyle name="40% - Accent5 8 3 2 2" xfId="6007" xr:uid="{00000000-0005-0000-0000-00001C8C0000}"/>
    <cellStyle name="40% - Accent5 8 3 2 2 2" xfId="11657" xr:uid="{00000000-0005-0000-0000-00001D8C0000}"/>
    <cellStyle name="40% - Accent5 8 3 2 2 2 2" xfId="22958" xr:uid="{00000000-0005-0000-0000-00001E8C0000}"/>
    <cellStyle name="40% - Accent5 8 3 2 2 2 2 2" xfId="45560" xr:uid="{00000000-0005-0000-0000-00001F8C0000}"/>
    <cellStyle name="40% - Accent5 8 3 2 2 2 3" xfId="34259" xr:uid="{00000000-0005-0000-0000-0000208C0000}"/>
    <cellStyle name="40% - Accent5 8 3 2 2 3" xfId="17308" xr:uid="{00000000-0005-0000-0000-0000218C0000}"/>
    <cellStyle name="40% - Accent5 8 3 2 2 3 2" xfId="39910" xr:uid="{00000000-0005-0000-0000-0000228C0000}"/>
    <cellStyle name="40% - Accent5 8 3 2 2 4" xfId="28609" xr:uid="{00000000-0005-0000-0000-0000238C0000}"/>
    <cellStyle name="40% - Accent5 8 3 2 3" xfId="8825" xr:uid="{00000000-0005-0000-0000-0000248C0000}"/>
    <cellStyle name="40% - Accent5 8 3 2 3 2" xfId="20126" xr:uid="{00000000-0005-0000-0000-0000258C0000}"/>
    <cellStyle name="40% - Accent5 8 3 2 3 2 2" xfId="42728" xr:uid="{00000000-0005-0000-0000-0000268C0000}"/>
    <cellStyle name="40% - Accent5 8 3 2 3 3" xfId="31427" xr:uid="{00000000-0005-0000-0000-0000278C0000}"/>
    <cellStyle name="40% - Accent5 8 3 2 4" xfId="14476" xr:uid="{00000000-0005-0000-0000-0000288C0000}"/>
    <cellStyle name="40% - Accent5 8 3 2 4 2" xfId="37078" xr:uid="{00000000-0005-0000-0000-0000298C0000}"/>
    <cellStyle name="40% - Accent5 8 3 2 5" xfId="25777" xr:uid="{00000000-0005-0000-0000-00002A8C0000}"/>
    <cellStyle name="40% - Accent5 8 3 3" xfId="4773" xr:uid="{00000000-0005-0000-0000-00002B8C0000}"/>
    <cellStyle name="40% - Accent5 8 3 3 2" xfId="10423" xr:uid="{00000000-0005-0000-0000-00002C8C0000}"/>
    <cellStyle name="40% - Accent5 8 3 3 2 2" xfId="21724" xr:uid="{00000000-0005-0000-0000-00002D8C0000}"/>
    <cellStyle name="40% - Accent5 8 3 3 2 2 2" xfId="44326" xr:uid="{00000000-0005-0000-0000-00002E8C0000}"/>
    <cellStyle name="40% - Accent5 8 3 3 2 3" xfId="33025" xr:uid="{00000000-0005-0000-0000-00002F8C0000}"/>
    <cellStyle name="40% - Accent5 8 3 3 3" xfId="16074" xr:uid="{00000000-0005-0000-0000-0000308C0000}"/>
    <cellStyle name="40% - Accent5 8 3 3 3 2" xfId="38676" xr:uid="{00000000-0005-0000-0000-0000318C0000}"/>
    <cellStyle name="40% - Accent5 8 3 3 4" xfId="27375" xr:uid="{00000000-0005-0000-0000-0000328C0000}"/>
    <cellStyle name="40% - Accent5 8 3 4" xfId="6960" xr:uid="{00000000-0005-0000-0000-0000338C0000}"/>
    <cellStyle name="40% - Accent5 8 3 4 2" xfId="18261" xr:uid="{00000000-0005-0000-0000-0000348C0000}"/>
    <cellStyle name="40% - Accent5 8 3 4 2 2" xfId="40863" xr:uid="{00000000-0005-0000-0000-0000358C0000}"/>
    <cellStyle name="40% - Accent5 8 3 4 3" xfId="29562" xr:uid="{00000000-0005-0000-0000-0000368C0000}"/>
    <cellStyle name="40% - Accent5 8 3 5" xfId="12611" xr:uid="{00000000-0005-0000-0000-0000378C0000}"/>
    <cellStyle name="40% - Accent5 8 3 5 2" xfId="35213" xr:uid="{00000000-0005-0000-0000-0000388C0000}"/>
    <cellStyle name="40% - Accent5 8 3 6" xfId="23912" xr:uid="{00000000-0005-0000-0000-0000398C0000}"/>
    <cellStyle name="40% - Accent5 8 4" xfId="2032" xr:uid="{00000000-0005-0000-0000-00003A8C0000}"/>
    <cellStyle name="40% - Accent5 8 4 2" xfId="3819" xr:uid="{00000000-0005-0000-0000-00003B8C0000}"/>
    <cellStyle name="40% - Accent5 8 4 2 2" xfId="9529" xr:uid="{00000000-0005-0000-0000-00003C8C0000}"/>
    <cellStyle name="40% - Accent5 8 4 2 2 2" xfId="20830" xr:uid="{00000000-0005-0000-0000-00003D8C0000}"/>
    <cellStyle name="40% - Accent5 8 4 2 2 2 2" xfId="43432" xr:uid="{00000000-0005-0000-0000-00003E8C0000}"/>
    <cellStyle name="40% - Accent5 8 4 2 2 3" xfId="32131" xr:uid="{00000000-0005-0000-0000-00003F8C0000}"/>
    <cellStyle name="40% - Accent5 8 4 2 3" xfId="15180" xr:uid="{00000000-0005-0000-0000-0000408C0000}"/>
    <cellStyle name="40% - Accent5 8 4 2 3 2" xfId="37782" xr:uid="{00000000-0005-0000-0000-0000418C0000}"/>
    <cellStyle name="40% - Accent5 8 4 2 4" xfId="26481" xr:uid="{00000000-0005-0000-0000-0000428C0000}"/>
    <cellStyle name="40% - Accent5 8 4 3" xfId="5383" xr:uid="{00000000-0005-0000-0000-0000438C0000}"/>
    <cellStyle name="40% - Accent5 8 4 3 2" xfId="11033" xr:uid="{00000000-0005-0000-0000-0000448C0000}"/>
    <cellStyle name="40% - Accent5 8 4 3 2 2" xfId="22334" xr:uid="{00000000-0005-0000-0000-0000458C0000}"/>
    <cellStyle name="40% - Accent5 8 4 3 2 2 2" xfId="44936" xr:uid="{00000000-0005-0000-0000-0000468C0000}"/>
    <cellStyle name="40% - Accent5 8 4 3 2 3" xfId="33635" xr:uid="{00000000-0005-0000-0000-0000478C0000}"/>
    <cellStyle name="40% - Accent5 8 4 3 3" xfId="16684" xr:uid="{00000000-0005-0000-0000-0000488C0000}"/>
    <cellStyle name="40% - Accent5 8 4 3 3 2" xfId="39286" xr:uid="{00000000-0005-0000-0000-0000498C0000}"/>
    <cellStyle name="40% - Accent5 8 4 3 4" xfId="27985" xr:uid="{00000000-0005-0000-0000-00004A8C0000}"/>
    <cellStyle name="40% - Accent5 8 4 4" xfId="7888" xr:uid="{00000000-0005-0000-0000-00004B8C0000}"/>
    <cellStyle name="40% - Accent5 8 4 4 2" xfId="19189" xr:uid="{00000000-0005-0000-0000-00004C8C0000}"/>
    <cellStyle name="40% - Accent5 8 4 4 2 2" xfId="41791" xr:uid="{00000000-0005-0000-0000-00004D8C0000}"/>
    <cellStyle name="40% - Accent5 8 4 4 3" xfId="30490" xr:uid="{00000000-0005-0000-0000-00004E8C0000}"/>
    <cellStyle name="40% - Accent5 8 4 5" xfId="13539" xr:uid="{00000000-0005-0000-0000-00004F8C0000}"/>
    <cellStyle name="40% - Accent5 8 4 5 2" xfId="36141" xr:uid="{00000000-0005-0000-0000-0000508C0000}"/>
    <cellStyle name="40% - Accent5 8 4 6" xfId="24840" xr:uid="{00000000-0005-0000-0000-0000518C0000}"/>
    <cellStyle name="40% - Accent5 8 5" xfId="2364" xr:uid="{00000000-0005-0000-0000-0000528C0000}"/>
    <cellStyle name="40% - Accent5 8 5 2" xfId="8200" xr:uid="{00000000-0005-0000-0000-0000538C0000}"/>
    <cellStyle name="40% - Accent5 8 5 2 2" xfId="19501" xr:uid="{00000000-0005-0000-0000-0000548C0000}"/>
    <cellStyle name="40% - Accent5 8 5 2 2 2" xfId="42103" xr:uid="{00000000-0005-0000-0000-0000558C0000}"/>
    <cellStyle name="40% - Accent5 8 5 2 3" xfId="30802" xr:uid="{00000000-0005-0000-0000-0000568C0000}"/>
    <cellStyle name="40% - Accent5 8 5 3" xfId="13851" xr:uid="{00000000-0005-0000-0000-0000578C0000}"/>
    <cellStyle name="40% - Accent5 8 5 3 2" xfId="36453" xr:uid="{00000000-0005-0000-0000-0000588C0000}"/>
    <cellStyle name="40% - Accent5 8 5 4" xfId="25152" xr:uid="{00000000-0005-0000-0000-0000598C0000}"/>
    <cellStyle name="40% - Accent5 8 6" xfId="4149" xr:uid="{00000000-0005-0000-0000-00005A8C0000}"/>
    <cellStyle name="40% - Accent5 8 6 2" xfId="9799" xr:uid="{00000000-0005-0000-0000-00005B8C0000}"/>
    <cellStyle name="40% - Accent5 8 6 2 2" xfId="21100" xr:uid="{00000000-0005-0000-0000-00005C8C0000}"/>
    <cellStyle name="40% - Accent5 8 6 2 2 2" xfId="43702" xr:uid="{00000000-0005-0000-0000-00005D8C0000}"/>
    <cellStyle name="40% - Accent5 8 6 2 3" xfId="32401" xr:uid="{00000000-0005-0000-0000-00005E8C0000}"/>
    <cellStyle name="40% - Accent5 8 6 3" xfId="15450" xr:uid="{00000000-0005-0000-0000-00005F8C0000}"/>
    <cellStyle name="40% - Accent5 8 6 3 2" xfId="38052" xr:uid="{00000000-0005-0000-0000-0000608C0000}"/>
    <cellStyle name="40% - Accent5 8 6 4" xfId="26751" xr:uid="{00000000-0005-0000-0000-0000618C0000}"/>
    <cellStyle name="40% - Accent5 8 7" xfId="6600" xr:uid="{00000000-0005-0000-0000-0000628C0000}"/>
    <cellStyle name="40% - Accent5 8 7 2" xfId="17901" xr:uid="{00000000-0005-0000-0000-0000638C0000}"/>
    <cellStyle name="40% - Accent5 8 7 2 2" xfId="40503" xr:uid="{00000000-0005-0000-0000-0000648C0000}"/>
    <cellStyle name="40% - Accent5 8 7 3" xfId="29202" xr:uid="{00000000-0005-0000-0000-0000658C0000}"/>
    <cellStyle name="40% - Accent5 8 8" xfId="12251" xr:uid="{00000000-0005-0000-0000-0000668C0000}"/>
    <cellStyle name="40% - Accent5 8 8 2" xfId="34853" xr:uid="{00000000-0005-0000-0000-0000678C0000}"/>
    <cellStyle name="40% - Accent5 8 9" xfId="23552" xr:uid="{00000000-0005-0000-0000-0000688C0000}"/>
    <cellStyle name="40% - Accent5 9" xfId="705" xr:uid="{00000000-0005-0000-0000-0000698C0000}"/>
    <cellStyle name="40% - Accent5 9 2" xfId="768" xr:uid="{00000000-0005-0000-0000-00006A8C0000}"/>
    <cellStyle name="40% - Accent5 9 2 2" xfId="3175" xr:uid="{00000000-0005-0000-0000-00006B8C0000}"/>
    <cellStyle name="40% - Accent5 9 2 2 2" xfId="6147" xr:uid="{00000000-0005-0000-0000-00006C8C0000}"/>
    <cellStyle name="40% - Accent5 9 2 2 2 2" xfId="11797" xr:uid="{00000000-0005-0000-0000-00006D8C0000}"/>
    <cellStyle name="40% - Accent5 9 2 2 2 2 2" xfId="23098" xr:uid="{00000000-0005-0000-0000-00006E8C0000}"/>
    <cellStyle name="40% - Accent5 9 2 2 2 2 2 2" xfId="45700" xr:uid="{00000000-0005-0000-0000-00006F8C0000}"/>
    <cellStyle name="40% - Accent5 9 2 2 2 2 3" xfId="34399" xr:uid="{00000000-0005-0000-0000-0000708C0000}"/>
    <cellStyle name="40% - Accent5 9 2 2 2 3" xfId="17448" xr:uid="{00000000-0005-0000-0000-0000718C0000}"/>
    <cellStyle name="40% - Accent5 9 2 2 2 3 2" xfId="40050" xr:uid="{00000000-0005-0000-0000-0000728C0000}"/>
    <cellStyle name="40% - Accent5 9 2 2 2 4" xfId="28749" xr:uid="{00000000-0005-0000-0000-0000738C0000}"/>
    <cellStyle name="40% - Accent5 9 2 2 3" xfId="8965" xr:uid="{00000000-0005-0000-0000-0000748C0000}"/>
    <cellStyle name="40% - Accent5 9 2 2 3 2" xfId="20266" xr:uid="{00000000-0005-0000-0000-0000758C0000}"/>
    <cellStyle name="40% - Accent5 9 2 2 3 2 2" xfId="42868" xr:uid="{00000000-0005-0000-0000-0000768C0000}"/>
    <cellStyle name="40% - Accent5 9 2 2 3 3" xfId="31567" xr:uid="{00000000-0005-0000-0000-0000778C0000}"/>
    <cellStyle name="40% - Accent5 9 2 2 4" xfId="14616" xr:uid="{00000000-0005-0000-0000-0000788C0000}"/>
    <cellStyle name="40% - Accent5 9 2 2 4 2" xfId="37218" xr:uid="{00000000-0005-0000-0000-0000798C0000}"/>
    <cellStyle name="40% - Accent5 9 2 2 5" xfId="25917" xr:uid="{00000000-0005-0000-0000-00007A8C0000}"/>
    <cellStyle name="40% - Accent5 9 2 3" xfId="4913" xr:uid="{00000000-0005-0000-0000-00007B8C0000}"/>
    <cellStyle name="40% - Accent5 9 2 3 2" xfId="10563" xr:uid="{00000000-0005-0000-0000-00007C8C0000}"/>
    <cellStyle name="40% - Accent5 9 2 3 2 2" xfId="21864" xr:uid="{00000000-0005-0000-0000-00007D8C0000}"/>
    <cellStyle name="40% - Accent5 9 2 3 2 2 2" xfId="44466" xr:uid="{00000000-0005-0000-0000-00007E8C0000}"/>
    <cellStyle name="40% - Accent5 9 2 3 2 3" xfId="33165" xr:uid="{00000000-0005-0000-0000-00007F8C0000}"/>
    <cellStyle name="40% - Accent5 9 2 3 3" xfId="16214" xr:uid="{00000000-0005-0000-0000-0000808C0000}"/>
    <cellStyle name="40% - Accent5 9 2 3 3 2" xfId="38816" xr:uid="{00000000-0005-0000-0000-0000818C0000}"/>
    <cellStyle name="40% - Accent5 9 2 3 4" xfId="27515" xr:uid="{00000000-0005-0000-0000-0000828C0000}"/>
    <cellStyle name="40% - Accent5 9 2 4" xfId="6789" xr:uid="{00000000-0005-0000-0000-0000838C0000}"/>
    <cellStyle name="40% - Accent5 9 2 4 2" xfId="18090" xr:uid="{00000000-0005-0000-0000-0000848C0000}"/>
    <cellStyle name="40% - Accent5 9 2 4 2 2" xfId="40692" xr:uid="{00000000-0005-0000-0000-0000858C0000}"/>
    <cellStyle name="40% - Accent5 9 2 4 3" xfId="29391" xr:uid="{00000000-0005-0000-0000-0000868C0000}"/>
    <cellStyle name="40% - Accent5 9 2 5" xfId="12440" xr:uid="{00000000-0005-0000-0000-0000878C0000}"/>
    <cellStyle name="40% - Accent5 9 2 5 2" xfId="35042" xr:uid="{00000000-0005-0000-0000-0000888C0000}"/>
    <cellStyle name="40% - Accent5 9 2 6" xfId="23741" xr:uid="{00000000-0005-0000-0000-0000898C0000}"/>
    <cellStyle name="40% - Accent5 9 3" xfId="2034" xr:uid="{00000000-0005-0000-0000-00008A8C0000}"/>
    <cellStyle name="40% - Accent5 9 3 2" xfId="3820" xr:uid="{00000000-0005-0000-0000-00008B8C0000}"/>
    <cellStyle name="40% - Accent5 9 3 2 2" xfId="9530" xr:uid="{00000000-0005-0000-0000-00008C8C0000}"/>
    <cellStyle name="40% - Accent5 9 3 2 2 2" xfId="20831" xr:uid="{00000000-0005-0000-0000-00008D8C0000}"/>
    <cellStyle name="40% - Accent5 9 3 2 2 2 2" xfId="43433" xr:uid="{00000000-0005-0000-0000-00008E8C0000}"/>
    <cellStyle name="40% - Accent5 9 3 2 2 3" xfId="32132" xr:uid="{00000000-0005-0000-0000-00008F8C0000}"/>
    <cellStyle name="40% - Accent5 9 3 2 3" xfId="15181" xr:uid="{00000000-0005-0000-0000-0000908C0000}"/>
    <cellStyle name="40% - Accent5 9 3 2 3 2" xfId="37783" xr:uid="{00000000-0005-0000-0000-0000918C0000}"/>
    <cellStyle name="40% - Accent5 9 3 2 4" xfId="26482" xr:uid="{00000000-0005-0000-0000-0000928C0000}"/>
    <cellStyle name="40% - Accent5 9 3 3" xfId="5523" xr:uid="{00000000-0005-0000-0000-0000938C0000}"/>
    <cellStyle name="40% - Accent5 9 3 3 2" xfId="11173" xr:uid="{00000000-0005-0000-0000-0000948C0000}"/>
    <cellStyle name="40% - Accent5 9 3 3 2 2" xfId="22474" xr:uid="{00000000-0005-0000-0000-0000958C0000}"/>
    <cellStyle name="40% - Accent5 9 3 3 2 2 2" xfId="45076" xr:uid="{00000000-0005-0000-0000-0000968C0000}"/>
    <cellStyle name="40% - Accent5 9 3 3 2 3" xfId="33775" xr:uid="{00000000-0005-0000-0000-0000978C0000}"/>
    <cellStyle name="40% - Accent5 9 3 3 3" xfId="16824" xr:uid="{00000000-0005-0000-0000-0000988C0000}"/>
    <cellStyle name="40% - Accent5 9 3 3 3 2" xfId="39426" xr:uid="{00000000-0005-0000-0000-0000998C0000}"/>
    <cellStyle name="40% - Accent5 9 3 3 4" xfId="28125" xr:uid="{00000000-0005-0000-0000-00009A8C0000}"/>
    <cellStyle name="40% - Accent5 9 3 4" xfId="7890" xr:uid="{00000000-0005-0000-0000-00009B8C0000}"/>
    <cellStyle name="40% - Accent5 9 3 4 2" xfId="19191" xr:uid="{00000000-0005-0000-0000-00009C8C0000}"/>
    <cellStyle name="40% - Accent5 9 3 4 2 2" xfId="41793" xr:uid="{00000000-0005-0000-0000-00009D8C0000}"/>
    <cellStyle name="40% - Accent5 9 3 4 3" xfId="30492" xr:uid="{00000000-0005-0000-0000-00009E8C0000}"/>
    <cellStyle name="40% - Accent5 9 3 5" xfId="13541" xr:uid="{00000000-0005-0000-0000-00009F8C0000}"/>
    <cellStyle name="40% - Accent5 9 3 5 2" xfId="36143" xr:uid="{00000000-0005-0000-0000-0000A08C0000}"/>
    <cellStyle name="40% - Accent5 9 3 6" xfId="24842" xr:uid="{00000000-0005-0000-0000-0000A18C0000}"/>
    <cellStyle name="40% - Accent5 9 4" xfId="2504" xr:uid="{00000000-0005-0000-0000-0000A28C0000}"/>
    <cellStyle name="40% - Accent5 9 4 2" xfId="8340" xr:uid="{00000000-0005-0000-0000-0000A38C0000}"/>
    <cellStyle name="40% - Accent5 9 4 2 2" xfId="19641" xr:uid="{00000000-0005-0000-0000-0000A48C0000}"/>
    <cellStyle name="40% - Accent5 9 4 2 2 2" xfId="42243" xr:uid="{00000000-0005-0000-0000-0000A58C0000}"/>
    <cellStyle name="40% - Accent5 9 4 2 3" xfId="30942" xr:uid="{00000000-0005-0000-0000-0000A68C0000}"/>
    <cellStyle name="40% - Accent5 9 4 3" xfId="13991" xr:uid="{00000000-0005-0000-0000-0000A78C0000}"/>
    <cellStyle name="40% - Accent5 9 4 3 2" xfId="36593" xr:uid="{00000000-0005-0000-0000-0000A88C0000}"/>
    <cellStyle name="40% - Accent5 9 4 4" xfId="25292" xr:uid="{00000000-0005-0000-0000-0000A98C0000}"/>
    <cellStyle name="40% - Accent5 9 5" xfId="4289" xr:uid="{00000000-0005-0000-0000-0000AA8C0000}"/>
    <cellStyle name="40% - Accent5 9 5 2" xfId="9939" xr:uid="{00000000-0005-0000-0000-0000AB8C0000}"/>
    <cellStyle name="40% - Accent5 9 5 2 2" xfId="21240" xr:uid="{00000000-0005-0000-0000-0000AC8C0000}"/>
    <cellStyle name="40% - Accent5 9 5 2 2 2" xfId="43842" xr:uid="{00000000-0005-0000-0000-0000AD8C0000}"/>
    <cellStyle name="40% - Accent5 9 5 2 3" xfId="32541" xr:uid="{00000000-0005-0000-0000-0000AE8C0000}"/>
    <cellStyle name="40% - Accent5 9 5 3" xfId="15590" xr:uid="{00000000-0005-0000-0000-0000AF8C0000}"/>
    <cellStyle name="40% - Accent5 9 5 3 2" xfId="38192" xr:uid="{00000000-0005-0000-0000-0000B08C0000}"/>
    <cellStyle name="40% - Accent5 9 5 4" xfId="26891" xr:uid="{00000000-0005-0000-0000-0000B18C0000}"/>
    <cellStyle name="40% - Accent5 9 6" xfId="6768" xr:uid="{00000000-0005-0000-0000-0000B28C0000}"/>
    <cellStyle name="40% - Accent5 9 6 2" xfId="18069" xr:uid="{00000000-0005-0000-0000-0000B38C0000}"/>
    <cellStyle name="40% - Accent5 9 6 2 2" xfId="40671" xr:uid="{00000000-0005-0000-0000-0000B48C0000}"/>
    <cellStyle name="40% - Accent5 9 6 3" xfId="29370" xr:uid="{00000000-0005-0000-0000-0000B58C0000}"/>
    <cellStyle name="40% - Accent5 9 7" xfId="12419" xr:uid="{00000000-0005-0000-0000-0000B68C0000}"/>
    <cellStyle name="40% - Accent5 9 7 2" xfId="35021" xr:uid="{00000000-0005-0000-0000-0000B78C0000}"/>
    <cellStyle name="40% - Accent5 9 8" xfId="23720" xr:uid="{00000000-0005-0000-0000-0000B88C0000}"/>
    <cellStyle name="40% - Accent6" xfId="40" builtinId="51" customBuiltin="1"/>
    <cellStyle name="40% - Accent6 10" xfId="1508" xr:uid="{00000000-0005-0000-0000-0000BA8C0000}"/>
    <cellStyle name="40% - Accent6 10 2" xfId="2035" xr:uid="{00000000-0005-0000-0000-0000BB8C0000}"/>
    <cellStyle name="40% - Accent6 10 2 2" xfId="3472" xr:uid="{00000000-0005-0000-0000-0000BC8C0000}"/>
    <cellStyle name="40% - Accent6 10 2 2 2" xfId="6444" xr:uid="{00000000-0005-0000-0000-0000BD8C0000}"/>
    <cellStyle name="40% - Accent6 10 2 2 2 2" xfId="12094" xr:uid="{00000000-0005-0000-0000-0000BE8C0000}"/>
    <cellStyle name="40% - Accent6 10 2 2 2 2 2" xfId="23395" xr:uid="{00000000-0005-0000-0000-0000BF8C0000}"/>
    <cellStyle name="40% - Accent6 10 2 2 2 2 2 2" xfId="45997" xr:uid="{00000000-0005-0000-0000-0000C08C0000}"/>
    <cellStyle name="40% - Accent6 10 2 2 2 2 3" xfId="34696" xr:uid="{00000000-0005-0000-0000-0000C18C0000}"/>
    <cellStyle name="40% - Accent6 10 2 2 2 3" xfId="17745" xr:uid="{00000000-0005-0000-0000-0000C28C0000}"/>
    <cellStyle name="40% - Accent6 10 2 2 2 3 2" xfId="40347" xr:uid="{00000000-0005-0000-0000-0000C38C0000}"/>
    <cellStyle name="40% - Accent6 10 2 2 2 4" xfId="29046" xr:uid="{00000000-0005-0000-0000-0000C48C0000}"/>
    <cellStyle name="40% - Accent6 10 2 2 3" xfId="9262" xr:uid="{00000000-0005-0000-0000-0000C58C0000}"/>
    <cellStyle name="40% - Accent6 10 2 2 3 2" xfId="20563" xr:uid="{00000000-0005-0000-0000-0000C68C0000}"/>
    <cellStyle name="40% - Accent6 10 2 2 3 2 2" xfId="43165" xr:uid="{00000000-0005-0000-0000-0000C78C0000}"/>
    <cellStyle name="40% - Accent6 10 2 2 3 3" xfId="31864" xr:uid="{00000000-0005-0000-0000-0000C88C0000}"/>
    <cellStyle name="40% - Accent6 10 2 2 4" xfId="14913" xr:uid="{00000000-0005-0000-0000-0000C98C0000}"/>
    <cellStyle name="40% - Accent6 10 2 2 4 2" xfId="37515" xr:uid="{00000000-0005-0000-0000-0000CA8C0000}"/>
    <cellStyle name="40% - Accent6 10 2 2 5" xfId="26214" xr:uid="{00000000-0005-0000-0000-0000CB8C0000}"/>
    <cellStyle name="40% - Accent6 10 2 3" xfId="5210" xr:uid="{00000000-0005-0000-0000-0000CC8C0000}"/>
    <cellStyle name="40% - Accent6 10 2 3 2" xfId="10860" xr:uid="{00000000-0005-0000-0000-0000CD8C0000}"/>
    <cellStyle name="40% - Accent6 10 2 3 2 2" xfId="22161" xr:uid="{00000000-0005-0000-0000-0000CE8C0000}"/>
    <cellStyle name="40% - Accent6 10 2 3 2 2 2" xfId="44763" xr:uid="{00000000-0005-0000-0000-0000CF8C0000}"/>
    <cellStyle name="40% - Accent6 10 2 3 2 3" xfId="33462" xr:uid="{00000000-0005-0000-0000-0000D08C0000}"/>
    <cellStyle name="40% - Accent6 10 2 3 3" xfId="16511" xr:uid="{00000000-0005-0000-0000-0000D18C0000}"/>
    <cellStyle name="40% - Accent6 10 2 3 3 2" xfId="39113" xr:uid="{00000000-0005-0000-0000-0000D28C0000}"/>
    <cellStyle name="40% - Accent6 10 2 3 4" xfId="27812" xr:uid="{00000000-0005-0000-0000-0000D38C0000}"/>
    <cellStyle name="40% - Accent6 10 2 4" xfId="7891" xr:uid="{00000000-0005-0000-0000-0000D48C0000}"/>
    <cellStyle name="40% - Accent6 10 2 4 2" xfId="19192" xr:uid="{00000000-0005-0000-0000-0000D58C0000}"/>
    <cellStyle name="40% - Accent6 10 2 4 2 2" xfId="41794" xr:uid="{00000000-0005-0000-0000-0000D68C0000}"/>
    <cellStyle name="40% - Accent6 10 2 4 3" xfId="30493" xr:uid="{00000000-0005-0000-0000-0000D78C0000}"/>
    <cellStyle name="40% - Accent6 10 2 5" xfId="13542" xr:uid="{00000000-0005-0000-0000-0000D88C0000}"/>
    <cellStyle name="40% - Accent6 10 2 5 2" xfId="36144" xr:uid="{00000000-0005-0000-0000-0000D98C0000}"/>
    <cellStyle name="40% - Accent6 10 2 6" xfId="24843" xr:uid="{00000000-0005-0000-0000-0000DA8C0000}"/>
    <cellStyle name="40% - Accent6 10 3" xfId="2803" xr:uid="{00000000-0005-0000-0000-0000DB8C0000}"/>
    <cellStyle name="40% - Accent6 10 3 2" xfId="5820" xr:uid="{00000000-0005-0000-0000-0000DC8C0000}"/>
    <cellStyle name="40% - Accent6 10 3 2 2" xfId="11470" xr:uid="{00000000-0005-0000-0000-0000DD8C0000}"/>
    <cellStyle name="40% - Accent6 10 3 2 2 2" xfId="22771" xr:uid="{00000000-0005-0000-0000-0000DE8C0000}"/>
    <cellStyle name="40% - Accent6 10 3 2 2 2 2" xfId="45373" xr:uid="{00000000-0005-0000-0000-0000DF8C0000}"/>
    <cellStyle name="40% - Accent6 10 3 2 2 3" xfId="34072" xr:uid="{00000000-0005-0000-0000-0000E08C0000}"/>
    <cellStyle name="40% - Accent6 10 3 2 3" xfId="17121" xr:uid="{00000000-0005-0000-0000-0000E18C0000}"/>
    <cellStyle name="40% - Accent6 10 3 2 3 2" xfId="39723" xr:uid="{00000000-0005-0000-0000-0000E28C0000}"/>
    <cellStyle name="40% - Accent6 10 3 2 4" xfId="28422" xr:uid="{00000000-0005-0000-0000-0000E38C0000}"/>
    <cellStyle name="40% - Accent6 10 3 3" xfId="8637" xr:uid="{00000000-0005-0000-0000-0000E48C0000}"/>
    <cellStyle name="40% - Accent6 10 3 3 2" xfId="19938" xr:uid="{00000000-0005-0000-0000-0000E58C0000}"/>
    <cellStyle name="40% - Accent6 10 3 3 2 2" xfId="42540" xr:uid="{00000000-0005-0000-0000-0000E68C0000}"/>
    <cellStyle name="40% - Accent6 10 3 3 3" xfId="31239" xr:uid="{00000000-0005-0000-0000-0000E78C0000}"/>
    <cellStyle name="40% - Accent6 10 3 4" xfId="14288" xr:uid="{00000000-0005-0000-0000-0000E88C0000}"/>
    <cellStyle name="40% - Accent6 10 3 4 2" xfId="36890" xr:uid="{00000000-0005-0000-0000-0000E98C0000}"/>
    <cellStyle name="40% - Accent6 10 3 5" xfId="25589" xr:uid="{00000000-0005-0000-0000-0000EA8C0000}"/>
    <cellStyle name="40% - Accent6 10 4" xfId="4586" xr:uid="{00000000-0005-0000-0000-0000EB8C0000}"/>
    <cellStyle name="40% - Accent6 10 4 2" xfId="10236" xr:uid="{00000000-0005-0000-0000-0000EC8C0000}"/>
    <cellStyle name="40% - Accent6 10 4 2 2" xfId="21537" xr:uid="{00000000-0005-0000-0000-0000ED8C0000}"/>
    <cellStyle name="40% - Accent6 10 4 2 2 2" xfId="44139" xr:uid="{00000000-0005-0000-0000-0000EE8C0000}"/>
    <cellStyle name="40% - Accent6 10 4 2 3" xfId="32838" xr:uid="{00000000-0005-0000-0000-0000EF8C0000}"/>
    <cellStyle name="40% - Accent6 10 4 3" xfId="15887" xr:uid="{00000000-0005-0000-0000-0000F08C0000}"/>
    <cellStyle name="40% - Accent6 10 4 3 2" xfId="38489" xr:uid="{00000000-0005-0000-0000-0000F18C0000}"/>
    <cellStyle name="40% - Accent6 10 4 4" xfId="27188" xr:uid="{00000000-0005-0000-0000-0000F28C0000}"/>
    <cellStyle name="40% - Accent6 10 5" xfId="7395" xr:uid="{00000000-0005-0000-0000-0000F38C0000}"/>
    <cellStyle name="40% - Accent6 10 5 2" xfId="18696" xr:uid="{00000000-0005-0000-0000-0000F48C0000}"/>
    <cellStyle name="40% - Accent6 10 5 2 2" xfId="41298" xr:uid="{00000000-0005-0000-0000-0000F58C0000}"/>
    <cellStyle name="40% - Accent6 10 5 3" xfId="29997" xr:uid="{00000000-0005-0000-0000-0000F68C0000}"/>
    <cellStyle name="40% - Accent6 10 6" xfId="13046" xr:uid="{00000000-0005-0000-0000-0000F78C0000}"/>
    <cellStyle name="40% - Accent6 10 6 2" xfId="35648" xr:uid="{00000000-0005-0000-0000-0000F88C0000}"/>
    <cellStyle name="40% - Accent6 10 7" xfId="24347" xr:uid="{00000000-0005-0000-0000-0000F98C0000}"/>
    <cellStyle name="40% - Accent6 11" xfId="1489" xr:uid="{00000000-0005-0000-0000-0000FA8C0000}"/>
    <cellStyle name="40% - Accent6 11 2" xfId="2036" xr:uid="{00000000-0005-0000-0000-0000FB8C0000}"/>
    <cellStyle name="40% - Accent6 11 2 2" xfId="3821" xr:uid="{00000000-0005-0000-0000-0000FC8C0000}"/>
    <cellStyle name="40% - Accent6 11 2 2 2" xfId="9531" xr:uid="{00000000-0005-0000-0000-0000FD8C0000}"/>
    <cellStyle name="40% - Accent6 11 2 2 2 2" xfId="20832" xr:uid="{00000000-0005-0000-0000-0000FE8C0000}"/>
    <cellStyle name="40% - Accent6 11 2 2 2 2 2" xfId="43434" xr:uid="{00000000-0005-0000-0000-0000FF8C0000}"/>
    <cellStyle name="40% - Accent6 11 2 2 2 3" xfId="32133" xr:uid="{00000000-0005-0000-0000-0000008D0000}"/>
    <cellStyle name="40% - Accent6 11 2 2 3" xfId="15182" xr:uid="{00000000-0005-0000-0000-0000018D0000}"/>
    <cellStyle name="40% - Accent6 11 2 2 3 2" xfId="37784" xr:uid="{00000000-0005-0000-0000-0000028D0000}"/>
    <cellStyle name="40% - Accent6 11 2 2 4" xfId="26483" xr:uid="{00000000-0005-0000-0000-0000038D0000}"/>
    <cellStyle name="40% - Accent6 11 2 3" xfId="7892" xr:uid="{00000000-0005-0000-0000-0000048D0000}"/>
    <cellStyle name="40% - Accent6 11 2 3 2" xfId="19193" xr:uid="{00000000-0005-0000-0000-0000058D0000}"/>
    <cellStyle name="40% - Accent6 11 2 3 2 2" xfId="41795" xr:uid="{00000000-0005-0000-0000-0000068D0000}"/>
    <cellStyle name="40% - Accent6 11 2 3 3" xfId="30494" xr:uid="{00000000-0005-0000-0000-0000078D0000}"/>
    <cellStyle name="40% - Accent6 11 2 4" xfId="13543" xr:uid="{00000000-0005-0000-0000-0000088D0000}"/>
    <cellStyle name="40% - Accent6 11 2 4 2" xfId="36145" xr:uid="{00000000-0005-0000-0000-0000098D0000}"/>
    <cellStyle name="40% - Accent6 11 2 5" xfId="24844" xr:uid="{00000000-0005-0000-0000-00000A8D0000}"/>
    <cellStyle name="40% - Accent6 11 3" xfId="2188" xr:uid="{00000000-0005-0000-0000-00000B8D0000}"/>
    <cellStyle name="40% - Accent6 11 3 2" xfId="8032" xr:uid="{00000000-0005-0000-0000-00000C8D0000}"/>
    <cellStyle name="40% - Accent6 11 3 2 2" xfId="19333" xr:uid="{00000000-0005-0000-0000-00000D8D0000}"/>
    <cellStyle name="40% - Accent6 11 3 2 2 2" xfId="41935" xr:uid="{00000000-0005-0000-0000-00000E8D0000}"/>
    <cellStyle name="40% - Accent6 11 3 2 3" xfId="30634" xr:uid="{00000000-0005-0000-0000-00000F8D0000}"/>
    <cellStyle name="40% - Accent6 11 3 3" xfId="13683" xr:uid="{00000000-0005-0000-0000-0000108D0000}"/>
    <cellStyle name="40% - Accent6 11 3 3 2" xfId="36285" xr:uid="{00000000-0005-0000-0000-0000118D0000}"/>
    <cellStyle name="40% - Accent6 11 3 4" xfId="24984" xr:uid="{00000000-0005-0000-0000-0000128D0000}"/>
    <cellStyle name="40% - Accent6 11 4" xfId="3984" xr:uid="{00000000-0005-0000-0000-0000138D0000}"/>
    <cellStyle name="40% - Accent6 11 4 2" xfId="9634" xr:uid="{00000000-0005-0000-0000-0000148D0000}"/>
    <cellStyle name="40% - Accent6 11 4 2 2" xfId="20935" xr:uid="{00000000-0005-0000-0000-0000158D0000}"/>
    <cellStyle name="40% - Accent6 11 4 2 2 2" xfId="43537" xr:uid="{00000000-0005-0000-0000-0000168D0000}"/>
    <cellStyle name="40% - Accent6 11 4 2 3" xfId="32236" xr:uid="{00000000-0005-0000-0000-0000178D0000}"/>
    <cellStyle name="40% - Accent6 11 4 3" xfId="15285" xr:uid="{00000000-0005-0000-0000-0000188D0000}"/>
    <cellStyle name="40% - Accent6 11 4 3 2" xfId="37887" xr:uid="{00000000-0005-0000-0000-0000198D0000}"/>
    <cellStyle name="40% - Accent6 11 4 4" xfId="26586" xr:uid="{00000000-0005-0000-0000-00001A8D0000}"/>
    <cellStyle name="40% - Accent6 11 5" xfId="7391" xr:uid="{00000000-0005-0000-0000-00001B8D0000}"/>
    <cellStyle name="40% - Accent6 11 5 2" xfId="18692" xr:uid="{00000000-0005-0000-0000-00001C8D0000}"/>
    <cellStyle name="40% - Accent6 11 5 2 2" xfId="41294" xr:uid="{00000000-0005-0000-0000-00001D8D0000}"/>
    <cellStyle name="40% - Accent6 11 5 3" xfId="29993" xr:uid="{00000000-0005-0000-0000-00001E8D0000}"/>
    <cellStyle name="40% - Accent6 11 6" xfId="13042" xr:uid="{00000000-0005-0000-0000-00001F8D0000}"/>
    <cellStyle name="40% - Accent6 11 6 2" xfId="35644" xr:uid="{00000000-0005-0000-0000-0000208D0000}"/>
    <cellStyle name="40% - Accent6 11 7" xfId="24343" xr:uid="{00000000-0005-0000-0000-0000218D0000}"/>
    <cellStyle name="40% - Accent6 12" xfId="1533" xr:uid="{00000000-0005-0000-0000-0000228D0000}"/>
    <cellStyle name="40% - Accent6 12 2" xfId="3957" xr:uid="{00000000-0005-0000-0000-0000238D0000}"/>
    <cellStyle name="40% - Accent6 12 2 2" xfId="9619" xr:uid="{00000000-0005-0000-0000-0000248D0000}"/>
    <cellStyle name="40% - Accent6 12 2 2 2" xfId="20920" xr:uid="{00000000-0005-0000-0000-0000258D0000}"/>
    <cellStyle name="40% - Accent6 12 2 2 2 2" xfId="43522" xr:uid="{00000000-0005-0000-0000-0000268D0000}"/>
    <cellStyle name="40% - Accent6 12 2 2 3" xfId="32221" xr:uid="{00000000-0005-0000-0000-0000278D0000}"/>
    <cellStyle name="40% - Accent6 12 2 3" xfId="15270" xr:uid="{00000000-0005-0000-0000-0000288D0000}"/>
    <cellStyle name="40% - Accent6 12 2 3 2" xfId="37872" xr:uid="{00000000-0005-0000-0000-0000298D0000}"/>
    <cellStyle name="40% - Accent6 12 2 4" xfId="26571" xr:uid="{00000000-0005-0000-0000-00002A8D0000}"/>
    <cellStyle name="40% - Accent6 13" xfId="3492" xr:uid="{00000000-0005-0000-0000-00002B8D0000}"/>
    <cellStyle name="40% - Accent6 14" xfId="117" xr:uid="{00000000-0005-0000-0000-00002C8D0000}"/>
    <cellStyle name="40% - Accent6 2" xfId="59" xr:uid="{00000000-0005-0000-0000-00002D8D0000}"/>
    <cellStyle name="40% - Accent6 2 2" xfId="283" xr:uid="{00000000-0005-0000-0000-00002E8D0000}"/>
    <cellStyle name="40% - Accent6 2 2 10" xfId="23447" xr:uid="{00000000-0005-0000-0000-00002F8D0000}"/>
    <cellStyle name="40% - Accent6 2 2 2" xfId="596" xr:uid="{00000000-0005-0000-0000-0000308D0000}"/>
    <cellStyle name="40% - Accent6 2 2 2 2" xfId="1307" xr:uid="{00000000-0005-0000-0000-0000318D0000}"/>
    <cellStyle name="40% - Accent6 2 2 2 2 2" xfId="2039" xr:uid="{00000000-0005-0000-0000-0000328D0000}"/>
    <cellStyle name="40% - Accent6 2 2 2 2 2 2" xfId="3376" xr:uid="{00000000-0005-0000-0000-0000338D0000}"/>
    <cellStyle name="40% - Accent6 2 2 2 2 2 2 2" xfId="6348" xr:uid="{00000000-0005-0000-0000-0000348D0000}"/>
    <cellStyle name="40% - Accent6 2 2 2 2 2 2 2 2" xfId="11998" xr:uid="{00000000-0005-0000-0000-0000358D0000}"/>
    <cellStyle name="40% - Accent6 2 2 2 2 2 2 2 2 2" xfId="23299" xr:uid="{00000000-0005-0000-0000-0000368D0000}"/>
    <cellStyle name="40% - Accent6 2 2 2 2 2 2 2 2 2 2" xfId="45901" xr:uid="{00000000-0005-0000-0000-0000378D0000}"/>
    <cellStyle name="40% - Accent6 2 2 2 2 2 2 2 2 3" xfId="34600" xr:uid="{00000000-0005-0000-0000-0000388D0000}"/>
    <cellStyle name="40% - Accent6 2 2 2 2 2 2 2 3" xfId="17649" xr:uid="{00000000-0005-0000-0000-0000398D0000}"/>
    <cellStyle name="40% - Accent6 2 2 2 2 2 2 2 3 2" xfId="40251" xr:uid="{00000000-0005-0000-0000-00003A8D0000}"/>
    <cellStyle name="40% - Accent6 2 2 2 2 2 2 2 4" xfId="28950" xr:uid="{00000000-0005-0000-0000-00003B8D0000}"/>
    <cellStyle name="40% - Accent6 2 2 2 2 2 2 3" xfId="9166" xr:uid="{00000000-0005-0000-0000-00003C8D0000}"/>
    <cellStyle name="40% - Accent6 2 2 2 2 2 2 3 2" xfId="20467" xr:uid="{00000000-0005-0000-0000-00003D8D0000}"/>
    <cellStyle name="40% - Accent6 2 2 2 2 2 2 3 2 2" xfId="43069" xr:uid="{00000000-0005-0000-0000-00003E8D0000}"/>
    <cellStyle name="40% - Accent6 2 2 2 2 2 2 3 3" xfId="31768" xr:uid="{00000000-0005-0000-0000-00003F8D0000}"/>
    <cellStyle name="40% - Accent6 2 2 2 2 2 2 4" xfId="14817" xr:uid="{00000000-0005-0000-0000-0000408D0000}"/>
    <cellStyle name="40% - Accent6 2 2 2 2 2 2 4 2" xfId="37419" xr:uid="{00000000-0005-0000-0000-0000418D0000}"/>
    <cellStyle name="40% - Accent6 2 2 2 2 2 2 5" xfId="26118" xr:uid="{00000000-0005-0000-0000-0000428D0000}"/>
    <cellStyle name="40% - Accent6 2 2 2 2 2 3" xfId="5114" xr:uid="{00000000-0005-0000-0000-0000438D0000}"/>
    <cellStyle name="40% - Accent6 2 2 2 2 2 3 2" xfId="10764" xr:uid="{00000000-0005-0000-0000-0000448D0000}"/>
    <cellStyle name="40% - Accent6 2 2 2 2 2 3 2 2" xfId="22065" xr:uid="{00000000-0005-0000-0000-0000458D0000}"/>
    <cellStyle name="40% - Accent6 2 2 2 2 2 3 2 2 2" xfId="44667" xr:uid="{00000000-0005-0000-0000-0000468D0000}"/>
    <cellStyle name="40% - Accent6 2 2 2 2 2 3 2 3" xfId="33366" xr:uid="{00000000-0005-0000-0000-0000478D0000}"/>
    <cellStyle name="40% - Accent6 2 2 2 2 2 3 3" xfId="16415" xr:uid="{00000000-0005-0000-0000-0000488D0000}"/>
    <cellStyle name="40% - Accent6 2 2 2 2 2 3 3 2" xfId="39017" xr:uid="{00000000-0005-0000-0000-0000498D0000}"/>
    <cellStyle name="40% - Accent6 2 2 2 2 2 3 4" xfId="27716" xr:uid="{00000000-0005-0000-0000-00004A8D0000}"/>
    <cellStyle name="40% - Accent6 2 2 2 2 2 4" xfId="7895" xr:uid="{00000000-0005-0000-0000-00004B8D0000}"/>
    <cellStyle name="40% - Accent6 2 2 2 2 2 4 2" xfId="19196" xr:uid="{00000000-0005-0000-0000-00004C8D0000}"/>
    <cellStyle name="40% - Accent6 2 2 2 2 2 4 2 2" xfId="41798" xr:uid="{00000000-0005-0000-0000-00004D8D0000}"/>
    <cellStyle name="40% - Accent6 2 2 2 2 2 4 3" xfId="30497" xr:uid="{00000000-0005-0000-0000-00004E8D0000}"/>
    <cellStyle name="40% - Accent6 2 2 2 2 2 5" xfId="13546" xr:uid="{00000000-0005-0000-0000-00004F8D0000}"/>
    <cellStyle name="40% - Accent6 2 2 2 2 2 5 2" xfId="36148" xr:uid="{00000000-0005-0000-0000-0000508D0000}"/>
    <cellStyle name="40% - Accent6 2 2 2 2 2 6" xfId="24847" xr:uid="{00000000-0005-0000-0000-0000518D0000}"/>
    <cellStyle name="40% - Accent6 2 2 2 2 3" xfId="2705" xr:uid="{00000000-0005-0000-0000-0000528D0000}"/>
    <cellStyle name="40% - Accent6 2 2 2 2 3 2" xfId="5724" xr:uid="{00000000-0005-0000-0000-0000538D0000}"/>
    <cellStyle name="40% - Accent6 2 2 2 2 3 2 2" xfId="11374" xr:uid="{00000000-0005-0000-0000-0000548D0000}"/>
    <cellStyle name="40% - Accent6 2 2 2 2 3 2 2 2" xfId="22675" xr:uid="{00000000-0005-0000-0000-0000558D0000}"/>
    <cellStyle name="40% - Accent6 2 2 2 2 3 2 2 2 2" xfId="45277" xr:uid="{00000000-0005-0000-0000-0000568D0000}"/>
    <cellStyle name="40% - Accent6 2 2 2 2 3 2 2 3" xfId="33976" xr:uid="{00000000-0005-0000-0000-0000578D0000}"/>
    <cellStyle name="40% - Accent6 2 2 2 2 3 2 3" xfId="17025" xr:uid="{00000000-0005-0000-0000-0000588D0000}"/>
    <cellStyle name="40% - Accent6 2 2 2 2 3 2 3 2" xfId="39627" xr:uid="{00000000-0005-0000-0000-0000598D0000}"/>
    <cellStyle name="40% - Accent6 2 2 2 2 3 2 4" xfId="28326" xr:uid="{00000000-0005-0000-0000-00005A8D0000}"/>
    <cellStyle name="40% - Accent6 2 2 2 2 3 3" xfId="8541" xr:uid="{00000000-0005-0000-0000-00005B8D0000}"/>
    <cellStyle name="40% - Accent6 2 2 2 2 3 3 2" xfId="19842" xr:uid="{00000000-0005-0000-0000-00005C8D0000}"/>
    <cellStyle name="40% - Accent6 2 2 2 2 3 3 2 2" xfId="42444" xr:uid="{00000000-0005-0000-0000-00005D8D0000}"/>
    <cellStyle name="40% - Accent6 2 2 2 2 3 3 3" xfId="31143" xr:uid="{00000000-0005-0000-0000-00005E8D0000}"/>
    <cellStyle name="40% - Accent6 2 2 2 2 3 4" xfId="14192" xr:uid="{00000000-0005-0000-0000-00005F8D0000}"/>
    <cellStyle name="40% - Accent6 2 2 2 2 3 4 2" xfId="36794" xr:uid="{00000000-0005-0000-0000-0000608D0000}"/>
    <cellStyle name="40% - Accent6 2 2 2 2 3 5" xfId="25493" xr:uid="{00000000-0005-0000-0000-0000618D0000}"/>
    <cellStyle name="40% - Accent6 2 2 2 2 4" xfId="4490" xr:uid="{00000000-0005-0000-0000-0000628D0000}"/>
    <cellStyle name="40% - Accent6 2 2 2 2 4 2" xfId="10140" xr:uid="{00000000-0005-0000-0000-0000638D0000}"/>
    <cellStyle name="40% - Accent6 2 2 2 2 4 2 2" xfId="21441" xr:uid="{00000000-0005-0000-0000-0000648D0000}"/>
    <cellStyle name="40% - Accent6 2 2 2 2 4 2 2 2" xfId="44043" xr:uid="{00000000-0005-0000-0000-0000658D0000}"/>
    <cellStyle name="40% - Accent6 2 2 2 2 4 2 3" xfId="32742" xr:uid="{00000000-0005-0000-0000-0000668D0000}"/>
    <cellStyle name="40% - Accent6 2 2 2 2 4 3" xfId="15791" xr:uid="{00000000-0005-0000-0000-0000678D0000}"/>
    <cellStyle name="40% - Accent6 2 2 2 2 4 3 2" xfId="38393" xr:uid="{00000000-0005-0000-0000-0000688D0000}"/>
    <cellStyle name="40% - Accent6 2 2 2 2 4 4" xfId="27092" xr:uid="{00000000-0005-0000-0000-0000698D0000}"/>
    <cellStyle name="40% - Accent6 2 2 2 2 5" xfId="7286" xr:uid="{00000000-0005-0000-0000-00006A8D0000}"/>
    <cellStyle name="40% - Accent6 2 2 2 2 5 2" xfId="18587" xr:uid="{00000000-0005-0000-0000-00006B8D0000}"/>
    <cellStyle name="40% - Accent6 2 2 2 2 5 2 2" xfId="41189" xr:uid="{00000000-0005-0000-0000-00006C8D0000}"/>
    <cellStyle name="40% - Accent6 2 2 2 2 5 3" xfId="29888" xr:uid="{00000000-0005-0000-0000-00006D8D0000}"/>
    <cellStyle name="40% - Accent6 2 2 2 2 6" xfId="12937" xr:uid="{00000000-0005-0000-0000-00006E8D0000}"/>
    <cellStyle name="40% - Accent6 2 2 2 2 6 2" xfId="35539" xr:uid="{00000000-0005-0000-0000-00006F8D0000}"/>
    <cellStyle name="40% - Accent6 2 2 2 2 7" xfId="24238" xr:uid="{00000000-0005-0000-0000-0000708D0000}"/>
    <cellStyle name="40% - Accent6 2 2 2 3" xfId="1005" xr:uid="{00000000-0005-0000-0000-0000718D0000}"/>
    <cellStyle name="40% - Accent6 2 2 2 3 2" xfId="3068" xr:uid="{00000000-0005-0000-0000-0000728D0000}"/>
    <cellStyle name="40% - Accent6 2 2 2 3 2 2" xfId="6040" xr:uid="{00000000-0005-0000-0000-0000738D0000}"/>
    <cellStyle name="40% - Accent6 2 2 2 3 2 2 2" xfId="11690" xr:uid="{00000000-0005-0000-0000-0000748D0000}"/>
    <cellStyle name="40% - Accent6 2 2 2 3 2 2 2 2" xfId="22991" xr:uid="{00000000-0005-0000-0000-0000758D0000}"/>
    <cellStyle name="40% - Accent6 2 2 2 3 2 2 2 2 2" xfId="45593" xr:uid="{00000000-0005-0000-0000-0000768D0000}"/>
    <cellStyle name="40% - Accent6 2 2 2 3 2 2 2 3" xfId="34292" xr:uid="{00000000-0005-0000-0000-0000778D0000}"/>
    <cellStyle name="40% - Accent6 2 2 2 3 2 2 3" xfId="17341" xr:uid="{00000000-0005-0000-0000-0000788D0000}"/>
    <cellStyle name="40% - Accent6 2 2 2 3 2 2 3 2" xfId="39943" xr:uid="{00000000-0005-0000-0000-0000798D0000}"/>
    <cellStyle name="40% - Accent6 2 2 2 3 2 2 4" xfId="28642" xr:uid="{00000000-0005-0000-0000-00007A8D0000}"/>
    <cellStyle name="40% - Accent6 2 2 2 3 2 3" xfId="8858" xr:uid="{00000000-0005-0000-0000-00007B8D0000}"/>
    <cellStyle name="40% - Accent6 2 2 2 3 2 3 2" xfId="20159" xr:uid="{00000000-0005-0000-0000-00007C8D0000}"/>
    <cellStyle name="40% - Accent6 2 2 2 3 2 3 2 2" xfId="42761" xr:uid="{00000000-0005-0000-0000-00007D8D0000}"/>
    <cellStyle name="40% - Accent6 2 2 2 3 2 3 3" xfId="31460" xr:uid="{00000000-0005-0000-0000-00007E8D0000}"/>
    <cellStyle name="40% - Accent6 2 2 2 3 2 4" xfId="14509" xr:uid="{00000000-0005-0000-0000-00007F8D0000}"/>
    <cellStyle name="40% - Accent6 2 2 2 3 2 4 2" xfId="37111" xr:uid="{00000000-0005-0000-0000-0000808D0000}"/>
    <cellStyle name="40% - Accent6 2 2 2 3 2 5" xfId="25810" xr:uid="{00000000-0005-0000-0000-0000818D0000}"/>
    <cellStyle name="40% - Accent6 2 2 2 3 3" xfId="4806" xr:uid="{00000000-0005-0000-0000-0000828D0000}"/>
    <cellStyle name="40% - Accent6 2 2 2 3 3 2" xfId="10456" xr:uid="{00000000-0005-0000-0000-0000838D0000}"/>
    <cellStyle name="40% - Accent6 2 2 2 3 3 2 2" xfId="21757" xr:uid="{00000000-0005-0000-0000-0000848D0000}"/>
    <cellStyle name="40% - Accent6 2 2 2 3 3 2 2 2" xfId="44359" xr:uid="{00000000-0005-0000-0000-0000858D0000}"/>
    <cellStyle name="40% - Accent6 2 2 2 3 3 2 3" xfId="33058" xr:uid="{00000000-0005-0000-0000-0000868D0000}"/>
    <cellStyle name="40% - Accent6 2 2 2 3 3 3" xfId="16107" xr:uid="{00000000-0005-0000-0000-0000878D0000}"/>
    <cellStyle name="40% - Accent6 2 2 2 3 3 3 2" xfId="38709" xr:uid="{00000000-0005-0000-0000-0000888D0000}"/>
    <cellStyle name="40% - Accent6 2 2 2 3 3 4" xfId="27408" xr:uid="{00000000-0005-0000-0000-0000898D0000}"/>
    <cellStyle name="40% - Accent6 2 2 2 3 4" xfId="6993" xr:uid="{00000000-0005-0000-0000-00008A8D0000}"/>
    <cellStyle name="40% - Accent6 2 2 2 3 4 2" xfId="18294" xr:uid="{00000000-0005-0000-0000-00008B8D0000}"/>
    <cellStyle name="40% - Accent6 2 2 2 3 4 2 2" xfId="40896" xr:uid="{00000000-0005-0000-0000-00008C8D0000}"/>
    <cellStyle name="40% - Accent6 2 2 2 3 4 3" xfId="29595" xr:uid="{00000000-0005-0000-0000-00008D8D0000}"/>
    <cellStyle name="40% - Accent6 2 2 2 3 5" xfId="12644" xr:uid="{00000000-0005-0000-0000-00008E8D0000}"/>
    <cellStyle name="40% - Accent6 2 2 2 3 5 2" xfId="35246" xr:uid="{00000000-0005-0000-0000-00008F8D0000}"/>
    <cellStyle name="40% - Accent6 2 2 2 3 6" xfId="23945" xr:uid="{00000000-0005-0000-0000-0000908D0000}"/>
    <cellStyle name="40% - Accent6 2 2 2 4" xfId="2038" xr:uid="{00000000-0005-0000-0000-0000918D0000}"/>
    <cellStyle name="40% - Accent6 2 2 2 4 2" xfId="3823" xr:uid="{00000000-0005-0000-0000-0000928D0000}"/>
    <cellStyle name="40% - Accent6 2 2 2 4 2 2" xfId="9533" xr:uid="{00000000-0005-0000-0000-0000938D0000}"/>
    <cellStyle name="40% - Accent6 2 2 2 4 2 2 2" xfId="20834" xr:uid="{00000000-0005-0000-0000-0000948D0000}"/>
    <cellStyle name="40% - Accent6 2 2 2 4 2 2 2 2" xfId="43436" xr:uid="{00000000-0005-0000-0000-0000958D0000}"/>
    <cellStyle name="40% - Accent6 2 2 2 4 2 2 3" xfId="32135" xr:uid="{00000000-0005-0000-0000-0000968D0000}"/>
    <cellStyle name="40% - Accent6 2 2 2 4 2 3" xfId="15184" xr:uid="{00000000-0005-0000-0000-0000978D0000}"/>
    <cellStyle name="40% - Accent6 2 2 2 4 2 3 2" xfId="37786" xr:uid="{00000000-0005-0000-0000-0000988D0000}"/>
    <cellStyle name="40% - Accent6 2 2 2 4 2 4" xfId="26485" xr:uid="{00000000-0005-0000-0000-0000998D0000}"/>
    <cellStyle name="40% - Accent6 2 2 2 4 3" xfId="5416" xr:uid="{00000000-0005-0000-0000-00009A8D0000}"/>
    <cellStyle name="40% - Accent6 2 2 2 4 3 2" xfId="11066" xr:uid="{00000000-0005-0000-0000-00009B8D0000}"/>
    <cellStyle name="40% - Accent6 2 2 2 4 3 2 2" xfId="22367" xr:uid="{00000000-0005-0000-0000-00009C8D0000}"/>
    <cellStyle name="40% - Accent6 2 2 2 4 3 2 2 2" xfId="44969" xr:uid="{00000000-0005-0000-0000-00009D8D0000}"/>
    <cellStyle name="40% - Accent6 2 2 2 4 3 2 3" xfId="33668" xr:uid="{00000000-0005-0000-0000-00009E8D0000}"/>
    <cellStyle name="40% - Accent6 2 2 2 4 3 3" xfId="16717" xr:uid="{00000000-0005-0000-0000-00009F8D0000}"/>
    <cellStyle name="40% - Accent6 2 2 2 4 3 3 2" xfId="39319" xr:uid="{00000000-0005-0000-0000-0000A08D0000}"/>
    <cellStyle name="40% - Accent6 2 2 2 4 3 4" xfId="28018" xr:uid="{00000000-0005-0000-0000-0000A18D0000}"/>
    <cellStyle name="40% - Accent6 2 2 2 4 4" xfId="7894" xr:uid="{00000000-0005-0000-0000-0000A28D0000}"/>
    <cellStyle name="40% - Accent6 2 2 2 4 4 2" xfId="19195" xr:uid="{00000000-0005-0000-0000-0000A38D0000}"/>
    <cellStyle name="40% - Accent6 2 2 2 4 4 2 2" xfId="41797" xr:uid="{00000000-0005-0000-0000-0000A48D0000}"/>
    <cellStyle name="40% - Accent6 2 2 2 4 4 3" xfId="30496" xr:uid="{00000000-0005-0000-0000-0000A58D0000}"/>
    <cellStyle name="40% - Accent6 2 2 2 4 5" xfId="13545" xr:uid="{00000000-0005-0000-0000-0000A68D0000}"/>
    <cellStyle name="40% - Accent6 2 2 2 4 5 2" xfId="36147" xr:uid="{00000000-0005-0000-0000-0000A78D0000}"/>
    <cellStyle name="40% - Accent6 2 2 2 4 6" xfId="24846" xr:uid="{00000000-0005-0000-0000-0000A88D0000}"/>
    <cellStyle name="40% - Accent6 2 2 2 5" xfId="2397" xr:uid="{00000000-0005-0000-0000-0000A98D0000}"/>
    <cellStyle name="40% - Accent6 2 2 2 5 2" xfId="8233" xr:uid="{00000000-0005-0000-0000-0000AA8D0000}"/>
    <cellStyle name="40% - Accent6 2 2 2 5 2 2" xfId="19534" xr:uid="{00000000-0005-0000-0000-0000AB8D0000}"/>
    <cellStyle name="40% - Accent6 2 2 2 5 2 2 2" xfId="42136" xr:uid="{00000000-0005-0000-0000-0000AC8D0000}"/>
    <cellStyle name="40% - Accent6 2 2 2 5 2 3" xfId="30835" xr:uid="{00000000-0005-0000-0000-0000AD8D0000}"/>
    <cellStyle name="40% - Accent6 2 2 2 5 3" xfId="13884" xr:uid="{00000000-0005-0000-0000-0000AE8D0000}"/>
    <cellStyle name="40% - Accent6 2 2 2 5 3 2" xfId="36486" xr:uid="{00000000-0005-0000-0000-0000AF8D0000}"/>
    <cellStyle name="40% - Accent6 2 2 2 5 4" xfId="25185" xr:uid="{00000000-0005-0000-0000-0000B08D0000}"/>
    <cellStyle name="40% - Accent6 2 2 2 6" xfId="4182" xr:uid="{00000000-0005-0000-0000-0000B18D0000}"/>
    <cellStyle name="40% - Accent6 2 2 2 6 2" xfId="9832" xr:uid="{00000000-0005-0000-0000-0000B28D0000}"/>
    <cellStyle name="40% - Accent6 2 2 2 6 2 2" xfId="21133" xr:uid="{00000000-0005-0000-0000-0000B38D0000}"/>
    <cellStyle name="40% - Accent6 2 2 2 6 2 2 2" xfId="43735" xr:uid="{00000000-0005-0000-0000-0000B48D0000}"/>
    <cellStyle name="40% - Accent6 2 2 2 6 2 3" xfId="32434" xr:uid="{00000000-0005-0000-0000-0000B58D0000}"/>
    <cellStyle name="40% - Accent6 2 2 2 6 3" xfId="15483" xr:uid="{00000000-0005-0000-0000-0000B68D0000}"/>
    <cellStyle name="40% - Accent6 2 2 2 6 3 2" xfId="38085" xr:uid="{00000000-0005-0000-0000-0000B78D0000}"/>
    <cellStyle name="40% - Accent6 2 2 2 6 4" xfId="26784" xr:uid="{00000000-0005-0000-0000-0000B88D0000}"/>
    <cellStyle name="40% - Accent6 2 2 2 7" xfId="6662" xr:uid="{00000000-0005-0000-0000-0000B98D0000}"/>
    <cellStyle name="40% - Accent6 2 2 2 7 2" xfId="17963" xr:uid="{00000000-0005-0000-0000-0000BA8D0000}"/>
    <cellStyle name="40% - Accent6 2 2 2 7 2 2" xfId="40565" xr:uid="{00000000-0005-0000-0000-0000BB8D0000}"/>
    <cellStyle name="40% - Accent6 2 2 2 7 3" xfId="29264" xr:uid="{00000000-0005-0000-0000-0000BC8D0000}"/>
    <cellStyle name="40% - Accent6 2 2 2 8" xfId="12313" xr:uid="{00000000-0005-0000-0000-0000BD8D0000}"/>
    <cellStyle name="40% - Accent6 2 2 2 8 2" xfId="34915" xr:uid="{00000000-0005-0000-0000-0000BE8D0000}"/>
    <cellStyle name="40% - Accent6 2 2 2 9" xfId="23614" xr:uid="{00000000-0005-0000-0000-0000BF8D0000}"/>
    <cellStyle name="40% - Accent6 2 2 3" xfId="1169" xr:uid="{00000000-0005-0000-0000-0000C08D0000}"/>
    <cellStyle name="40% - Accent6 2 2 3 2" xfId="2040" xr:uid="{00000000-0005-0000-0000-0000C18D0000}"/>
    <cellStyle name="40% - Accent6 2 2 3 2 2" xfId="3237" xr:uid="{00000000-0005-0000-0000-0000C28D0000}"/>
    <cellStyle name="40% - Accent6 2 2 3 2 2 2" xfId="6209" xr:uid="{00000000-0005-0000-0000-0000C38D0000}"/>
    <cellStyle name="40% - Accent6 2 2 3 2 2 2 2" xfId="11859" xr:uid="{00000000-0005-0000-0000-0000C48D0000}"/>
    <cellStyle name="40% - Accent6 2 2 3 2 2 2 2 2" xfId="23160" xr:uid="{00000000-0005-0000-0000-0000C58D0000}"/>
    <cellStyle name="40% - Accent6 2 2 3 2 2 2 2 2 2" xfId="45762" xr:uid="{00000000-0005-0000-0000-0000C68D0000}"/>
    <cellStyle name="40% - Accent6 2 2 3 2 2 2 2 3" xfId="34461" xr:uid="{00000000-0005-0000-0000-0000C78D0000}"/>
    <cellStyle name="40% - Accent6 2 2 3 2 2 2 3" xfId="17510" xr:uid="{00000000-0005-0000-0000-0000C88D0000}"/>
    <cellStyle name="40% - Accent6 2 2 3 2 2 2 3 2" xfId="40112" xr:uid="{00000000-0005-0000-0000-0000C98D0000}"/>
    <cellStyle name="40% - Accent6 2 2 3 2 2 2 4" xfId="28811" xr:uid="{00000000-0005-0000-0000-0000CA8D0000}"/>
    <cellStyle name="40% - Accent6 2 2 3 2 2 3" xfId="9027" xr:uid="{00000000-0005-0000-0000-0000CB8D0000}"/>
    <cellStyle name="40% - Accent6 2 2 3 2 2 3 2" xfId="20328" xr:uid="{00000000-0005-0000-0000-0000CC8D0000}"/>
    <cellStyle name="40% - Accent6 2 2 3 2 2 3 2 2" xfId="42930" xr:uid="{00000000-0005-0000-0000-0000CD8D0000}"/>
    <cellStyle name="40% - Accent6 2 2 3 2 2 3 3" xfId="31629" xr:uid="{00000000-0005-0000-0000-0000CE8D0000}"/>
    <cellStyle name="40% - Accent6 2 2 3 2 2 4" xfId="14678" xr:uid="{00000000-0005-0000-0000-0000CF8D0000}"/>
    <cellStyle name="40% - Accent6 2 2 3 2 2 4 2" xfId="37280" xr:uid="{00000000-0005-0000-0000-0000D08D0000}"/>
    <cellStyle name="40% - Accent6 2 2 3 2 2 5" xfId="25979" xr:uid="{00000000-0005-0000-0000-0000D18D0000}"/>
    <cellStyle name="40% - Accent6 2 2 3 2 3" xfId="4975" xr:uid="{00000000-0005-0000-0000-0000D28D0000}"/>
    <cellStyle name="40% - Accent6 2 2 3 2 3 2" xfId="10625" xr:uid="{00000000-0005-0000-0000-0000D38D0000}"/>
    <cellStyle name="40% - Accent6 2 2 3 2 3 2 2" xfId="21926" xr:uid="{00000000-0005-0000-0000-0000D48D0000}"/>
    <cellStyle name="40% - Accent6 2 2 3 2 3 2 2 2" xfId="44528" xr:uid="{00000000-0005-0000-0000-0000D58D0000}"/>
    <cellStyle name="40% - Accent6 2 2 3 2 3 2 3" xfId="33227" xr:uid="{00000000-0005-0000-0000-0000D68D0000}"/>
    <cellStyle name="40% - Accent6 2 2 3 2 3 3" xfId="16276" xr:uid="{00000000-0005-0000-0000-0000D78D0000}"/>
    <cellStyle name="40% - Accent6 2 2 3 2 3 3 2" xfId="38878" xr:uid="{00000000-0005-0000-0000-0000D88D0000}"/>
    <cellStyle name="40% - Accent6 2 2 3 2 3 4" xfId="27577" xr:uid="{00000000-0005-0000-0000-0000D98D0000}"/>
    <cellStyle name="40% - Accent6 2 2 3 2 4" xfId="7896" xr:uid="{00000000-0005-0000-0000-0000DA8D0000}"/>
    <cellStyle name="40% - Accent6 2 2 3 2 4 2" xfId="19197" xr:uid="{00000000-0005-0000-0000-0000DB8D0000}"/>
    <cellStyle name="40% - Accent6 2 2 3 2 4 2 2" xfId="41799" xr:uid="{00000000-0005-0000-0000-0000DC8D0000}"/>
    <cellStyle name="40% - Accent6 2 2 3 2 4 3" xfId="30498" xr:uid="{00000000-0005-0000-0000-0000DD8D0000}"/>
    <cellStyle name="40% - Accent6 2 2 3 2 5" xfId="13547" xr:uid="{00000000-0005-0000-0000-0000DE8D0000}"/>
    <cellStyle name="40% - Accent6 2 2 3 2 5 2" xfId="36149" xr:uid="{00000000-0005-0000-0000-0000DF8D0000}"/>
    <cellStyle name="40% - Accent6 2 2 3 2 6" xfId="24848" xr:uid="{00000000-0005-0000-0000-0000E08D0000}"/>
    <cellStyle name="40% - Accent6 2 2 3 3" xfId="2566" xr:uid="{00000000-0005-0000-0000-0000E18D0000}"/>
    <cellStyle name="40% - Accent6 2 2 3 3 2" xfId="5585" xr:uid="{00000000-0005-0000-0000-0000E28D0000}"/>
    <cellStyle name="40% - Accent6 2 2 3 3 2 2" xfId="11235" xr:uid="{00000000-0005-0000-0000-0000E38D0000}"/>
    <cellStyle name="40% - Accent6 2 2 3 3 2 2 2" xfId="22536" xr:uid="{00000000-0005-0000-0000-0000E48D0000}"/>
    <cellStyle name="40% - Accent6 2 2 3 3 2 2 2 2" xfId="45138" xr:uid="{00000000-0005-0000-0000-0000E58D0000}"/>
    <cellStyle name="40% - Accent6 2 2 3 3 2 2 3" xfId="33837" xr:uid="{00000000-0005-0000-0000-0000E68D0000}"/>
    <cellStyle name="40% - Accent6 2 2 3 3 2 3" xfId="16886" xr:uid="{00000000-0005-0000-0000-0000E78D0000}"/>
    <cellStyle name="40% - Accent6 2 2 3 3 2 3 2" xfId="39488" xr:uid="{00000000-0005-0000-0000-0000E88D0000}"/>
    <cellStyle name="40% - Accent6 2 2 3 3 2 4" xfId="28187" xr:uid="{00000000-0005-0000-0000-0000E98D0000}"/>
    <cellStyle name="40% - Accent6 2 2 3 3 3" xfId="8402" xr:uid="{00000000-0005-0000-0000-0000EA8D0000}"/>
    <cellStyle name="40% - Accent6 2 2 3 3 3 2" xfId="19703" xr:uid="{00000000-0005-0000-0000-0000EB8D0000}"/>
    <cellStyle name="40% - Accent6 2 2 3 3 3 2 2" xfId="42305" xr:uid="{00000000-0005-0000-0000-0000EC8D0000}"/>
    <cellStyle name="40% - Accent6 2 2 3 3 3 3" xfId="31004" xr:uid="{00000000-0005-0000-0000-0000ED8D0000}"/>
    <cellStyle name="40% - Accent6 2 2 3 3 4" xfId="14053" xr:uid="{00000000-0005-0000-0000-0000EE8D0000}"/>
    <cellStyle name="40% - Accent6 2 2 3 3 4 2" xfId="36655" xr:uid="{00000000-0005-0000-0000-0000EF8D0000}"/>
    <cellStyle name="40% - Accent6 2 2 3 3 5" xfId="25354" xr:uid="{00000000-0005-0000-0000-0000F08D0000}"/>
    <cellStyle name="40% - Accent6 2 2 3 4" xfId="4351" xr:uid="{00000000-0005-0000-0000-0000F18D0000}"/>
    <cellStyle name="40% - Accent6 2 2 3 4 2" xfId="10001" xr:uid="{00000000-0005-0000-0000-0000F28D0000}"/>
    <cellStyle name="40% - Accent6 2 2 3 4 2 2" xfId="21302" xr:uid="{00000000-0005-0000-0000-0000F38D0000}"/>
    <cellStyle name="40% - Accent6 2 2 3 4 2 2 2" xfId="43904" xr:uid="{00000000-0005-0000-0000-0000F48D0000}"/>
    <cellStyle name="40% - Accent6 2 2 3 4 2 3" xfId="32603" xr:uid="{00000000-0005-0000-0000-0000F58D0000}"/>
    <cellStyle name="40% - Accent6 2 2 3 4 3" xfId="15652" xr:uid="{00000000-0005-0000-0000-0000F68D0000}"/>
    <cellStyle name="40% - Accent6 2 2 3 4 3 2" xfId="38254" xr:uid="{00000000-0005-0000-0000-0000F78D0000}"/>
    <cellStyle name="40% - Accent6 2 2 3 4 4" xfId="26953" xr:uid="{00000000-0005-0000-0000-0000F88D0000}"/>
    <cellStyle name="40% - Accent6 2 2 3 5" xfId="7148" xr:uid="{00000000-0005-0000-0000-0000F98D0000}"/>
    <cellStyle name="40% - Accent6 2 2 3 5 2" xfId="18449" xr:uid="{00000000-0005-0000-0000-0000FA8D0000}"/>
    <cellStyle name="40% - Accent6 2 2 3 5 2 2" xfId="41051" xr:uid="{00000000-0005-0000-0000-0000FB8D0000}"/>
    <cellStyle name="40% - Accent6 2 2 3 5 3" xfId="29750" xr:uid="{00000000-0005-0000-0000-0000FC8D0000}"/>
    <cellStyle name="40% - Accent6 2 2 3 6" xfId="12799" xr:uid="{00000000-0005-0000-0000-0000FD8D0000}"/>
    <cellStyle name="40% - Accent6 2 2 3 6 2" xfId="35401" xr:uid="{00000000-0005-0000-0000-0000FE8D0000}"/>
    <cellStyle name="40% - Accent6 2 2 3 7" xfId="24100" xr:uid="{00000000-0005-0000-0000-0000FF8D0000}"/>
    <cellStyle name="40% - Accent6 2 2 4" xfId="849" xr:uid="{00000000-0005-0000-0000-0000008E0000}"/>
    <cellStyle name="40% - Accent6 2 2 4 2" xfId="2930" xr:uid="{00000000-0005-0000-0000-0000018E0000}"/>
    <cellStyle name="40% - Accent6 2 2 4 2 2" xfId="5902" xr:uid="{00000000-0005-0000-0000-0000028E0000}"/>
    <cellStyle name="40% - Accent6 2 2 4 2 2 2" xfId="11552" xr:uid="{00000000-0005-0000-0000-0000038E0000}"/>
    <cellStyle name="40% - Accent6 2 2 4 2 2 2 2" xfId="22853" xr:uid="{00000000-0005-0000-0000-0000048E0000}"/>
    <cellStyle name="40% - Accent6 2 2 4 2 2 2 2 2" xfId="45455" xr:uid="{00000000-0005-0000-0000-0000058E0000}"/>
    <cellStyle name="40% - Accent6 2 2 4 2 2 2 3" xfId="34154" xr:uid="{00000000-0005-0000-0000-0000068E0000}"/>
    <cellStyle name="40% - Accent6 2 2 4 2 2 3" xfId="17203" xr:uid="{00000000-0005-0000-0000-0000078E0000}"/>
    <cellStyle name="40% - Accent6 2 2 4 2 2 3 2" xfId="39805" xr:uid="{00000000-0005-0000-0000-0000088E0000}"/>
    <cellStyle name="40% - Accent6 2 2 4 2 2 4" xfId="28504" xr:uid="{00000000-0005-0000-0000-0000098E0000}"/>
    <cellStyle name="40% - Accent6 2 2 4 2 3" xfId="8720" xr:uid="{00000000-0005-0000-0000-00000A8E0000}"/>
    <cellStyle name="40% - Accent6 2 2 4 2 3 2" xfId="20021" xr:uid="{00000000-0005-0000-0000-00000B8E0000}"/>
    <cellStyle name="40% - Accent6 2 2 4 2 3 2 2" xfId="42623" xr:uid="{00000000-0005-0000-0000-00000C8E0000}"/>
    <cellStyle name="40% - Accent6 2 2 4 2 3 3" xfId="31322" xr:uid="{00000000-0005-0000-0000-00000D8E0000}"/>
    <cellStyle name="40% - Accent6 2 2 4 2 4" xfId="14371" xr:uid="{00000000-0005-0000-0000-00000E8E0000}"/>
    <cellStyle name="40% - Accent6 2 2 4 2 4 2" xfId="36973" xr:uid="{00000000-0005-0000-0000-00000F8E0000}"/>
    <cellStyle name="40% - Accent6 2 2 4 2 5" xfId="25672" xr:uid="{00000000-0005-0000-0000-0000108E0000}"/>
    <cellStyle name="40% - Accent6 2 2 4 3" xfId="4668" xr:uid="{00000000-0005-0000-0000-0000118E0000}"/>
    <cellStyle name="40% - Accent6 2 2 4 3 2" xfId="10318" xr:uid="{00000000-0005-0000-0000-0000128E0000}"/>
    <cellStyle name="40% - Accent6 2 2 4 3 2 2" xfId="21619" xr:uid="{00000000-0005-0000-0000-0000138E0000}"/>
    <cellStyle name="40% - Accent6 2 2 4 3 2 2 2" xfId="44221" xr:uid="{00000000-0005-0000-0000-0000148E0000}"/>
    <cellStyle name="40% - Accent6 2 2 4 3 2 3" xfId="32920" xr:uid="{00000000-0005-0000-0000-0000158E0000}"/>
    <cellStyle name="40% - Accent6 2 2 4 3 3" xfId="15969" xr:uid="{00000000-0005-0000-0000-0000168E0000}"/>
    <cellStyle name="40% - Accent6 2 2 4 3 3 2" xfId="38571" xr:uid="{00000000-0005-0000-0000-0000178E0000}"/>
    <cellStyle name="40% - Accent6 2 2 4 3 4" xfId="27270" xr:uid="{00000000-0005-0000-0000-0000188E0000}"/>
    <cellStyle name="40% - Accent6 2 2 4 4" xfId="6854" xr:uid="{00000000-0005-0000-0000-0000198E0000}"/>
    <cellStyle name="40% - Accent6 2 2 4 4 2" xfId="18155" xr:uid="{00000000-0005-0000-0000-00001A8E0000}"/>
    <cellStyle name="40% - Accent6 2 2 4 4 2 2" xfId="40757" xr:uid="{00000000-0005-0000-0000-00001B8E0000}"/>
    <cellStyle name="40% - Accent6 2 2 4 4 3" xfId="29456" xr:uid="{00000000-0005-0000-0000-00001C8E0000}"/>
    <cellStyle name="40% - Accent6 2 2 4 5" xfId="12505" xr:uid="{00000000-0005-0000-0000-00001D8E0000}"/>
    <cellStyle name="40% - Accent6 2 2 4 5 2" xfId="35107" xr:uid="{00000000-0005-0000-0000-00001E8E0000}"/>
    <cellStyle name="40% - Accent6 2 2 4 6" xfId="23806" xr:uid="{00000000-0005-0000-0000-00001F8E0000}"/>
    <cellStyle name="40% - Accent6 2 2 5" xfId="2037" xr:uid="{00000000-0005-0000-0000-0000208E0000}"/>
    <cellStyle name="40% - Accent6 2 2 5 2" xfId="3822" xr:uid="{00000000-0005-0000-0000-0000218E0000}"/>
    <cellStyle name="40% - Accent6 2 2 5 2 2" xfId="9532" xr:uid="{00000000-0005-0000-0000-0000228E0000}"/>
    <cellStyle name="40% - Accent6 2 2 5 2 2 2" xfId="20833" xr:uid="{00000000-0005-0000-0000-0000238E0000}"/>
    <cellStyle name="40% - Accent6 2 2 5 2 2 2 2" xfId="43435" xr:uid="{00000000-0005-0000-0000-0000248E0000}"/>
    <cellStyle name="40% - Accent6 2 2 5 2 2 3" xfId="32134" xr:uid="{00000000-0005-0000-0000-0000258E0000}"/>
    <cellStyle name="40% - Accent6 2 2 5 2 3" xfId="15183" xr:uid="{00000000-0005-0000-0000-0000268E0000}"/>
    <cellStyle name="40% - Accent6 2 2 5 2 3 2" xfId="37785" xr:uid="{00000000-0005-0000-0000-0000278E0000}"/>
    <cellStyle name="40% - Accent6 2 2 5 2 4" xfId="26484" xr:uid="{00000000-0005-0000-0000-0000288E0000}"/>
    <cellStyle name="40% - Accent6 2 2 5 3" xfId="5278" xr:uid="{00000000-0005-0000-0000-0000298E0000}"/>
    <cellStyle name="40% - Accent6 2 2 5 3 2" xfId="10928" xr:uid="{00000000-0005-0000-0000-00002A8E0000}"/>
    <cellStyle name="40% - Accent6 2 2 5 3 2 2" xfId="22229" xr:uid="{00000000-0005-0000-0000-00002B8E0000}"/>
    <cellStyle name="40% - Accent6 2 2 5 3 2 2 2" xfId="44831" xr:uid="{00000000-0005-0000-0000-00002C8E0000}"/>
    <cellStyle name="40% - Accent6 2 2 5 3 2 3" xfId="33530" xr:uid="{00000000-0005-0000-0000-00002D8E0000}"/>
    <cellStyle name="40% - Accent6 2 2 5 3 3" xfId="16579" xr:uid="{00000000-0005-0000-0000-00002E8E0000}"/>
    <cellStyle name="40% - Accent6 2 2 5 3 3 2" xfId="39181" xr:uid="{00000000-0005-0000-0000-00002F8E0000}"/>
    <cellStyle name="40% - Accent6 2 2 5 3 4" xfId="27880" xr:uid="{00000000-0005-0000-0000-0000308E0000}"/>
    <cellStyle name="40% - Accent6 2 2 5 4" xfId="7893" xr:uid="{00000000-0005-0000-0000-0000318E0000}"/>
    <cellStyle name="40% - Accent6 2 2 5 4 2" xfId="19194" xr:uid="{00000000-0005-0000-0000-0000328E0000}"/>
    <cellStyle name="40% - Accent6 2 2 5 4 2 2" xfId="41796" xr:uid="{00000000-0005-0000-0000-0000338E0000}"/>
    <cellStyle name="40% - Accent6 2 2 5 4 3" xfId="30495" xr:uid="{00000000-0005-0000-0000-0000348E0000}"/>
    <cellStyle name="40% - Accent6 2 2 5 5" xfId="13544" xr:uid="{00000000-0005-0000-0000-0000358E0000}"/>
    <cellStyle name="40% - Accent6 2 2 5 5 2" xfId="36146" xr:uid="{00000000-0005-0000-0000-0000368E0000}"/>
    <cellStyle name="40% - Accent6 2 2 5 6" xfId="24845" xr:uid="{00000000-0005-0000-0000-0000378E0000}"/>
    <cellStyle name="40% - Accent6 2 2 6" xfId="2251" xr:uid="{00000000-0005-0000-0000-0000388E0000}"/>
    <cellStyle name="40% - Accent6 2 2 6 2" xfId="8092" xr:uid="{00000000-0005-0000-0000-0000398E0000}"/>
    <cellStyle name="40% - Accent6 2 2 6 2 2" xfId="19393" xr:uid="{00000000-0005-0000-0000-00003A8E0000}"/>
    <cellStyle name="40% - Accent6 2 2 6 2 2 2" xfId="41995" xr:uid="{00000000-0005-0000-0000-00003B8E0000}"/>
    <cellStyle name="40% - Accent6 2 2 6 2 3" xfId="30694" xr:uid="{00000000-0005-0000-0000-00003C8E0000}"/>
    <cellStyle name="40% - Accent6 2 2 6 3" xfId="13743" xr:uid="{00000000-0005-0000-0000-00003D8E0000}"/>
    <cellStyle name="40% - Accent6 2 2 6 3 2" xfId="36345" xr:uid="{00000000-0005-0000-0000-00003E8E0000}"/>
    <cellStyle name="40% - Accent6 2 2 6 4" xfId="25044" xr:uid="{00000000-0005-0000-0000-00003F8E0000}"/>
    <cellStyle name="40% - Accent6 2 2 7" xfId="4044" xr:uid="{00000000-0005-0000-0000-0000408E0000}"/>
    <cellStyle name="40% - Accent6 2 2 7 2" xfId="9694" xr:uid="{00000000-0005-0000-0000-0000418E0000}"/>
    <cellStyle name="40% - Accent6 2 2 7 2 2" xfId="20995" xr:uid="{00000000-0005-0000-0000-0000428E0000}"/>
    <cellStyle name="40% - Accent6 2 2 7 2 2 2" xfId="43597" xr:uid="{00000000-0005-0000-0000-0000438E0000}"/>
    <cellStyle name="40% - Accent6 2 2 7 2 3" xfId="32296" xr:uid="{00000000-0005-0000-0000-0000448E0000}"/>
    <cellStyle name="40% - Accent6 2 2 7 3" xfId="15345" xr:uid="{00000000-0005-0000-0000-0000458E0000}"/>
    <cellStyle name="40% - Accent6 2 2 7 3 2" xfId="37947" xr:uid="{00000000-0005-0000-0000-0000468E0000}"/>
    <cellStyle name="40% - Accent6 2 2 7 4" xfId="26646" xr:uid="{00000000-0005-0000-0000-0000478E0000}"/>
    <cellStyle name="40% - Accent6 2 2 8" xfId="6495" xr:uid="{00000000-0005-0000-0000-0000488E0000}"/>
    <cellStyle name="40% - Accent6 2 2 8 2" xfId="17796" xr:uid="{00000000-0005-0000-0000-0000498E0000}"/>
    <cellStyle name="40% - Accent6 2 2 8 2 2" xfId="40398" xr:uid="{00000000-0005-0000-0000-00004A8E0000}"/>
    <cellStyle name="40% - Accent6 2 2 8 3" xfId="29097" xr:uid="{00000000-0005-0000-0000-00004B8E0000}"/>
    <cellStyle name="40% - Accent6 2 2 9" xfId="12146" xr:uid="{00000000-0005-0000-0000-00004C8E0000}"/>
    <cellStyle name="40% - Accent6 2 2 9 2" xfId="34748" xr:uid="{00000000-0005-0000-0000-00004D8E0000}"/>
    <cellStyle name="40% - Accent6 2 3" xfId="2824" xr:uid="{00000000-0005-0000-0000-00004E8E0000}"/>
    <cellStyle name="40% - Accent6 2 3 2" xfId="3894" xr:uid="{00000000-0005-0000-0000-00004F8E0000}"/>
    <cellStyle name="40% - Accent6 2 3 2 2" xfId="5839" xr:uid="{00000000-0005-0000-0000-0000508E0000}"/>
    <cellStyle name="40% - Accent6 2 3 2 2 2" xfId="11489" xr:uid="{00000000-0005-0000-0000-0000518E0000}"/>
    <cellStyle name="40% - Accent6 2 3 2 2 2 2" xfId="22790" xr:uid="{00000000-0005-0000-0000-0000528E0000}"/>
    <cellStyle name="40% - Accent6 2 3 2 2 2 2 2" xfId="45392" xr:uid="{00000000-0005-0000-0000-0000538E0000}"/>
    <cellStyle name="40% - Accent6 2 3 2 2 2 3" xfId="34091" xr:uid="{00000000-0005-0000-0000-0000548E0000}"/>
    <cellStyle name="40% - Accent6 2 3 2 2 3" xfId="17140" xr:uid="{00000000-0005-0000-0000-0000558E0000}"/>
    <cellStyle name="40% - Accent6 2 3 2 2 3 2" xfId="39742" xr:uid="{00000000-0005-0000-0000-0000568E0000}"/>
    <cellStyle name="40% - Accent6 2 3 2 2 4" xfId="28441" xr:uid="{00000000-0005-0000-0000-0000578E0000}"/>
    <cellStyle name="40% - Accent6 2 3 2 3" xfId="9598" xr:uid="{00000000-0005-0000-0000-0000588E0000}"/>
    <cellStyle name="40% - Accent6 2 3 2 3 2" xfId="20899" xr:uid="{00000000-0005-0000-0000-0000598E0000}"/>
    <cellStyle name="40% - Accent6 2 3 2 3 2 2" xfId="43501" xr:uid="{00000000-0005-0000-0000-00005A8E0000}"/>
    <cellStyle name="40% - Accent6 2 3 2 3 3" xfId="32200" xr:uid="{00000000-0005-0000-0000-00005B8E0000}"/>
    <cellStyle name="40% - Accent6 2 3 2 4" xfId="15249" xr:uid="{00000000-0005-0000-0000-00005C8E0000}"/>
    <cellStyle name="40% - Accent6 2 3 2 4 2" xfId="37851" xr:uid="{00000000-0005-0000-0000-00005D8E0000}"/>
    <cellStyle name="40% - Accent6 2 3 2 5" xfId="26550" xr:uid="{00000000-0005-0000-0000-00005E8E0000}"/>
    <cellStyle name="40% - Accent6 2 3 3" xfId="4605" xr:uid="{00000000-0005-0000-0000-00005F8E0000}"/>
    <cellStyle name="40% - Accent6 2 3 3 2" xfId="10255" xr:uid="{00000000-0005-0000-0000-0000608E0000}"/>
    <cellStyle name="40% - Accent6 2 3 3 2 2" xfId="21556" xr:uid="{00000000-0005-0000-0000-0000618E0000}"/>
    <cellStyle name="40% - Accent6 2 3 3 2 2 2" xfId="44158" xr:uid="{00000000-0005-0000-0000-0000628E0000}"/>
    <cellStyle name="40% - Accent6 2 3 3 2 3" xfId="32857" xr:uid="{00000000-0005-0000-0000-0000638E0000}"/>
    <cellStyle name="40% - Accent6 2 3 3 3" xfId="15906" xr:uid="{00000000-0005-0000-0000-0000648E0000}"/>
    <cellStyle name="40% - Accent6 2 3 3 3 2" xfId="38508" xr:uid="{00000000-0005-0000-0000-0000658E0000}"/>
    <cellStyle name="40% - Accent6 2 3 3 4" xfId="27207" xr:uid="{00000000-0005-0000-0000-0000668E0000}"/>
    <cellStyle name="40% - Accent6 2 3 4" xfId="8657" xr:uid="{00000000-0005-0000-0000-0000678E0000}"/>
    <cellStyle name="40% - Accent6 2 3 4 2" xfId="19958" xr:uid="{00000000-0005-0000-0000-0000688E0000}"/>
    <cellStyle name="40% - Accent6 2 3 4 2 2" xfId="42560" xr:uid="{00000000-0005-0000-0000-0000698E0000}"/>
    <cellStyle name="40% - Accent6 2 3 4 3" xfId="31259" xr:uid="{00000000-0005-0000-0000-00006A8E0000}"/>
    <cellStyle name="40% - Accent6 2 3 5" xfId="14308" xr:uid="{00000000-0005-0000-0000-00006B8E0000}"/>
    <cellStyle name="40% - Accent6 2 3 5 2" xfId="36910" xr:uid="{00000000-0005-0000-0000-00006C8E0000}"/>
    <cellStyle name="40% - Accent6 2 3 6" xfId="25609" xr:uid="{00000000-0005-0000-0000-00006D8E0000}"/>
    <cellStyle name="40% - Accent6 2 4" xfId="2831" xr:uid="{00000000-0005-0000-0000-00006E8E0000}"/>
    <cellStyle name="40% - Accent6 2 5" xfId="3945" xr:uid="{00000000-0005-0000-0000-00006F8E0000}"/>
    <cellStyle name="40% - Accent6 2 5 2" xfId="9616" xr:uid="{00000000-0005-0000-0000-0000708E0000}"/>
    <cellStyle name="40% - Accent6 2 5 2 2" xfId="20917" xr:uid="{00000000-0005-0000-0000-0000718E0000}"/>
    <cellStyle name="40% - Accent6 2 5 2 2 2" xfId="43519" xr:uid="{00000000-0005-0000-0000-0000728E0000}"/>
    <cellStyle name="40% - Accent6 2 5 2 3" xfId="32218" xr:uid="{00000000-0005-0000-0000-0000738E0000}"/>
    <cellStyle name="40% - Accent6 2 5 3" xfId="15267" xr:uid="{00000000-0005-0000-0000-0000748E0000}"/>
    <cellStyle name="40% - Accent6 2 5 3 2" xfId="37869" xr:uid="{00000000-0005-0000-0000-0000758E0000}"/>
    <cellStyle name="40% - Accent6 2 5 4" xfId="26568" xr:uid="{00000000-0005-0000-0000-0000768E0000}"/>
    <cellStyle name="40% - Accent6 2 6" xfId="3549" xr:uid="{00000000-0005-0000-0000-0000778E0000}"/>
    <cellStyle name="40% - Accent6 2 7" xfId="151" xr:uid="{00000000-0005-0000-0000-0000788E0000}"/>
    <cellStyle name="40% - Accent6 3" xfId="231" xr:uid="{00000000-0005-0000-0000-0000798E0000}"/>
    <cellStyle name="40% - Accent6 3 2" xfId="355" xr:uid="{00000000-0005-0000-0000-00007A8E0000}"/>
    <cellStyle name="40% - Accent6 3 2 10" xfId="23464" xr:uid="{00000000-0005-0000-0000-00007B8E0000}"/>
    <cellStyle name="40% - Accent6 3 2 2" xfId="614" xr:uid="{00000000-0005-0000-0000-00007C8E0000}"/>
    <cellStyle name="40% - Accent6 3 2 2 2" xfId="1324" xr:uid="{00000000-0005-0000-0000-00007D8E0000}"/>
    <cellStyle name="40% - Accent6 3 2 2 2 2" xfId="2043" xr:uid="{00000000-0005-0000-0000-00007E8E0000}"/>
    <cellStyle name="40% - Accent6 3 2 2 2 2 2" xfId="3393" xr:uid="{00000000-0005-0000-0000-00007F8E0000}"/>
    <cellStyle name="40% - Accent6 3 2 2 2 2 2 2" xfId="6365" xr:uid="{00000000-0005-0000-0000-0000808E0000}"/>
    <cellStyle name="40% - Accent6 3 2 2 2 2 2 2 2" xfId="12015" xr:uid="{00000000-0005-0000-0000-0000818E0000}"/>
    <cellStyle name="40% - Accent6 3 2 2 2 2 2 2 2 2" xfId="23316" xr:uid="{00000000-0005-0000-0000-0000828E0000}"/>
    <cellStyle name="40% - Accent6 3 2 2 2 2 2 2 2 2 2" xfId="45918" xr:uid="{00000000-0005-0000-0000-0000838E0000}"/>
    <cellStyle name="40% - Accent6 3 2 2 2 2 2 2 2 3" xfId="34617" xr:uid="{00000000-0005-0000-0000-0000848E0000}"/>
    <cellStyle name="40% - Accent6 3 2 2 2 2 2 2 3" xfId="17666" xr:uid="{00000000-0005-0000-0000-0000858E0000}"/>
    <cellStyle name="40% - Accent6 3 2 2 2 2 2 2 3 2" xfId="40268" xr:uid="{00000000-0005-0000-0000-0000868E0000}"/>
    <cellStyle name="40% - Accent6 3 2 2 2 2 2 2 4" xfId="28967" xr:uid="{00000000-0005-0000-0000-0000878E0000}"/>
    <cellStyle name="40% - Accent6 3 2 2 2 2 2 3" xfId="9183" xr:uid="{00000000-0005-0000-0000-0000888E0000}"/>
    <cellStyle name="40% - Accent6 3 2 2 2 2 2 3 2" xfId="20484" xr:uid="{00000000-0005-0000-0000-0000898E0000}"/>
    <cellStyle name="40% - Accent6 3 2 2 2 2 2 3 2 2" xfId="43086" xr:uid="{00000000-0005-0000-0000-00008A8E0000}"/>
    <cellStyle name="40% - Accent6 3 2 2 2 2 2 3 3" xfId="31785" xr:uid="{00000000-0005-0000-0000-00008B8E0000}"/>
    <cellStyle name="40% - Accent6 3 2 2 2 2 2 4" xfId="14834" xr:uid="{00000000-0005-0000-0000-00008C8E0000}"/>
    <cellStyle name="40% - Accent6 3 2 2 2 2 2 4 2" xfId="37436" xr:uid="{00000000-0005-0000-0000-00008D8E0000}"/>
    <cellStyle name="40% - Accent6 3 2 2 2 2 2 5" xfId="26135" xr:uid="{00000000-0005-0000-0000-00008E8E0000}"/>
    <cellStyle name="40% - Accent6 3 2 2 2 2 3" xfId="5131" xr:uid="{00000000-0005-0000-0000-00008F8E0000}"/>
    <cellStyle name="40% - Accent6 3 2 2 2 2 3 2" xfId="10781" xr:uid="{00000000-0005-0000-0000-0000908E0000}"/>
    <cellStyle name="40% - Accent6 3 2 2 2 2 3 2 2" xfId="22082" xr:uid="{00000000-0005-0000-0000-0000918E0000}"/>
    <cellStyle name="40% - Accent6 3 2 2 2 2 3 2 2 2" xfId="44684" xr:uid="{00000000-0005-0000-0000-0000928E0000}"/>
    <cellStyle name="40% - Accent6 3 2 2 2 2 3 2 3" xfId="33383" xr:uid="{00000000-0005-0000-0000-0000938E0000}"/>
    <cellStyle name="40% - Accent6 3 2 2 2 2 3 3" xfId="16432" xr:uid="{00000000-0005-0000-0000-0000948E0000}"/>
    <cellStyle name="40% - Accent6 3 2 2 2 2 3 3 2" xfId="39034" xr:uid="{00000000-0005-0000-0000-0000958E0000}"/>
    <cellStyle name="40% - Accent6 3 2 2 2 2 3 4" xfId="27733" xr:uid="{00000000-0005-0000-0000-0000968E0000}"/>
    <cellStyle name="40% - Accent6 3 2 2 2 2 4" xfId="7899" xr:uid="{00000000-0005-0000-0000-0000978E0000}"/>
    <cellStyle name="40% - Accent6 3 2 2 2 2 4 2" xfId="19200" xr:uid="{00000000-0005-0000-0000-0000988E0000}"/>
    <cellStyle name="40% - Accent6 3 2 2 2 2 4 2 2" xfId="41802" xr:uid="{00000000-0005-0000-0000-0000998E0000}"/>
    <cellStyle name="40% - Accent6 3 2 2 2 2 4 3" xfId="30501" xr:uid="{00000000-0005-0000-0000-00009A8E0000}"/>
    <cellStyle name="40% - Accent6 3 2 2 2 2 5" xfId="13550" xr:uid="{00000000-0005-0000-0000-00009B8E0000}"/>
    <cellStyle name="40% - Accent6 3 2 2 2 2 5 2" xfId="36152" xr:uid="{00000000-0005-0000-0000-00009C8E0000}"/>
    <cellStyle name="40% - Accent6 3 2 2 2 2 6" xfId="24851" xr:uid="{00000000-0005-0000-0000-00009D8E0000}"/>
    <cellStyle name="40% - Accent6 3 2 2 2 3" xfId="2722" xr:uid="{00000000-0005-0000-0000-00009E8E0000}"/>
    <cellStyle name="40% - Accent6 3 2 2 2 3 2" xfId="5741" xr:uid="{00000000-0005-0000-0000-00009F8E0000}"/>
    <cellStyle name="40% - Accent6 3 2 2 2 3 2 2" xfId="11391" xr:uid="{00000000-0005-0000-0000-0000A08E0000}"/>
    <cellStyle name="40% - Accent6 3 2 2 2 3 2 2 2" xfId="22692" xr:uid="{00000000-0005-0000-0000-0000A18E0000}"/>
    <cellStyle name="40% - Accent6 3 2 2 2 3 2 2 2 2" xfId="45294" xr:uid="{00000000-0005-0000-0000-0000A28E0000}"/>
    <cellStyle name="40% - Accent6 3 2 2 2 3 2 2 3" xfId="33993" xr:uid="{00000000-0005-0000-0000-0000A38E0000}"/>
    <cellStyle name="40% - Accent6 3 2 2 2 3 2 3" xfId="17042" xr:uid="{00000000-0005-0000-0000-0000A48E0000}"/>
    <cellStyle name="40% - Accent6 3 2 2 2 3 2 3 2" xfId="39644" xr:uid="{00000000-0005-0000-0000-0000A58E0000}"/>
    <cellStyle name="40% - Accent6 3 2 2 2 3 2 4" xfId="28343" xr:uid="{00000000-0005-0000-0000-0000A68E0000}"/>
    <cellStyle name="40% - Accent6 3 2 2 2 3 3" xfId="8558" xr:uid="{00000000-0005-0000-0000-0000A78E0000}"/>
    <cellStyle name="40% - Accent6 3 2 2 2 3 3 2" xfId="19859" xr:uid="{00000000-0005-0000-0000-0000A88E0000}"/>
    <cellStyle name="40% - Accent6 3 2 2 2 3 3 2 2" xfId="42461" xr:uid="{00000000-0005-0000-0000-0000A98E0000}"/>
    <cellStyle name="40% - Accent6 3 2 2 2 3 3 3" xfId="31160" xr:uid="{00000000-0005-0000-0000-0000AA8E0000}"/>
    <cellStyle name="40% - Accent6 3 2 2 2 3 4" xfId="14209" xr:uid="{00000000-0005-0000-0000-0000AB8E0000}"/>
    <cellStyle name="40% - Accent6 3 2 2 2 3 4 2" xfId="36811" xr:uid="{00000000-0005-0000-0000-0000AC8E0000}"/>
    <cellStyle name="40% - Accent6 3 2 2 2 3 5" xfId="25510" xr:uid="{00000000-0005-0000-0000-0000AD8E0000}"/>
    <cellStyle name="40% - Accent6 3 2 2 2 4" xfId="4507" xr:uid="{00000000-0005-0000-0000-0000AE8E0000}"/>
    <cellStyle name="40% - Accent6 3 2 2 2 4 2" xfId="10157" xr:uid="{00000000-0005-0000-0000-0000AF8E0000}"/>
    <cellStyle name="40% - Accent6 3 2 2 2 4 2 2" xfId="21458" xr:uid="{00000000-0005-0000-0000-0000B08E0000}"/>
    <cellStyle name="40% - Accent6 3 2 2 2 4 2 2 2" xfId="44060" xr:uid="{00000000-0005-0000-0000-0000B18E0000}"/>
    <cellStyle name="40% - Accent6 3 2 2 2 4 2 3" xfId="32759" xr:uid="{00000000-0005-0000-0000-0000B28E0000}"/>
    <cellStyle name="40% - Accent6 3 2 2 2 4 3" xfId="15808" xr:uid="{00000000-0005-0000-0000-0000B38E0000}"/>
    <cellStyle name="40% - Accent6 3 2 2 2 4 3 2" xfId="38410" xr:uid="{00000000-0005-0000-0000-0000B48E0000}"/>
    <cellStyle name="40% - Accent6 3 2 2 2 4 4" xfId="27109" xr:uid="{00000000-0005-0000-0000-0000B58E0000}"/>
    <cellStyle name="40% - Accent6 3 2 2 2 5" xfId="7303" xr:uid="{00000000-0005-0000-0000-0000B68E0000}"/>
    <cellStyle name="40% - Accent6 3 2 2 2 5 2" xfId="18604" xr:uid="{00000000-0005-0000-0000-0000B78E0000}"/>
    <cellStyle name="40% - Accent6 3 2 2 2 5 2 2" xfId="41206" xr:uid="{00000000-0005-0000-0000-0000B88E0000}"/>
    <cellStyle name="40% - Accent6 3 2 2 2 5 3" xfId="29905" xr:uid="{00000000-0005-0000-0000-0000B98E0000}"/>
    <cellStyle name="40% - Accent6 3 2 2 2 6" xfId="12954" xr:uid="{00000000-0005-0000-0000-0000BA8E0000}"/>
    <cellStyle name="40% - Accent6 3 2 2 2 6 2" xfId="35556" xr:uid="{00000000-0005-0000-0000-0000BB8E0000}"/>
    <cellStyle name="40% - Accent6 3 2 2 2 7" xfId="24255" xr:uid="{00000000-0005-0000-0000-0000BC8E0000}"/>
    <cellStyle name="40% - Accent6 3 2 2 3" xfId="1022" xr:uid="{00000000-0005-0000-0000-0000BD8E0000}"/>
    <cellStyle name="40% - Accent6 3 2 2 3 2" xfId="3085" xr:uid="{00000000-0005-0000-0000-0000BE8E0000}"/>
    <cellStyle name="40% - Accent6 3 2 2 3 2 2" xfId="6057" xr:uid="{00000000-0005-0000-0000-0000BF8E0000}"/>
    <cellStyle name="40% - Accent6 3 2 2 3 2 2 2" xfId="11707" xr:uid="{00000000-0005-0000-0000-0000C08E0000}"/>
    <cellStyle name="40% - Accent6 3 2 2 3 2 2 2 2" xfId="23008" xr:uid="{00000000-0005-0000-0000-0000C18E0000}"/>
    <cellStyle name="40% - Accent6 3 2 2 3 2 2 2 2 2" xfId="45610" xr:uid="{00000000-0005-0000-0000-0000C28E0000}"/>
    <cellStyle name="40% - Accent6 3 2 2 3 2 2 2 3" xfId="34309" xr:uid="{00000000-0005-0000-0000-0000C38E0000}"/>
    <cellStyle name="40% - Accent6 3 2 2 3 2 2 3" xfId="17358" xr:uid="{00000000-0005-0000-0000-0000C48E0000}"/>
    <cellStyle name="40% - Accent6 3 2 2 3 2 2 3 2" xfId="39960" xr:uid="{00000000-0005-0000-0000-0000C58E0000}"/>
    <cellStyle name="40% - Accent6 3 2 2 3 2 2 4" xfId="28659" xr:uid="{00000000-0005-0000-0000-0000C68E0000}"/>
    <cellStyle name="40% - Accent6 3 2 2 3 2 3" xfId="8875" xr:uid="{00000000-0005-0000-0000-0000C78E0000}"/>
    <cellStyle name="40% - Accent6 3 2 2 3 2 3 2" xfId="20176" xr:uid="{00000000-0005-0000-0000-0000C88E0000}"/>
    <cellStyle name="40% - Accent6 3 2 2 3 2 3 2 2" xfId="42778" xr:uid="{00000000-0005-0000-0000-0000C98E0000}"/>
    <cellStyle name="40% - Accent6 3 2 2 3 2 3 3" xfId="31477" xr:uid="{00000000-0005-0000-0000-0000CA8E0000}"/>
    <cellStyle name="40% - Accent6 3 2 2 3 2 4" xfId="14526" xr:uid="{00000000-0005-0000-0000-0000CB8E0000}"/>
    <cellStyle name="40% - Accent6 3 2 2 3 2 4 2" xfId="37128" xr:uid="{00000000-0005-0000-0000-0000CC8E0000}"/>
    <cellStyle name="40% - Accent6 3 2 2 3 2 5" xfId="25827" xr:uid="{00000000-0005-0000-0000-0000CD8E0000}"/>
    <cellStyle name="40% - Accent6 3 2 2 3 3" xfId="4823" xr:uid="{00000000-0005-0000-0000-0000CE8E0000}"/>
    <cellStyle name="40% - Accent6 3 2 2 3 3 2" xfId="10473" xr:uid="{00000000-0005-0000-0000-0000CF8E0000}"/>
    <cellStyle name="40% - Accent6 3 2 2 3 3 2 2" xfId="21774" xr:uid="{00000000-0005-0000-0000-0000D08E0000}"/>
    <cellStyle name="40% - Accent6 3 2 2 3 3 2 2 2" xfId="44376" xr:uid="{00000000-0005-0000-0000-0000D18E0000}"/>
    <cellStyle name="40% - Accent6 3 2 2 3 3 2 3" xfId="33075" xr:uid="{00000000-0005-0000-0000-0000D28E0000}"/>
    <cellStyle name="40% - Accent6 3 2 2 3 3 3" xfId="16124" xr:uid="{00000000-0005-0000-0000-0000D38E0000}"/>
    <cellStyle name="40% - Accent6 3 2 2 3 3 3 2" xfId="38726" xr:uid="{00000000-0005-0000-0000-0000D48E0000}"/>
    <cellStyle name="40% - Accent6 3 2 2 3 3 4" xfId="27425" xr:uid="{00000000-0005-0000-0000-0000D58E0000}"/>
    <cellStyle name="40% - Accent6 3 2 2 3 4" xfId="7010" xr:uid="{00000000-0005-0000-0000-0000D68E0000}"/>
    <cellStyle name="40% - Accent6 3 2 2 3 4 2" xfId="18311" xr:uid="{00000000-0005-0000-0000-0000D78E0000}"/>
    <cellStyle name="40% - Accent6 3 2 2 3 4 2 2" xfId="40913" xr:uid="{00000000-0005-0000-0000-0000D88E0000}"/>
    <cellStyle name="40% - Accent6 3 2 2 3 4 3" xfId="29612" xr:uid="{00000000-0005-0000-0000-0000D98E0000}"/>
    <cellStyle name="40% - Accent6 3 2 2 3 5" xfId="12661" xr:uid="{00000000-0005-0000-0000-0000DA8E0000}"/>
    <cellStyle name="40% - Accent6 3 2 2 3 5 2" xfId="35263" xr:uid="{00000000-0005-0000-0000-0000DB8E0000}"/>
    <cellStyle name="40% - Accent6 3 2 2 3 6" xfId="23962" xr:uid="{00000000-0005-0000-0000-0000DC8E0000}"/>
    <cellStyle name="40% - Accent6 3 2 2 4" xfId="2042" xr:uid="{00000000-0005-0000-0000-0000DD8E0000}"/>
    <cellStyle name="40% - Accent6 3 2 2 4 2" xfId="3826" xr:uid="{00000000-0005-0000-0000-0000DE8E0000}"/>
    <cellStyle name="40% - Accent6 3 2 2 4 2 2" xfId="9535" xr:uid="{00000000-0005-0000-0000-0000DF8E0000}"/>
    <cellStyle name="40% - Accent6 3 2 2 4 2 2 2" xfId="20836" xr:uid="{00000000-0005-0000-0000-0000E08E0000}"/>
    <cellStyle name="40% - Accent6 3 2 2 4 2 2 2 2" xfId="43438" xr:uid="{00000000-0005-0000-0000-0000E18E0000}"/>
    <cellStyle name="40% - Accent6 3 2 2 4 2 2 3" xfId="32137" xr:uid="{00000000-0005-0000-0000-0000E28E0000}"/>
    <cellStyle name="40% - Accent6 3 2 2 4 2 3" xfId="15186" xr:uid="{00000000-0005-0000-0000-0000E38E0000}"/>
    <cellStyle name="40% - Accent6 3 2 2 4 2 3 2" xfId="37788" xr:uid="{00000000-0005-0000-0000-0000E48E0000}"/>
    <cellStyle name="40% - Accent6 3 2 2 4 2 4" xfId="26487" xr:uid="{00000000-0005-0000-0000-0000E58E0000}"/>
    <cellStyle name="40% - Accent6 3 2 2 4 3" xfId="5433" xr:uid="{00000000-0005-0000-0000-0000E68E0000}"/>
    <cellStyle name="40% - Accent6 3 2 2 4 3 2" xfId="11083" xr:uid="{00000000-0005-0000-0000-0000E78E0000}"/>
    <cellStyle name="40% - Accent6 3 2 2 4 3 2 2" xfId="22384" xr:uid="{00000000-0005-0000-0000-0000E88E0000}"/>
    <cellStyle name="40% - Accent6 3 2 2 4 3 2 2 2" xfId="44986" xr:uid="{00000000-0005-0000-0000-0000E98E0000}"/>
    <cellStyle name="40% - Accent6 3 2 2 4 3 2 3" xfId="33685" xr:uid="{00000000-0005-0000-0000-0000EA8E0000}"/>
    <cellStyle name="40% - Accent6 3 2 2 4 3 3" xfId="16734" xr:uid="{00000000-0005-0000-0000-0000EB8E0000}"/>
    <cellStyle name="40% - Accent6 3 2 2 4 3 3 2" xfId="39336" xr:uid="{00000000-0005-0000-0000-0000EC8E0000}"/>
    <cellStyle name="40% - Accent6 3 2 2 4 3 4" xfId="28035" xr:uid="{00000000-0005-0000-0000-0000ED8E0000}"/>
    <cellStyle name="40% - Accent6 3 2 2 4 4" xfId="7898" xr:uid="{00000000-0005-0000-0000-0000EE8E0000}"/>
    <cellStyle name="40% - Accent6 3 2 2 4 4 2" xfId="19199" xr:uid="{00000000-0005-0000-0000-0000EF8E0000}"/>
    <cellStyle name="40% - Accent6 3 2 2 4 4 2 2" xfId="41801" xr:uid="{00000000-0005-0000-0000-0000F08E0000}"/>
    <cellStyle name="40% - Accent6 3 2 2 4 4 3" xfId="30500" xr:uid="{00000000-0005-0000-0000-0000F18E0000}"/>
    <cellStyle name="40% - Accent6 3 2 2 4 5" xfId="13549" xr:uid="{00000000-0005-0000-0000-0000F28E0000}"/>
    <cellStyle name="40% - Accent6 3 2 2 4 5 2" xfId="36151" xr:uid="{00000000-0005-0000-0000-0000F38E0000}"/>
    <cellStyle name="40% - Accent6 3 2 2 4 6" xfId="24850" xr:uid="{00000000-0005-0000-0000-0000F48E0000}"/>
    <cellStyle name="40% - Accent6 3 2 2 5" xfId="2414" xr:uid="{00000000-0005-0000-0000-0000F58E0000}"/>
    <cellStyle name="40% - Accent6 3 2 2 5 2" xfId="8250" xr:uid="{00000000-0005-0000-0000-0000F68E0000}"/>
    <cellStyle name="40% - Accent6 3 2 2 5 2 2" xfId="19551" xr:uid="{00000000-0005-0000-0000-0000F78E0000}"/>
    <cellStyle name="40% - Accent6 3 2 2 5 2 2 2" xfId="42153" xr:uid="{00000000-0005-0000-0000-0000F88E0000}"/>
    <cellStyle name="40% - Accent6 3 2 2 5 2 3" xfId="30852" xr:uid="{00000000-0005-0000-0000-0000F98E0000}"/>
    <cellStyle name="40% - Accent6 3 2 2 5 3" xfId="13901" xr:uid="{00000000-0005-0000-0000-0000FA8E0000}"/>
    <cellStyle name="40% - Accent6 3 2 2 5 3 2" xfId="36503" xr:uid="{00000000-0005-0000-0000-0000FB8E0000}"/>
    <cellStyle name="40% - Accent6 3 2 2 5 4" xfId="25202" xr:uid="{00000000-0005-0000-0000-0000FC8E0000}"/>
    <cellStyle name="40% - Accent6 3 2 2 6" xfId="4199" xr:uid="{00000000-0005-0000-0000-0000FD8E0000}"/>
    <cellStyle name="40% - Accent6 3 2 2 6 2" xfId="9849" xr:uid="{00000000-0005-0000-0000-0000FE8E0000}"/>
    <cellStyle name="40% - Accent6 3 2 2 6 2 2" xfId="21150" xr:uid="{00000000-0005-0000-0000-0000FF8E0000}"/>
    <cellStyle name="40% - Accent6 3 2 2 6 2 2 2" xfId="43752" xr:uid="{00000000-0005-0000-0000-0000008F0000}"/>
    <cellStyle name="40% - Accent6 3 2 2 6 2 3" xfId="32451" xr:uid="{00000000-0005-0000-0000-0000018F0000}"/>
    <cellStyle name="40% - Accent6 3 2 2 6 3" xfId="15500" xr:uid="{00000000-0005-0000-0000-0000028F0000}"/>
    <cellStyle name="40% - Accent6 3 2 2 6 3 2" xfId="38102" xr:uid="{00000000-0005-0000-0000-0000038F0000}"/>
    <cellStyle name="40% - Accent6 3 2 2 6 4" xfId="26801" xr:uid="{00000000-0005-0000-0000-0000048F0000}"/>
    <cellStyle name="40% - Accent6 3 2 2 7" xfId="6679" xr:uid="{00000000-0005-0000-0000-0000058F0000}"/>
    <cellStyle name="40% - Accent6 3 2 2 7 2" xfId="17980" xr:uid="{00000000-0005-0000-0000-0000068F0000}"/>
    <cellStyle name="40% - Accent6 3 2 2 7 2 2" xfId="40582" xr:uid="{00000000-0005-0000-0000-0000078F0000}"/>
    <cellStyle name="40% - Accent6 3 2 2 7 3" xfId="29281" xr:uid="{00000000-0005-0000-0000-0000088F0000}"/>
    <cellStyle name="40% - Accent6 3 2 2 8" xfId="12330" xr:uid="{00000000-0005-0000-0000-0000098F0000}"/>
    <cellStyle name="40% - Accent6 3 2 2 8 2" xfId="34932" xr:uid="{00000000-0005-0000-0000-00000A8F0000}"/>
    <cellStyle name="40% - Accent6 3 2 2 9" xfId="23631" xr:uid="{00000000-0005-0000-0000-00000B8F0000}"/>
    <cellStyle name="40% - Accent6 3 2 3" xfId="1186" xr:uid="{00000000-0005-0000-0000-00000C8F0000}"/>
    <cellStyle name="40% - Accent6 3 2 3 2" xfId="2044" xr:uid="{00000000-0005-0000-0000-00000D8F0000}"/>
    <cellStyle name="40% - Accent6 3 2 3 2 2" xfId="3254" xr:uid="{00000000-0005-0000-0000-00000E8F0000}"/>
    <cellStyle name="40% - Accent6 3 2 3 2 2 2" xfId="6226" xr:uid="{00000000-0005-0000-0000-00000F8F0000}"/>
    <cellStyle name="40% - Accent6 3 2 3 2 2 2 2" xfId="11876" xr:uid="{00000000-0005-0000-0000-0000108F0000}"/>
    <cellStyle name="40% - Accent6 3 2 3 2 2 2 2 2" xfId="23177" xr:uid="{00000000-0005-0000-0000-0000118F0000}"/>
    <cellStyle name="40% - Accent6 3 2 3 2 2 2 2 2 2" xfId="45779" xr:uid="{00000000-0005-0000-0000-0000128F0000}"/>
    <cellStyle name="40% - Accent6 3 2 3 2 2 2 2 3" xfId="34478" xr:uid="{00000000-0005-0000-0000-0000138F0000}"/>
    <cellStyle name="40% - Accent6 3 2 3 2 2 2 3" xfId="17527" xr:uid="{00000000-0005-0000-0000-0000148F0000}"/>
    <cellStyle name="40% - Accent6 3 2 3 2 2 2 3 2" xfId="40129" xr:uid="{00000000-0005-0000-0000-0000158F0000}"/>
    <cellStyle name="40% - Accent6 3 2 3 2 2 2 4" xfId="28828" xr:uid="{00000000-0005-0000-0000-0000168F0000}"/>
    <cellStyle name="40% - Accent6 3 2 3 2 2 3" xfId="9044" xr:uid="{00000000-0005-0000-0000-0000178F0000}"/>
    <cellStyle name="40% - Accent6 3 2 3 2 2 3 2" xfId="20345" xr:uid="{00000000-0005-0000-0000-0000188F0000}"/>
    <cellStyle name="40% - Accent6 3 2 3 2 2 3 2 2" xfId="42947" xr:uid="{00000000-0005-0000-0000-0000198F0000}"/>
    <cellStyle name="40% - Accent6 3 2 3 2 2 3 3" xfId="31646" xr:uid="{00000000-0005-0000-0000-00001A8F0000}"/>
    <cellStyle name="40% - Accent6 3 2 3 2 2 4" xfId="14695" xr:uid="{00000000-0005-0000-0000-00001B8F0000}"/>
    <cellStyle name="40% - Accent6 3 2 3 2 2 4 2" xfId="37297" xr:uid="{00000000-0005-0000-0000-00001C8F0000}"/>
    <cellStyle name="40% - Accent6 3 2 3 2 2 5" xfId="25996" xr:uid="{00000000-0005-0000-0000-00001D8F0000}"/>
    <cellStyle name="40% - Accent6 3 2 3 2 3" xfId="4992" xr:uid="{00000000-0005-0000-0000-00001E8F0000}"/>
    <cellStyle name="40% - Accent6 3 2 3 2 3 2" xfId="10642" xr:uid="{00000000-0005-0000-0000-00001F8F0000}"/>
    <cellStyle name="40% - Accent6 3 2 3 2 3 2 2" xfId="21943" xr:uid="{00000000-0005-0000-0000-0000208F0000}"/>
    <cellStyle name="40% - Accent6 3 2 3 2 3 2 2 2" xfId="44545" xr:uid="{00000000-0005-0000-0000-0000218F0000}"/>
    <cellStyle name="40% - Accent6 3 2 3 2 3 2 3" xfId="33244" xr:uid="{00000000-0005-0000-0000-0000228F0000}"/>
    <cellStyle name="40% - Accent6 3 2 3 2 3 3" xfId="16293" xr:uid="{00000000-0005-0000-0000-0000238F0000}"/>
    <cellStyle name="40% - Accent6 3 2 3 2 3 3 2" xfId="38895" xr:uid="{00000000-0005-0000-0000-0000248F0000}"/>
    <cellStyle name="40% - Accent6 3 2 3 2 3 4" xfId="27594" xr:uid="{00000000-0005-0000-0000-0000258F0000}"/>
    <cellStyle name="40% - Accent6 3 2 3 2 4" xfId="7900" xr:uid="{00000000-0005-0000-0000-0000268F0000}"/>
    <cellStyle name="40% - Accent6 3 2 3 2 4 2" xfId="19201" xr:uid="{00000000-0005-0000-0000-0000278F0000}"/>
    <cellStyle name="40% - Accent6 3 2 3 2 4 2 2" xfId="41803" xr:uid="{00000000-0005-0000-0000-0000288F0000}"/>
    <cellStyle name="40% - Accent6 3 2 3 2 4 3" xfId="30502" xr:uid="{00000000-0005-0000-0000-0000298F0000}"/>
    <cellStyle name="40% - Accent6 3 2 3 2 5" xfId="13551" xr:uid="{00000000-0005-0000-0000-00002A8F0000}"/>
    <cellStyle name="40% - Accent6 3 2 3 2 5 2" xfId="36153" xr:uid="{00000000-0005-0000-0000-00002B8F0000}"/>
    <cellStyle name="40% - Accent6 3 2 3 2 6" xfId="24852" xr:uid="{00000000-0005-0000-0000-00002C8F0000}"/>
    <cellStyle name="40% - Accent6 3 2 3 3" xfId="2583" xr:uid="{00000000-0005-0000-0000-00002D8F0000}"/>
    <cellStyle name="40% - Accent6 3 2 3 3 2" xfId="5602" xr:uid="{00000000-0005-0000-0000-00002E8F0000}"/>
    <cellStyle name="40% - Accent6 3 2 3 3 2 2" xfId="11252" xr:uid="{00000000-0005-0000-0000-00002F8F0000}"/>
    <cellStyle name="40% - Accent6 3 2 3 3 2 2 2" xfId="22553" xr:uid="{00000000-0005-0000-0000-0000308F0000}"/>
    <cellStyle name="40% - Accent6 3 2 3 3 2 2 2 2" xfId="45155" xr:uid="{00000000-0005-0000-0000-0000318F0000}"/>
    <cellStyle name="40% - Accent6 3 2 3 3 2 2 3" xfId="33854" xr:uid="{00000000-0005-0000-0000-0000328F0000}"/>
    <cellStyle name="40% - Accent6 3 2 3 3 2 3" xfId="16903" xr:uid="{00000000-0005-0000-0000-0000338F0000}"/>
    <cellStyle name="40% - Accent6 3 2 3 3 2 3 2" xfId="39505" xr:uid="{00000000-0005-0000-0000-0000348F0000}"/>
    <cellStyle name="40% - Accent6 3 2 3 3 2 4" xfId="28204" xr:uid="{00000000-0005-0000-0000-0000358F0000}"/>
    <cellStyle name="40% - Accent6 3 2 3 3 3" xfId="8419" xr:uid="{00000000-0005-0000-0000-0000368F0000}"/>
    <cellStyle name="40% - Accent6 3 2 3 3 3 2" xfId="19720" xr:uid="{00000000-0005-0000-0000-0000378F0000}"/>
    <cellStyle name="40% - Accent6 3 2 3 3 3 2 2" xfId="42322" xr:uid="{00000000-0005-0000-0000-0000388F0000}"/>
    <cellStyle name="40% - Accent6 3 2 3 3 3 3" xfId="31021" xr:uid="{00000000-0005-0000-0000-0000398F0000}"/>
    <cellStyle name="40% - Accent6 3 2 3 3 4" xfId="14070" xr:uid="{00000000-0005-0000-0000-00003A8F0000}"/>
    <cellStyle name="40% - Accent6 3 2 3 3 4 2" xfId="36672" xr:uid="{00000000-0005-0000-0000-00003B8F0000}"/>
    <cellStyle name="40% - Accent6 3 2 3 3 5" xfId="25371" xr:uid="{00000000-0005-0000-0000-00003C8F0000}"/>
    <cellStyle name="40% - Accent6 3 2 3 4" xfId="4368" xr:uid="{00000000-0005-0000-0000-00003D8F0000}"/>
    <cellStyle name="40% - Accent6 3 2 3 4 2" xfId="10018" xr:uid="{00000000-0005-0000-0000-00003E8F0000}"/>
    <cellStyle name="40% - Accent6 3 2 3 4 2 2" xfId="21319" xr:uid="{00000000-0005-0000-0000-00003F8F0000}"/>
    <cellStyle name="40% - Accent6 3 2 3 4 2 2 2" xfId="43921" xr:uid="{00000000-0005-0000-0000-0000408F0000}"/>
    <cellStyle name="40% - Accent6 3 2 3 4 2 3" xfId="32620" xr:uid="{00000000-0005-0000-0000-0000418F0000}"/>
    <cellStyle name="40% - Accent6 3 2 3 4 3" xfId="15669" xr:uid="{00000000-0005-0000-0000-0000428F0000}"/>
    <cellStyle name="40% - Accent6 3 2 3 4 3 2" xfId="38271" xr:uid="{00000000-0005-0000-0000-0000438F0000}"/>
    <cellStyle name="40% - Accent6 3 2 3 4 4" xfId="26970" xr:uid="{00000000-0005-0000-0000-0000448F0000}"/>
    <cellStyle name="40% - Accent6 3 2 3 5" xfId="7165" xr:uid="{00000000-0005-0000-0000-0000458F0000}"/>
    <cellStyle name="40% - Accent6 3 2 3 5 2" xfId="18466" xr:uid="{00000000-0005-0000-0000-0000468F0000}"/>
    <cellStyle name="40% - Accent6 3 2 3 5 2 2" xfId="41068" xr:uid="{00000000-0005-0000-0000-0000478F0000}"/>
    <cellStyle name="40% - Accent6 3 2 3 5 3" xfId="29767" xr:uid="{00000000-0005-0000-0000-0000488F0000}"/>
    <cellStyle name="40% - Accent6 3 2 3 6" xfId="12816" xr:uid="{00000000-0005-0000-0000-0000498F0000}"/>
    <cellStyle name="40% - Accent6 3 2 3 6 2" xfId="35418" xr:uid="{00000000-0005-0000-0000-00004A8F0000}"/>
    <cellStyle name="40% - Accent6 3 2 3 7" xfId="24117" xr:uid="{00000000-0005-0000-0000-00004B8F0000}"/>
    <cellStyle name="40% - Accent6 3 2 4" xfId="875" xr:uid="{00000000-0005-0000-0000-00004C8F0000}"/>
    <cellStyle name="40% - Accent6 3 2 4 2" xfId="2947" xr:uid="{00000000-0005-0000-0000-00004D8F0000}"/>
    <cellStyle name="40% - Accent6 3 2 4 2 2" xfId="5919" xr:uid="{00000000-0005-0000-0000-00004E8F0000}"/>
    <cellStyle name="40% - Accent6 3 2 4 2 2 2" xfId="11569" xr:uid="{00000000-0005-0000-0000-00004F8F0000}"/>
    <cellStyle name="40% - Accent6 3 2 4 2 2 2 2" xfId="22870" xr:uid="{00000000-0005-0000-0000-0000508F0000}"/>
    <cellStyle name="40% - Accent6 3 2 4 2 2 2 2 2" xfId="45472" xr:uid="{00000000-0005-0000-0000-0000518F0000}"/>
    <cellStyle name="40% - Accent6 3 2 4 2 2 2 3" xfId="34171" xr:uid="{00000000-0005-0000-0000-0000528F0000}"/>
    <cellStyle name="40% - Accent6 3 2 4 2 2 3" xfId="17220" xr:uid="{00000000-0005-0000-0000-0000538F0000}"/>
    <cellStyle name="40% - Accent6 3 2 4 2 2 3 2" xfId="39822" xr:uid="{00000000-0005-0000-0000-0000548F0000}"/>
    <cellStyle name="40% - Accent6 3 2 4 2 2 4" xfId="28521" xr:uid="{00000000-0005-0000-0000-0000558F0000}"/>
    <cellStyle name="40% - Accent6 3 2 4 2 3" xfId="8737" xr:uid="{00000000-0005-0000-0000-0000568F0000}"/>
    <cellStyle name="40% - Accent6 3 2 4 2 3 2" xfId="20038" xr:uid="{00000000-0005-0000-0000-0000578F0000}"/>
    <cellStyle name="40% - Accent6 3 2 4 2 3 2 2" xfId="42640" xr:uid="{00000000-0005-0000-0000-0000588F0000}"/>
    <cellStyle name="40% - Accent6 3 2 4 2 3 3" xfId="31339" xr:uid="{00000000-0005-0000-0000-0000598F0000}"/>
    <cellStyle name="40% - Accent6 3 2 4 2 4" xfId="14388" xr:uid="{00000000-0005-0000-0000-00005A8F0000}"/>
    <cellStyle name="40% - Accent6 3 2 4 2 4 2" xfId="36990" xr:uid="{00000000-0005-0000-0000-00005B8F0000}"/>
    <cellStyle name="40% - Accent6 3 2 4 2 5" xfId="25689" xr:uid="{00000000-0005-0000-0000-00005C8F0000}"/>
    <cellStyle name="40% - Accent6 3 2 4 3" xfId="4685" xr:uid="{00000000-0005-0000-0000-00005D8F0000}"/>
    <cellStyle name="40% - Accent6 3 2 4 3 2" xfId="10335" xr:uid="{00000000-0005-0000-0000-00005E8F0000}"/>
    <cellStyle name="40% - Accent6 3 2 4 3 2 2" xfId="21636" xr:uid="{00000000-0005-0000-0000-00005F8F0000}"/>
    <cellStyle name="40% - Accent6 3 2 4 3 2 2 2" xfId="44238" xr:uid="{00000000-0005-0000-0000-0000608F0000}"/>
    <cellStyle name="40% - Accent6 3 2 4 3 2 3" xfId="32937" xr:uid="{00000000-0005-0000-0000-0000618F0000}"/>
    <cellStyle name="40% - Accent6 3 2 4 3 3" xfId="15986" xr:uid="{00000000-0005-0000-0000-0000628F0000}"/>
    <cellStyle name="40% - Accent6 3 2 4 3 3 2" xfId="38588" xr:uid="{00000000-0005-0000-0000-0000638F0000}"/>
    <cellStyle name="40% - Accent6 3 2 4 3 4" xfId="27287" xr:uid="{00000000-0005-0000-0000-0000648F0000}"/>
    <cellStyle name="40% - Accent6 3 2 4 4" xfId="6872" xr:uid="{00000000-0005-0000-0000-0000658F0000}"/>
    <cellStyle name="40% - Accent6 3 2 4 4 2" xfId="18173" xr:uid="{00000000-0005-0000-0000-0000668F0000}"/>
    <cellStyle name="40% - Accent6 3 2 4 4 2 2" xfId="40775" xr:uid="{00000000-0005-0000-0000-0000678F0000}"/>
    <cellStyle name="40% - Accent6 3 2 4 4 3" xfId="29474" xr:uid="{00000000-0005-0000-0000-0000688F0000}"/>
    <cellStyle name="40% - Accent6 3 2 4 5" xfId="12523" xr:uid="{00000000-0005-0000-0000-0000698F0000}"/>
    <cellStyle name="40% - Accent6 3 2 4 5 2" xfId="35125" xr:uid="{00000000-0005-0000-0000-00006A8F0000}"/>
    <cellStyle name="40% - Accent6 3 2 4 6" xfId="23824" xr:uid="{00000000-0005-0000-0000-00006B8F0000}"/>
    <cellStyle name="40% - Accent6 3 2 5" xfId="2041" xr:uid="{00000000-0005-0000-0000-00006C8F0000}"/>
    <cellStyle name="40% - Accent6 3 2 5 2" xfId="3825" xr:uid="{00000000-0005-0000-0000-00006D8F0000}"/>
    <cellStyle name="40% - Accent6 3 2 5 2 2" xfId="9534" xr:uid="{00000000-0005-0000-0000-00006E8F0000}"/>
    <cellStyle name="40% - Accent6 3 2 5 2 2 2" xfId="20835" xr:uid="{00000000-0005-0000-0000-00006F8F0000}"/>
    <cellStyle name="40% - Accent6 3 2 5 2 2 2 2" xfId="43437" xr:uid="{00000000-0005-0000-0000-0000708F0000}"/>
    <cellStyle name="40% - Accent6 3 2 5 2 2 3" xfId="32136" xr:uid="{00000000-0005-0000-0000-0000718F0000}"/>
    <cellStyle name="40% - Accent6 3 2 5 2 3" xfId="15185" xr:uid="{00000000-0005-0000-0000-0000728F0000}"/>
    <cellStyle name="40% - Accent6 3 2 5 2 3 2" xfId="37787" xr:uid="{00000000-0005-0000-0000-0000738F0000}"/>
    <cellStyle name="40% - Accent6 3 2 5 2 4" xfId="26486" xr:uid="{00000000-0005-0000-0000-0000748F0000}"/>
    <cellStyle name="40% - Accent6 3 2 5 3" xfId="5295" xr:uid="{00000000-0005-0000-0000-0000758F0000}"/>
    <cellStyle name="40% - Accent6 3 2 5 3 2" xfId="10945" xr:uid="{00000000-0005-0000-0000-0000768F0000}"/>
    <cellStyle name="40% - Accent6 3 2 5 3 2 2" xfId="22246" xr:uid="{00000000-0005-0000-0000-0000778F0000}"/>
    <cellStyle name="40% - Accent6 3 2 5 3 2 2 2" xfId="44848" xr:uid="{00000000-0005-0000-0000-0000788F0000}"/>
    <cellStyle name="40% - Accent6 3 2 5 3 2 3" xfId="33547" xr:uid="{00000000-0005-0000-0000-0000798F0000}"/>
    <cellStyle name="40% - Accent6 3 2 5 3 3" xfId="16596" xr:uid="{00000000-0005-0000-0000-00007A8F0000}"/>
    <cellStyle name="40% - Accent6 3 2 5 3 3 2" xfId="39198" xr:uid="{00000000-0005-0000-0000-00007B8F0000}"/>
    <cellStyle name="40% - Accent6 3 2 5 3 4" xfId="27897" xr:uid="{00000000-0005-0000-0000-00007C8F0000}"/>
    <cellStyle name="40% - Accent6 3 2 5 4" xfId="7897" xr:uid="{00000000-0005-0000-0000-00007D8F0000}"/>
    <cellStyle name="40% - Accent6 3 2 5 4 2" xfId="19198" xr:uid="{00000000-0005-0000-0000-00007E8F0000}"/>
    <cellStyle name="40% - Accent6 3 2 5 4 2 2" xfId="41800" xr:uid="{00000000-0005-0000-0000-00007F8F0000}"/>
    <cellStyle name="40% - Accent6 3 2 5 4 3" xfId="30499" xr:uid="{00000000-0005-0000-0000-0000808F0000}"/>
    <cellStyle name="40% - Accent6 3 2 5 5" xfId="13548" xr:uid="{00000000-0005-0000-0000-0000818F0000}"/>
    <cellStyle name="40% - Accent6 3 2 5 5 2" xfId="36150" xr:uid="{00000000-0005-0000-0000-0000828F0000}"/>
    <cellStyle name="40% - Accent6 3 2 5 6" xfId="24849" xr:uid="{00000000-0005-0000-0000-0000838F0000}"/>
    <cellStyle name="40% - Accent6 3 2 6" xfId="2274" xr:uid="{00000000-0005-0000-0000-0000848F0000}"/>
    <cellStyle name="40% - Accent6 3 2 6 2" xfId="8110" xr:uid="{00000000-0005-0000-0000-0000858F0000}"/>
    <cellStyle name="40% - Accent6 3 2 6 2 2" xfId="19411" xr:uid="{00000000-0005-0000-0000-0000868F0000}"/>
    <cellStyle name="40% - Accent6 3 2 6 2 2 2" xfId="42013" xr:uid="{00000000-0005-0000-0000-0000878F0000}"/>
    <cellStyle name="40% - Accent6 3 2 6 2 3" xfId="30712" xr:uid="{00000000-0005-0000-0000-0000888F0000}"/>
    <cellStyle name="40% - Accent6 3 2 6 3" xfId="13761" xr:uid="{00000000-0005-0000-0000-0000898F0000}"/>
    <cellStyle name="40% - Accent6 3 2 6 3 2" xfId="36363" xr:uid="{00000000-0005-0000-0000-00008A8F0000}"/>
    <cellStyle name="40% - Accent6 3 2 6 4" xfId="25062" xr:uid="{00000000-0005-0000-0000-00008B8F0000}"/>
    <cellStyle name="40% - Accent6 3 2 7" xfId="4061" xr:uid="{00000000-0005-0000-0000-00008C8F0000}"/>
    <cellStyle name="40% - Accent6 3 2 7 2" xfId="9711" xr:uid="{00000000-0005-0000-0000-00008D8F0000}"/>
    <cellStyle name="40% - Accent6 3 2 7 2 2" xfId="21012" xr:uid="{00000000-0005-0000-0000-00008E8F0000}"/>
    <cellStyle name="40% - Accent6 3 2 7 2 2 2" xfId="43614" xr:uid="{00000000-0005-0000-0000-00008F8F0000}"/>
    <cellStyle name="40% - Accent6 3 2 7 2 3" xfId="32313" xr:uid="{00000000-0005-0000-0000-0000908F0000}"/>
    <cellStyle name="40% - Accent6 3 2 7 3" xfId="15362" xr:uid="{00000000-0005-0000-0000-0000918F0000}"/>
    <cellStyle name="40% - Accent6 3 2 7 3 2" xfId="37964" xr:uid="{00000000-0005-0000-0000-0000928F0000}"/>
    <cellStyle name="40% - Accent6 3 2 7 4" xfId="26663" xr:uid="{00000000-0005-0000-0000-0000938F0000}"/>
    <cellStyle name="40% - Accent6 3 2 8" xfId="6512" xr:uid="{00000000-0005-0000-0000-0000948F0000}"/>
    <cellStyle name="40% - Accent6 3 2 8 2" xfId="17813" xr:uid="{00000000-0005-0000-0000-0000958F0000}"/>
    <cellStyle name="40% - Accent6 3 2 8 2 2" xfId="40415" xr:uid="{00000000-0005-0000-0000-0000968F0000}"/>
    <cellStyle name="40% - Accent6 3 2 8 3" xfId="29114" xr:uid="{00000000-0005-0000-0000-0000978F0000}"/>
    <cellStyle name="40% - Accent6 3 2 9" xfId="12163" xr:uid="{00000000-0005-0000-0000-0000988F0000}"/>
    <cellStyle name="40% - Accent6 3 2 9 2" xfId="34765" xr:uid="{00000000-0005-0000-0000-0000998F0000}"/>
    <cellStyle name="40% - Accent6 3 3" xfId="418" xr:uid="{00000000-0005-0000-0000-00009A8F0000}"/>
    <cellStyle name="40% - Accent6 3 3 10" xfId="23513" xr:uid="{00000000-0005-0000-0000-00009B8F0000}"/>
    <cellStyle name="40% - Accent6 3 3 2" xfId="663" xr:uid="{00000000-0005-0000-0000-00009C8F0000}"/>
    <cellStyle name="40% - Accent6 3 3 2 2" xfId="1373" xr:uid="{00000000-0005-0000-0000-00009D8F0000}"/>
    <cellStyle name="40% - Accent6 3 3 2 2 2" xfId="2047" xr:uid="{00000000-0005-0000-0000-00009E8F0000}"/>
    <cellStyle name="40% - Accent6 3 3 2 2 2 2" xfId="3442" xr:uid="{00000000-0005-0000-0000-00009F8F0000}"/>
    <cellStyle name="40% - Accent6 3 3 2 2 2 2 2" xfId="6414" xr:uid="{00000000-0005-0000-0000-0000A08F0000}"/>
    <cellStyle name="40% - Accent6 3 3 2 2 2 2 2 2" xfId="12064" xr:uid="{00000000-0005-0000-0000-0000A18F0000}"/>
    <cellStyle name="40% - Accent6 3 3 2 2 2 2 2 2 2" xfId="23365" xr:uid="{00000000-0005-0000-0000-0000A28F0000}"/>
    <cellStyle name="40% - Accent6 3 3 2 2 2 2 2 2 2 2" xfId="45967" xr:uid="{00000000-0005-0000-0000-0000A38F0000}"/>
    <cellStyle name="40% - Accent6 3 3 2 2 2 2 2 2 3" xfId="34666" xr:uid="{00000000-0005-0000-0000-0000A48F0000}"/>
    <cellStyle name="40% - Accent6 3 3 2 2 2 2 2 3" xfId="17715" xr:uid="{00000000-0005-0000-0000-0000A58F0000}"/>
    <cellStyle name="40% - Accent6 3 3 2 2 2 2 2 3 2" xfId="40317" xr:uid="{00000000-0005-0000-0000-0000A68F0000}"/>
    <cellStyle name="40% - Accent6 3 3 2 2 2 2 2 4" xfId="29016" xr:uid="{00000000-0005-0000-0000-0000A78F0000}"/>
    <cellStyle name="40% - Accent6 3 3 2 2 2 2 3" xfId="9232" xr:uid="{00000000-0005-0000-0000-0000A88F0000}"/>
    <cellStyle name="40% - Accent6 3 3 2 2 2 2 3 2" xfId="20533" xr:uid="{00000000-0005-0000-0000-0000A98F0000}"/>
    <cellStyle name="40% - Accent6 3 3 2 2 2 2 3 2 2" xfId="43135" xr:uid="{00000000-0005-0000-0000-0000AA8F0000}"/>
    <cellStyle name="40% - Accent6 3 3 2 2 2 2 3 3" xfId="31834" xr:uid="{00000000-0005-0000-0000-0000AB8F0000}"/>
    <cellStyle name="40% - Accent6 3 3 2 2 2 2 4" xfId="14883" xr:uid="{00000000-0005-0000-0000-0000AC8F0000}"/>
    <cellStyle name="40% - Accent6 3 3 2 2 2 2 4 2" xfId="37485" xr:uid="{00000000-0005-0000-0000-0000AD8F0000}"/>
    <cellStyle name="40% - Accent6 3 3 2 2 2 2 5" xfId="26184" xr:uid="{00000000-0005-0000-0000-0000AE8F0000}"/>
    <cellStyle name="40% - Accent6 3 3 2 2 2 3" xfId="5180" xr:uid="{00000000-0005-0000-0000-0000AF8F0000}"/>
    <cellStyle name="40% - Accent6 3 3 2 2 2 3 2" xfId="10830" xr:uid="{00000000-0005-0000-0000-0000B08F0000}"/>
    <cellStyle name="40% - Accent6 3 3 2 2 2 3 2 2" xfId="22131" xr:uid="{00000000-0005-0000-0000-0000B18F0000}"/>
    <cellStyle name="40% - Accent6 3 3 2 2 2 3 2 2 2" xfId="44733" xr:uid="{00000000-0005-0000-0000-0000B28F0000}"/>
    <cellStyle name="40% - Accent6 3 3 2 2 2 3 2 3" xfId="33432" xr:uid="{00000000-0005-0000-0000-0000B38F0000}"/>
    <cellStyle name="40% - Accent6 3 3 2 2 2 3 3" xfId="16481" xr:uid="{00000000-0005-0000-0000-0000B48F0000}"/>
    <cellStyle name="40% - Accent6 3 3 2 2 2 3 3 2" xfId="39083" xr:uid="{00000000-0005-0000-0000-0000B58F0000}"/>
    <cellStyle name="40% - Accent6 3 3 2 2 2 3 4" xfId="27782" xr:uid="{00000000-0005-0000-0000-0000B68F0000}"/>
    <cellStyle name="40% - Accent6 3 3 2 2 2 4" xfId="7903" xr:uid="{00000000-0005-0000-0000-0000B78F0000}"/>
    <cellStyle name="40% - Accent6 3 3 2 2 2 4 2" xfId="19204" xr:uid="{00000000-0005-0000-0000-0000B88F0000}"/>
    <cellStyle name="40% - Accent6 3 3 2 2 2 4 2 2" xfId="41806" xr:uid="{00000000-0005-0000-0000-0000B98F0000}"/>
    <cellStyle name="40% - Accent6 3 3 2 2 2 4 3" xfId="30505" xr:uid="{00000000-0005-0000-0000-0000BA8F0000}"/>
    <cellStyle name="40% - Accent6 3 3 2 2 2 5" xfId="13554" xr:uid="{00000000-0005-0000-0000-0000BB8F0000}"/>
    <cellStyle name="40% - Accent6 3 3 2 2 2 5 2" xfId="36156" xr:uid="{00000000-0005-0000-0000-0000BC8F0000}"/>
    <cellStyle name="40% - Accent6 3 3 2 2 2 6" xfId="24855" xr:uid="{00000000-0005-0000-0000-0000BD8F0000}"/>
    <cellStyle name="40% - Accent6 3 3 2 2 3" xfId="2771" xr:uid="{00000000-0005-0000-0000-0000BE8F0000}"/>
    <cellStyle name="40% - Accent6 3 3 2 2 3 2" xfId="5790" xr:uid="{00000000-0005-0000-0000-0000BF8F0000}"/>
    <cellStyle name="40% - Accent6 3 3 2 2 3 2 2" xfId="11440" xr:uid="{00000000-0005-0000-0000-0000C08F0000}"/>
    <cellStyle name="40% - Accent6 3 3 2 2 3 2 2 2" xfId="22741" xr:uid="{00000000-0005-0000-0000-0000C18F0000}"/>
    <cellStyle name="40% - Accent6 3 3 2 2 3 2 2 2 2" xfId="45343" xr:uid="{00000000-0005-0000-0000-0000C28F0000}"/>
    <cellStyle name="40% - Accent6 3 3 2 2 3 2 2 3" xfId="34042" xr:uid="{00000000-0005-0000-0000-0000C38F0000}"/>
    <cellStyle name="40% - Accent6 3 3 2 2 3 2 3" xfId="17091" xr:uid="{00000000-0005-0000-0000-0000C48F0000}"/>
    <cellStyle name="40% - Accent6 3 3 2 2 3 2 3 2" xfId="39693" xr:uid="{00000000-0005-0000-0000-0000C58F0000}"/>
    <cellStyle name="40% - Accent6 3 3 2 2 3 2 4" xfId="28392" xr:uid="{00000000-0005-0000-0000-0000C68F0000}"/>
    <cellStyle name="40% - Accent6 3 3 2 2 3 3" xfId="8607" xr:uid="{00000000-0005-0000-0000-0000C78F0000}"/>
    <cellStyle name="40% - Accent6 3 3 2 2 3 3 2" xfId="19908" xr:uid="{00000000-0005-0000-0000-0000C88F0000}"/>
    <cellStyle name="40% - Accent6 3 3 2 2 3 3 2 2" xfId="42510" xr:uid="{00000000-0005-0000-0000-0000C98F0000}"/>
    <cellStyle name="40% - Accent6 3 3 2 2 3 3 3" xfId="31209" xr:uid="{00000000-0005-0000-0000-0000CA8F0000}"/>
    <cellStyle name="40% - Accent6 3 3 2 2 3 4" xfId="14258" xr:uid="{00000000-0005-0000-0000-0000CB8F0000}"/>
    <cellStyle name="40% - Accent6 3 3 2 2 3 4 2" xfId="36860" xr:uid="{00000000-0005-0000-0000-0000CC8F0000}"/>
    <cellStyle name="40% - Accent6 3 3 2 2 3 5" xfId="25559" xr:uid="{00000000-0005-0000-0000-0000CD8F0000}"/>
    <cellStyle name="40% - Accent6 3 3 2 2 4" xfId="4556" xr:uid="{00000000-0005-0000-0000-0000CE8F0000}"/>
    <cellStyle name="40% - Accent6 3 3 2 2 4 2" xfId="10206" xr:uid="{00000000-0005-0000-0000-0000CF8F0000}"/>
    <cellStyle name="40% - Accent6 3 3 2 2 4 2 2" xfId="21507" xr:uid="{00000000-0005-0000-0000-0000D08F0000}"/>
    <cellStyle name="40% - Accent6 3 3 2 2 4 2 2 2" xfId="44109" xr:uid="{00000000-0005-0000-0000-0000D18F0000}"/>
    <cellStyle name="40% - Accent6 3 3 2 2 4 2 3" xfId="32808" xr:uid="{00000000-0005-0000-0000-0000D28F0000}"/>
    <cellStyle name="40% - Accent6 3 3 2 2 4 3" xfId="15857" xr:uid="{00000000-0005-0000-0000-0000D38F0000}"/>
    <cellStyle name="40% - Accent6 3 3 2 2 4 3 2" xfId="38459" xr:uid="{00000000-0005-0000-0000-0000D48F0000}"/>
    <cellStyle name="40% - Accent6 3 3 2 2 4 4" xfId="27158" xr:uid="{00000000-0005-0000-0000-0000D58F0000}"/>
    <cellStyle name="40% - Accent6 3 3 2 2 5" xfId="7352" xr:uid="{00000000-0005-0000-0000-0000D68F0000}"/>
    <cellStyle name="40% - Accent6 3 3 2 2 5 2" xfId="18653" xr:uid="{00000000-0005-0000-0000-0000D78F0000}"/>
    <cellStyle name="40% - Accent6 3 3 2 2 5 2 2" xfId="41255" xr:uid="{00000000-0005-0000-0000-0000D88F0000}"/>
    <cellStyle name="40% - Accent6 3 3 2 2 5 3" xfId="29954" xr:uid="{00000000-0005-0000-0000-0000D98F0000}"/>
    <cellStyle name="40% - Accent6 3 3 2 2 6" xfId="13003" xr:uid="{00000000-0005-0000-0000-0000DA8F0000}"/>
    <cellStyle name="40% - Accent6 3 3 2 2 6 2" xfId="35605" xr:uid="{00000000-0005-0000-0000-0000DB8F0000}"/>
    <cellStyle name="40% - Accent6 3 3 2 2 7" xfId="24304" xr:uid="{00000000-0005-0000-0000-0000DC8F0000}"/>
    <cellStyle name="40% - Accent6 3 3 2 3" xfId="1071" xr:uid="{00000000-0005-0000-0000-0000DD8F0000}"/>
    <cellStyle name="40% - Accent6 3 3 2 3 2" xfId="3134" xr:uid="{00000000-0005-0000-0000-0000DE8F0000}"/>
    <cellStyle name="40% - Accent6 3 3 2 3 2 2" xfId="6106" xr:uid="{00000000-0005-0000-0000-0000DF8F0000}"/>
    <cellStyle name="40% - Accent6 3 3 2 3 2 2 2" xfId="11756" xr:uid="{00000000-0005-0000-0000-0000E08F0000}"/>
    <cellStyle name="40% - Accent6 3 3 2 3 2 2 2 2" xfId="23057" xr:uid="{00000000-0005-0000-0000-0000E18F0000}"/>
    <cellStyle name="40% - Accent6 3 3 2 3 2 2 2 2 2" xfId="45659" xr:uid="{00000000-0005-0000-0000-0000E28F0000}"/>
    <cellStyle name="40% - Accent6 3 3 2 3 2 2 2 3" xfId="34358" xr:uid="{00000000-0005-0000-0000-0000E38F0000}"/>
    <cellStyle name="40% - Accent6 3 3 2 3 2 2 3" xfId="17407" xr:uid="{00000000-0005-0000-0000-0000E48F0000}"/>
    <cellStyle name="40% - Accent6 3 3 2 3 2 2 3 2" xfId="40009" xr:uid="{00000000-0005-0000-0000-0000E58F0000}"/>
    <cellStyle name="40% - Accent6 3 3 2 3 2 2 4" xfId="28708" xr:uid="{00000000-0005-0000-0000-0000E68F0000}"/>
    <cellStyle name="40% - Accent6 3 3 2 3 2 3" xfId="8924" xr:uid="{00000000-0005-0000-0000-0000E78F0000}"/>
    <cellStyle name="40% - Accent6 3 3 2 3 2 3 2" xfId="20225" xr:uid="{00000000-0005-0000-0000-0000E88F0000}"/>
    <cellStyle name="40% - Accent6 3 3 2 3 2 3 2 2" xfId="42827" xr:uid="{00000000-0005-0000-0000-0000E98F0000}"/>
    <cellStyle name="40% - Accent6 3 3 2 3 2 3 3" xfId="31526" xr:uid="{00000000-0005-0000-0000-0000EA8F0000}"/>
    <cellStyle name="40% - Accent6 3 3 2 3 2 4" xfId="14575" xr:uid="{00000000-0005-0000-0000-0000EB8F0000}"/>
    <cellStyle name="40% - Accent6 3 3 2 3 2 4 2" xfId="37177" xr:uid="{00000000-0005-0000-0000-0000EC8F0000}"/>
    <cellStyle name="40% - Accent6 3 3 2 3 2 5" xfId="25876" xr:uid="{00000000-0005-0000-0000-0000ED8F0000}"/>
    <cellStyle name="40% - Accent6 3 3 2 3 3" xfId="4872" xr:uid="{00000000-0005-0000-0000-0000EE8F0000}"/>
    <cellStyle name="40% - Accent6 3 3 2 3 3 2" xfId="10522" xr:uid="{00000000-0005-0000-0000-0000EF8F0000}"/>
    <cellStyle name="40% - Accent6 3 3 2 3 3 2 2" xfId="21823" xr:uid="{00000000-0005-0000-0000-0000F08F0000}"/>
    <cellStyle name="40% - Accent6 3 3 2 3 3 2 2 2" xfId="44425" xr:uid="{00000000-0005-0000-0000-0000F18F0000}"/>
    <cellStyle name="40% - Accent6 3 3 2 3 3 2 3" xfId="33124" xr:uid="{00000000-0005-0000-0000-0000F28F0000}"/>
    <cellStyle name="40% - Accent6 3 3 2 3 3 3" xfId="16173" xr:uid="{00000000-0005-0000-0000-0000F38F0000}"/>
    <cellStyle name="40% - Accent6 3 3 2 3 3 3 2" xfId="38775" xr:uid="{00000000-0005-0000-0000-0000F48F0000}"/>
    <cellStyle name="40% - Accent6 3 3 2 3 3 4" xfId="27474" xr:uid="{00000000-0005-0000-0000-0000F58F0000}"/>
    <cellStyle name="40% - Accent6 3 3 2 3 4" xfId="7059" xr:uid="{00000000-0005-0000-0000-0000F68F0000}"/>
    <cellStyle name="40% - Accent6 3 3 2 3 4 2" xfId="18360" xr:uid="{00000000-0005-0000-0000-0000F78F0000}"/>
    <cellStyle name="40% - Accent6 3 3 2 3 4 2 2" xfId="40962" xr:uid="{00000000-0005-0000-0000-0000F88F0000}"/>
    <cellStyle name="40% - Accent6 3 3 2 3 4 3" xfId="29661" xr:uid="{00000000-0005-0000-0000-0000F98F0000}"/>
    <cellStyle name="40% - Accent6 3 3 2 3 5" xfId="12710" xr:uid="{00000000-0005-0000-0000-0000FA8F0000}"/>
    <cellStyle name="40% - Accent6 3 3 2 3 5 2" xfId="35312" xr:uid="{00000000-0005-0000-0000-0000FB8F0000}"/>
    <cellStyle name="40% - Accent6 3 3 2 3 6" xfId="24011" xr:uid="{00000000-0005-0000-0000-0000FC8F0000}"/>
    <cellStyle name="40% - Accent6 3 3 2 4" xfId="2046" xr:uid="{00000000-0005-0000-0000-0000FD8F0000}"/>
    <cellStyle name="40% - Accent6 3 3 2 4 2" xfId="3828" xr:uid="{00000000-0005-0000-0000-0000FE8F0000}"/>
    <cellStyle name="40% - Accent6 3 3 2 4 2 2" xfId="9537" xr:uid="{00000000-0005-0000-0000-0000FF8F0000}"/>
    <cellStyle name="40% - Accent6 3 3 2 4 2 2 2" xfId="20838" xr:uid="{00000000-0005-0000-0000-000000900000}"/>
    <cellStyle name="40% - Accent6 3 3 2 4 2 2 2 2" xfId="43440" xr:uid="{00000000-0005-0000-0000-000001900000}"/>
    <cellStyle name="40% - Accent6 3 3 2 4 2 2 3" xfId="32139" xr:uid="{00000000-0005-0000-0000-000002900000}"/>
    <cellStyle name="40% - Accent6 3 3 2 4 2 3" xfId="15188" xr:uid="{00000000-0005-0000-0000-000003900000}"/>
    <cellStyle name="40% - Accent6 3 3 2 4 2 3 2" xfId="37790" xr:uid="{00000000-0005-0000-0000-000004900000}"/>
    <cellStyle name="40% - Accent6 3 3 2 4 2 4" xfId="26489" xr:uid="{00000000-0005-0000-0000-000005900000}"/>
    <cellStyle name="40% - Accent6 3 3 2 4 3" xfId="5482" xr:uid="{00000000-0005-0000-0000-000006900000}"/>
    <cellStyle name="40% - Accent6 3 3 2 4 3 2" xfId="11132" xr:uid="{00000000-0005-0000-0000-000007900000}"/>
    <cellStyle name="40% - Accent6 3 3 2 4 3 2 2" xfId="22433" xr:uid="{00000000-0005-0000-0000-000008900000}"/>
    <cellStyle name="40% - Accent6 3 3 2 4 3 2 2 2" xfId="45035" xr:uid="{00000000-0005-0000-0000-000009900000}"/>
    <cellStyle name="40% - Accent6 3 3 2 4 3 2 3" xfId="33734" xr:uid="{00000000-0005-0000-0000-00000A900000}"/>
    <cellStyle name="40% - Accent6 3 3 2 4 3 3" xfId="16783" xr:uid="{00000000-0005-0000-0000-00000B900000}"/>
    <cellStyle name="40% - Accent6 3 3 2 4 3 3 2" xfId="39385" xr:uid="{00000000-0005-0000-0000-00000C900000}"/>
    <cellStyle name="40% - Accent6 3 3 2 4 3 4" xfId="28084" xr:uid="{00000000-0005-0000-0000-00000D900000}"/>
    <cellStyle name="40% - Accent6 3 3 2 4 4" xfId="7902" xr:uid="{00000000-0005-0000-0000-00000E900000}"/>
    <cellStyle name="40% - Accent6 3 3 2 4 4 2" xfId="19203" xr:uid="{00000000-0005-0000-0000-00000F900000}"/>
    <cellStyle name="40% - Accent6 3 3 2 4 4 2 2" xfId="41805" xr:uid="{00000000-0005-0000-0000-000010900000}"/>
    <cellStyle name="40% - Accent6 3 3 2 4 4 3" xfId="30504" xr:uid="{00000000-0005-0000-0000-000011900000}"/>
    <cellStyle name="40% - Accent6 3 3 2 4 5" xfId="13553" xr:uid="{00000000-0005-0000-0000-000012900000}"/>
    <cellStyle name="40% - Accent6 3 3 2 4 5 2" xfId="36155" xr:uid="{00000000-0005-0000-0000-000013900000}"/>
    <cellStyle name="40% - Accent6 3 3 2 4 6" xfId="24854" xr:uid="{00000000-0005-0000-0000-000014900000}"/>
    <cellStyle name="40% - Accent6 3 3 2 5" xfId="2463" xr:uid="{00000000-0005-0000-0000-000015900000}"/>
    <cellStyle name="40% - Accent6 3 3 2 5 2" xfId="8299" xr:uid="{00000000-0005-0000-0000-000016900000}"/>
    <cellStyle name="40% - Accent6 3 3 2 5 2 2" xfId="19600" xr:uid="{00000000-0005-0000-0000-000017900000}"/>
    <cellStyle name="40% - Accent6 3 3 2 5 2 2 2" xfId="42202" xr:uid="{00000000-0005-0000-0000-000018900000}"/>
    <cellStyle name="40% - Accent6 3 3 2 5 2 3" xfId="30901" xr:uid="{00000000-0005-0000-0000-000019900000}"/>
    <cellStyle name="40% - Accent6 3 3 2 5 3" xfId="13950" xr:uid="{00000000-0005-0000-0000-00001A900000}"/>
    <cellStyle name="40% - Accent6 3 3 2 5 3 2" xfId="36552" xr:uid="{00000000-0005-0000-0000-00001B900000}"/>
    <cellStyle name="40% - Accent6 3 3 2 5 4" xfId="25251" xr:uid="{00000000-0005-0000-0000-00001C900000}"/>
    <cellStyle name="40% - Accent6 3 3 2 6" xfId="4248" xr:uid="{00000000-0005-0000-0000-00001D900000}"/>
    <cellStyle name="40% - Accent6 3 3 2 6 2" xfId="9898" xr:uid="{00000000-0005-0000-0000-00001E900000}"/>
    <cellStyle name="40% - Accent6 3 3 2 6 2 2" xfId="21199" xr:uid="{00000000-0005-0000-0000-00001F900000}"/>
    <cellStyle name="40% - Accent6 3 3 2 6 2 2 2" xfId="43801" xr:uid="{00000000-0005-0000-0000-000020900000}"/>
    <cellStyle name="40% - Accent6 3 3 2 6 2 3" xfId="32500" xr:uid="{00000000-0005-0000-0000-000021900000}"/>
    <cellStyle name="40% - Accent6 3 3 2 6 3" xfId="15549" xr:uid="{00000000-0005-0000-0000-000022900000}"/>
    <cellStyle name="40% - Accent6 3 3 2 6 3 2" xfId="38151" xr:uid="{00000000-0005-0000-0000-000023900000}"/>
    <cellStyle name="40% - Accent6 3 3 2 6 4" xfId="26850" xr:uid="{00000000-0005-0000-0000-000024900000}"/>
    <cellStyle name="40% - Accent6 3 3 2 7" xfId="6728" xr:uid="{00000000-0005-0000-0000-000025900000}"/>
    <cellStyle name="40% - Accent6 3 3 2 7 2" xfId="18029" xr:uid="{00000000-0005-0000-0000-000026900000}"/>
    <cellStyle name="40% - Accent6 3 3 2 7 2 2" xfId="40631" xr:uid="{00000000-0005-0000-0000-000027900000}"/>
    <cellStyle name="40% - Accent6 3 3 2 7 3" xfId="29330" xr:uid="{00000000-0005-0000-0000-000028900000}"/>
    <cellStyle name="40% - Accent6 3 3 2 8" xfId="12379" xr:uid="{00000000-0005-0000-0000-000029900000}"/>
    <cellStyle name="40% - Accent6 3 3 2 8 2" xfId="34981" xr:uid="{00000000-0005-0000-0000-00002A900000}"/>
    <cellStyle name="40% - Accent6 3 3 2 9" xfId="23680" xr:uid="{00000000-0005-0000-0000-00002B900000}"/>
    <cellStyle name="40% - Accent6 3 3 3" xfId="1235" xr:uid="{00000000-0005-0000-0000-00002C900000}"/>
    <cellStyle name="40% - Accent6 3 3 3 2" xfId="2048" xr:uid="{00000000-0005-0000-0000-00002D900000}"/>
    <cellStyle name="40% - Accent6 3 3 3 2 2" xfId="3303" xr:uid="{00000000-0005-0000-0000-00002E900000}"/>
    <cellStyle name="40% - Accent6 3 3 3 2 2 2" xfId="6275" xr:uid="{00000000-0005-0000-0000-00002F900000}"/>
    <cellStyle name="40% - Accent6 3 3 3 2 2 2 2" xfId="11925" xr:uid="{00000000-0005-0000-0000-000030900000}"/>
    <cellStyle name="40% - Accent6 3 3 3 2 2 2 2 2" xfId="23226" xr:uid="{00000000-0005-0000-0000-000031900000}"/>
    <cellStyle name="40% - Accent6 3 3 3 2 2 2 2 2 2" xfId="45828" xr:uid="{00000000-0005-0000-0000-000032900000}"/>
    <cellStyle name="40% - Accent6 3 3 3 2 2 2 2 3" xfId="34527" xr:uid="{00000000-0005-0000-0000-000033900000}"/>
    <cellStyle name="40% - Accent6 3 3 3 2 2 2 3" xfId="17576" xr:uid="{00000000-0005-0000-0000-000034900000}"/>
    <cellStyle name="40% - Accent6 3 3 3 2 2 2 3 2" xfId="40178" xr:uid="{00000000-0005-0000-0000-000035900000}"/>
    <cellStyle name="40% - Accent6 3 3 3 2 2 2 4" xfId="28877" xr:uid="{00000000-0005-0000-0000-000036900000}"/>
    <cellStyle name="40% - Accent6 3 3 3 2 2 3" xfId="9093" xr:uid="{00000000-0005-0000-0000-000037900000}"/>
    <cellStyle name="40% - Accent6 3 3 3 2 2 3 2" xfId="20394" xr:uid="{00000000-0005-0000-0000-000038900000}"/>
    <cellStyle name="40% - Accent6 3 3 3 2 2 3 2 2" xfId="42996" xr:uid="{00000000-0005-0000-0000-000039900000}"/>
    <cellStyle name="40% - Accent6 3 3 3 2 2 3 3" xfId="31695" xr:uid="{00000000-0005-0000-0000-00003A900000}"/>
    <cellStyle name="40% - Accent6 3 3 3 2 2 4" xfId="14744" xr:uid="{00000000-0005-0000-0000-00003B900000}"/>
    <cellStyle name="40% - Accent6 3 3 3 2 2 4 2" xfId="37346" xr:uid="{00000000-0005-0000-0000-00003C900000}"/>
    <cellStyle name="40% - Accent6 3 3 3 2 2 5" xfId="26045" xr:uid="{00000000-0005-0000-0000-00003D900000}"/>
    <cellStyle name="40% - Accent6 3 3 3 2 3" xfId="5041" xr:uid="{00000000-0005-0000-0000-00003E900000}"/>
    <cellStyle name="40% - Accent6 3 3 3 2 3 2" xfId="10691" xr:uid="{00000000-0005-0000-0000-00003F900000}"/>
    <cellStyle name="40% - Accent6 3 3 3 2 3 2 2" xfId="21992" xr:uid="{00000000-0005-0000-0000-000040900000}"/>
    <cellStyle name="40% - Accent6 3 3 3 2 3 2 2 2" xfId="44594" xr:uid="{00000000-0005-0000-0000-000041900000}"/>
    <cellStyle name="40% - Accent6 3 3 3 2 3 2 3" xfId="33293" xr:uid="{00000000-0005-0000-0000-000042900000}"/>
    <cellStyle name="40% - Accent6 3 3 3 2 3 3" xfId="16342" xr:uid="{00000000-0005-0000-0000-000043900000}"/>
    <cellStyle name="40% - Accent6 3 3 3 2 3 3 2" xfId="38944" xr:uid="{00000000-0005-0000-0000-000044900000}"/>
    <cellStyle name="40% - Accent6 3 3 3 2 3 4" xfId="27643" xr:uid="{00000000-0005-0000-0000-000045900000}"/>
    <cellStyle name="40% - Accent6 3 3 3 2 4" xfId="7904" xr:uid="{00000000-0005-0000-0000-000046900000}"/>
    <cellStyle name="40% - Accent6 3 3 3 2 4 2" xfId="19205" xr:uid="{00000000-0005-0000-0000-000047900000}"/>
    <cellStyle name="40% - Accent6 3 3 3 2 4 2 2" xfId="41807" xr:uid="{00000000-0005-0000-0000-000048900000}"/>
    <cellStyle name="40% - Accent6 3 3 3 2 4 3" xfId="30506" xr:uid="{00000000-0005-0000-0000-000049900000}"/>
    <cellStyle name="40% - Accent6 3 3 3 2 5" xfId="13555" xr:uid="{00000000-0005-0000-0000-00004A900000}"/>
    <cellStyle name="40% - Accent6 3 3 3 2 5 2" xfId="36157" xr:uid="{00000000-0005-0000-0000-00004B900000}"/>
    <cellStyle name="40% - Accent6 3 3 3 2 6" xfId="24856" xr:uid="{00000000-0005-0000-0000-00004C900000}"/>
    <cellStyle name="40% - Accent6 3 3 3 3" xfId="2632" xr:uid="{00000000-0005-0000-0000-00004D900000}"/>
    <cellStyle name="40% - Accent6 3 3 3 3 2" xfId="5651" xr:uid="{00000000-0005-0000-0000-00004E900000}"/>
    <cellStyle name="40% - Accent6 3 3 3 3 2 2" xfId="11301" xr:uid="{00000000-0005-0000-0000-00004F900000}"/>
    <cellStyle name="40% - Accent6 3 3 3 3 2 2 2" xfId="22602" xr:uid="{00000000-0005-0000-0000-000050900000}"/>
    <cellStyle name="40% - Accent6 3 3 3 3 2 2 2 2" xfId="45204" xr:uid="{00000000-0005-0000-0000-000051900000}"/>
    <cellStyle name="40% - Accent6 3 3 3 3 2 2 3" xfId="33903" xr:uid="{00000000-0005-0000-0000-000052900000}"/>
    <cellStyle name="40% - Accent6 3 3 3 3 2 3" xfId="16952" xr:uid="{00000000-0005-0000-0000-000053900000}"/>
    <cellStyle name="40% - Accent6 3 3 3 3 2 3 2" xfId="39554" xr:uid="{00000000-0005-0000-0000-000054900000}"/>
    <cellStyle name="40% - Accent6 3 3 3 3 2 4" xfId="28253" xr:uid="{00000000-0005-0000-0000-000055900000}"/>
    <cellStyle name="40% - Accent6 3 3 3 3 3" xfId="8468" xr:uid="{00000000-0005-0000-0000-000056900000}"/>
    <cellStyle name="40% - Accent6 3 3 3 3 3 2" xfId="19769" xr:uid="{00000000-0005-0000-0000-000057900000}"/>
    <cellStyle name="40% - Accent6 3 3 3 3 3 2 2" xfId="42371" xr:uid="{00000000-0005-0000-0000-000058900000}"/>
    <cellStyle name="40% - Accent6 3 3 3 3 3 3" xfId="31070" xr:uid="{00000000-0005-0000-0000-000059900000}"/>
    <cellStyle name="40% - Accent6 3 3 3 3 4" xfId="14119" xr:uid="{00000000-0005-0000-0000-00005A900000}"/>
    <cellStyle name="40% - Accent6 3 3 3 3 4 2" xfId="36721" xr:uid="{00000000-0005-0000-0000-00005B900000}"/>
    <cellStyle name="40% - Accent6 3 3 3 3 5" xfId="25420" xr:uid="{00000000-0005-0000-0000-00005C900000}"/>
    <cellStyle name="40% - Accent6 3 3 3 4" xfId="4417" xr:uid="{00000000-0005-0000-0000-00005D900000}"/>
    <cellStyle name="40% - Accent6 3 3 3 4 2" xfId="10067" xr:uid="{00000000-0005-0000-0000-00005E900000}"/>
    <cellStyle name="40% - Accent6 3 3 3 4 2 2" xfId="21368" xr:uid="{00000000-0005-0000-0000-00005F900000}"/>
    <cellStyle name="40% - Accent6 3 3 3 4 2 2 2" xfId="43970" xr:uid="{00000000-0005-0000-0000-000060900000}"/>
    <cellStyle name="40% - Accent6 3 3 3 4 2 3" xfId="32669" xr:uid="{00000000-0005-0000-0000-000061900000}"/>
    <cellStyle name="40% - Accent6 3 3 3 4 3" xfId="15718" xr:uid="{00000000-0005-0000-0000-000062900000}"/>
    <cellStyle name="40% - Accent6 3 3 3 4 3 2" xfId="38320" xr:uid="{00000000-0005-0000-0000-000063900000}"/>
    <cellStyle name="40% - Accent6 3 3 3 4 4" xfId="27019" xr:uid="{00000000-0005-0000-0000-000064900000}"/>
    <cellStyle name="40% - Accent6 3 3 3 5" xfId="7214" xr:uid="{00000000-0005-0000-0000-000065900000}"/>
    <cellStyle name="40% - Accent6 3 3 3 5 2" xfId="18515" xr:uid="{00000000-0005-0000-0000-000066900000}"/>
    <cellStyle name="40% - Accent6 3 3 3 5 2 2" xfId="41117" xr:uid="{00000000-0005-0000-0000-000067900000}"/>
    <cellStyle name="40% - Accent6 3 3 3 5 3" xfId="29816" xr:uid="{00000000-0005-0000-0000-000068900000}"/>
    <cellStyle name="40% - Accent6 3 3 3 6" xfId="12865" xr:uid="{00000000-0005-0000-0000-000069900000}"/>
    <cellStyle name="40% - Accent6 3 3 3 6 2" xfId="35467" xr:uid="{00000000-0005-0000-0000-00006A900000}"/>
    <cellStyle name="40% - Accent6 3 3 3 7" xfId="24166" xr:uid="{00000000-0005-0000-0000-00006B900000}"/>
    <cellStyle name="40% - Accent6 3 3 4" xfId="926" xr:uid="{00000000-0005-0000-0000-00006C900000}"/>
    <cellStyle name="40% - Accent6 3 3 4 2" xfId="2996" xr:uid="{00000000-0005-0000-0000-00006D900000}"/>
    <cellStyle name="40% - Accent6 3 3 4 2 2" xfId="5968" xr:uid="{00000000-0005-0000-0000-00006E900000}"/>
    <cellStyle name="40% - Accent6 3 3 4 2 2 2" xfId="11618" xr:uid="{00000000-0005-0000-0000-00006F900000}"/>
    <cellStyle name="40% - Accent6 3 3 4 2 2 2 2" xfId="22919" xr:uid="{00000000-0005-0000-0000-000070900000}"/>
    <cellStyle name="40% - Accent6 3 3 4 2 2 2 2 2" xfId="45521" xr:uid="{00000000-0005-0000-0000-000071900000}"/>
    <cellStyle name="40% - Accent6 3 3 4 2 2 2 3" xfId="34220" xr:uid="{00000000-0005-0000-0000-000072900000}"/>
    <cellStyle name="40% - Accent6 3 3 4 2 2 3" xfId="17269" xr:uid="{00000000-0005-0000-0000-000073900000}"/>
    <cellStyle name="40% - Accent6 3 3 4 2 2 3 2" xfId="39871" xr:uid="{00000000-0005-0000-0000-000074900000}"/>
    <cellStyle name="40% - Accent6 3 3 4 2 2 4" xfId="28570" xr:uid="{00000000-0005-0000-0000-000075900000}"/>
    <cellStyle name="40% - Accent6 3 3 4 2 3" xfId="8786" xr:uid="{00000000-0005-0000-0000-000076900000}"/>
    <cellStyle name="40% - Accent6 3 3 4 2 3 2" xfId="20087" xr:uid="{00000000-0005-0000-0000-000077900000}"/>
    <cellStyle name="40% - Accent6 3 3 4 2 3 2 2" xfId="42689" xr:uid="{00000000-0005-0000-0000-000078900000}"/>
    <cellStyle name="40% - Accent6 3 3 4 2 3 3" xfId="31388" xr:uid="{00000000-0005-0000-0000-000079900000}"/>
    <cellStyle name="40% - Accent6 3 3 4 2 4" xfId="14437" xr:uid="{00000000-0005-0000-0000-00007A900000}"/>
    <cellStyle name="40% - Accent6 3 3 4 2 4 2" xfId="37039" xr:uid="{00000000-0005-0000-0000-00007B900000}"/>
    <cellStyle name="40% - Accent6 3 3 4 2 5" xfId="25738" xr:uid="{00000000-0005-0000-0000-00007C900000}"/>
    <cellStyle name="40% - Accent6 3 3 4 3" xfId="4734" xr:uid="{00000000-0005-0000-0000-00007D900000}"/>
    <cellStyle name="40% - Accent6 3 3 4 3 2" xfId="10384" xr:uid="{00000000-0005-0000-0000-00007E900000}"/>
    <cellStyle name="40% - Accent6 3 3 4 3 2 2" xfId="21685" xr:uid="{00000000-0005-0000-0000-00007F900000}"/>
    <cellStyle name="40% - Accent6 3 3 4 3 2 2 2" xfId="44287" xr:uid="{00000000-0005-0000-0000-000080900000}"/>
    <cellStyle name="40% - Accent6 3 3 4 3 2 3" xfId="32986" xr:uid="{00000000-0005-0000-0000-000081900000}"/>
    <cellStyle name="40% - Accent6 3 3 4 3 3" xfId="16035" xr:uid="{00000000-0005-0000-0000-000082900000}"/>
    <cellStyle name="40% - Accent6 3 3 4 3 3 2" xfId="38637" xr:uid="{00000000-0005-0000-0000-000083900000}"/>
    <cellStyle name="40% - Accent6 3 3 4 3 4" xfId="27336" xr:uid="{00000000-0005-0000-0000-000084900000}"/>
    <cellStyle name="40% - Accent6 3 3 4 4" xfId="6921" xr:uid="{00000000-0005-0000-0000-000085900000}"/>
    <cellStyle name="40% - Accent6 3 3 4 4 2" xfId="18222" xr:uid="{00000000-0005-0000-0000-000086900000}"/>
    <cellStyle name="40% - Accent6 3 3 4 4 2 2" xfId="40824" xr:uid="{00000000-0005-0000-0000-000087900000}"/>
    <cellStyle name="40% - Accent6 3 3 4 4 3" xfId="29523" xr:uid="{00000000-0005-0000-0000-000088900000}"/>
    <cellStyle name="40% - Accent6 3 3 4 5" xfId="12572" xr:uid="{00000000-0005-0000-0000-000089900000}"/>
    <cellStyle name="40% - Accent6 3 3 4 5 2" xfId="35174" xr:uid="{00000000-0005-0000-0000-00008A900000}"/>
    <cellStyle name="40% - Accent6 3 3 4 6" xfId="23873" xr:uid="{00000000-0005-0000-0000-00008B900000}"/>
    <cellStyle name="40% - Accent6 3 3 5" xfId="2045" xr:uid="{00000000-0005-0000-0000-00008C900000}"/>
    <cellStyle name="40% - Accent6 3 3 5 2" xfId="3827" xr:uid="{00000000-0005-0000-0000-00008D900000}"/>
    <cellStyle name="40% - Accent6 3 3 5 2 2" xfId="9536" xr:uid="{00000000-0005-0000-0000-00008E900000}"/>
    <cellStyle name="40% - Accent6 3 3 5 2 2 2" xfId="20837" xr:uid="{00000000-0005-0000-0000-00008F900000}"/>
    <cellStyle name="40% - Accent6 3 3 5 2 2 2 2" xfId="43439" xr:uid="{00000000-0005-0000-0000-000090900000}"/>
    <cellStyle name="40% - Accent6 3 3 5 2 2 3" xfId="32138" xr:uid="{00000000-0005-0000-0000-000091900000}"/>
    <cellStyle name="40% - Accent6 3 3 5 2 3" xfId="15187" xr:uid="{00000000-0005-0000-0000-000092900000}"/>
    <cellStyle name="40% - Accent6 3 3 5 2 3 2" xfId="37789" xr:uid="{00000000-0005-0000-0000-000093900000}"/>
    <cellStyle name="40% - Accent6 3 3 5 2 4" xfId="26488" xr:uid="{00000000-0005-0000-0000-000094900000}"/>
    <cellStyle name="40% - Accent6 3 3 5 3" xfId="5344" xr:uid="{00000000-0005-0000-0000-000095900000}"/>
    <cellStyle name="40% - Accent6 3 3 5 3 2" xfId="10994" xr:uid="{00000000-0005-0000-0000-000096900000}"/>
    <cellStyle name="40% - Accent6 3 3 5 3 2 2" xfId="22295" xr:uid="{00000000-0005-0000-0000-000097900000}"/>
    <cellStyle name="40% - Accent6 3 3 5 3 2 2 2" xfId="44897" xr:uid="{00000000-0005-0000-0000-000098900000}"/>
    <cellStyle name="40% - Accent6 3 3 5 3 2 3" xfId="33596" xr:uid="{00000000-0005-0000-0000-000099900000}"/>
    <cellStyle name="40% - Accent6 3 3 5 3 3" xfId="16645" xr:uid="{00000000-0005-0000-0000-00009A900000}"/>
    <cellStyle name="40% - Accent6 3 3 5 3 3 2" xfId="39247" xr:uid="{00000000-0005-0000-0000-00009B900000}"/>
    <cellStyle name="40% - Accent6 3 3 5 3 4" xfId="27946" xr:uid="{00000000-0005-0000-0000-00009C900000}"/>
    <cellStyle name="40% - Accent6 3 3 5 4" xfId="7901" xr:uid="{00000000-0005-0000-0000-00009D900000}"/>
    <cellStyle name="40% - Accent6 3 3 5 4 2" xfId="19202" xr:uid="{00000000-0005-0000-0000-00009E900000}"/>
    <cellStyle name="40% - Accent6 3 3 5 4 2 2" xfId="41804" xr:uid="{00000000-0005-0000-0000-00009F900000}"/>
    <cellStyle name="40% - Accent6 3 3 5 4 3" xfId="30503" xr:uid="{00000000-0005-0000-0000-0000A0900000}"/>
    <cellStyle name="40% - Accent6 3 3 5 5" xfId="13552" xr:uid="{00000000-0005-0000-0000-0000A1900000}"/>
    <cellStyle name="40% - Accent6 3 3 5 5 2" xfId="36154" xr:uid="{00000000-0005-0000-0000-0000A2900000}"/>
    <cellStyle name="40% - Accent6 3 3 5 6" xfId="24853" xr:uid="{00000000-0005-0000-0000-0000A3900000}"/>
    <cellStyle name="40% - Accent6 3 3 6" xfId="2323" xr:uid="{00000000-0005-0000-0000-0000A4900000}"/>
    <cellStyle name="40% - Accent6 3 3 6 2" xfId="8159" xr:uid="{00000000-0005-0000-0000-0000A5900000}"/>
    <cellStyle name="40% - Accent6 3 3 6 2 2" xfId="19460" xr:uid="{00000000-0005-0000-0000-0000A6900000}"/>
    <cellStyle name="40% - Accent6 3 3 6 2 2 2" xfId="42062" xr:uid="{00000000-0005-0000-0000-0000A7900000}"/>
    <cellStyle name="40% - Accent6 3 3 6 2 3" xfId="30761" xr:uid="{00000000-0005-0000-0000-0000A8900000}"/>
    <cellStyle name="40% - Accent6 3 3 6 3" xfId="13810" xr:uid="{00000000-0005-0000-0000-0000A9900000}"/>
    <cellStyle name="40% - Accent6 3 3 6 3 2" xfId="36412" xr:uid="{00000000-0005-0000-0000-0000AA900000}"/>
    <cellStyle name="40% - Accent6 3 3 6 4" xfId="25111" xr:uid="{00000000-0005-0000-0000-0000AB900000}"/>
    <cellStyle name="40% - Accent6 3 3 7" xfId="4110" xr:uid="{00000000-0005-0000-0000-0000AC900000}"/>
    <cellStyle name="40% - Accent6 3 3 7 2" xfId="9760" xr:uid="{00000000-0005-0000-0000-0000AD900000}"/>
    <cellStyle name="40% - Accent6 3 3 7 2 2" xfId="21061" xr:uid="{00000000-0005-0000-0000-0000AE900000}"/>
    <cellStyle name="40% - Accent6 3 3 7 2 2 2" xfId="43663" xr:uid="{00000000-0005-0000-0000-0000AF900000}"/>
    <cellStyle name="40% - Accent6 3 3 7 2 3" xfId="32362" xr:uid="{00000000-0005-0000-0000-0000B0900000}"/>
    <cellStyle name="40% - Accent6 3 3 7 3" xfId="15411" xr:uid="{00000000-0005-0000-0000-0000B1900000}"/>
    <cellStyle name="40% - Accent6 3 3 7 3 2" xfId="38013" xr:uid="{00000000-0005-0000-0000-0000B2900000}"/>
    <cellStyle name="40% - Accent6 3 3 7 4" xfId="26712" xr:uid="{00000000-0005-0000-0000-0000B3900000}"/>
    <cellStyle name="40% - Accent6 3 3 8" xfId="6561" xr:uid="{00000000-0005-0000-0000-0000B4900000}"/>
    <cellStyle name="40% - Accent6 3 3 8 2" xfId="17862" xr:uid="{00000000-0005-0000-0000-0000B5900000}"/>
    <cellStyle name="40% - Accent6 3 3 8 2 2" xfId="40464" xr:uid="{00000000-0005-0000-0000-0000B6900000}"/>
    <cellStyle name="40% - Accent6 3 3 8 3" xfId="29163" xr:uid="{00000000-0005-0000-0000-0000B7900000}"/>
    <cellStyle name="40% - Accent6 3 3 9" xfId="12212" xr:uid="{00000000-0005-0000-0000-0000B8900000}"/>
    <cellStyle name="40% - Accent6 3 3 9 2" xfId="34814" xr:uid="{00000000-0005-0000-0000-0000B9900000}"/>
    <cellStyle name="40% - Accent6 3 4" xfId="564" xr:uid="{00000000-0005-0000-0000-0000BA900000}"/>
    <cellStyle name="40% - Accent6 3 4 2" xfId="1139" xr:uid="{00000000-0005-0000-0000-0000BB900000}"/>
    <cellStyle name="40% - Accent6 3 4 2 2" xfId="2050" xr:uid="{00000000-0005-0000-0000-0000BC900000}"/>
    <cellStyle name="40% - Accent6 3 4 2 2 2" xfId="3207" xr:uid="{00000000-0005-0000-0000-0000BD900000}"/>
    <cellStyle name="40% - Accent6 3 4 2 2 2 2" xfId="6179" xr:uid="{00000000-0005-0000-0000-0000BE900000}"/>
    <cellStyle name="40% - Accent6 3 4 2 2 2 2 2" xfId="11829" xr:uid="{00000000-0005-0000-0000-0000BF900000}"/>
    <cellStyle name="40% - Accent6 3 4 2 2 2 2 2 2" xfId="23130" xr:uid="{00000000-0005-0000-0000-0000C0900000}"/>
    <cellStyle name="40% - Accent6 3 4 2 2 2 2 2 2 2" xfId="45732" xr:uid="{00000000-0005-0000-0000-0000C1900000}"/>
    <cellStyle name="40% - Accent6 3 4 2 2 2 2 2 3" xfId="34431" xr:uid="{00000000-0005-0000-0000-0000C2900000}"/>
    <cellStyle name="40% - Accent6 3 4 2 2 2 2 3" xfId="17480" xr:uid="{00000000-0005-0000-0000-0000C3900000}"/>
    <cellStyle name="40% - Accent6 3 4 2 2 2 2 3 2" xfId="40082" xr:uid="{00000000-0005-0000-0000-0000C4900000}"/>
    <cellStyle name="40% - Accent6 3 4 2 2 2 2 4" xfId="28781" xr:uid="{00000000-0005-0000-0000-0000C5900000}"/>
    <cellStyle name="40% - Accent6 3 4 2 2 2 3" xfId="8997" xr:uid="{00000000-0005-0000-0000-0000C6900000}"/>
    <cellStyle name="40% - Accent6 3 4 2 2 2 3 2" xfId="20298" xr:uid="{00000000-0005-0000-0000-0000C7900000}"/>
    <cellStyle name="40% - Accent6 3 4 2 2 2 3 2 2" xfId="42900" xr:uid="{00000000-0005-0000-0000-0000C8900000}"/>
    <cellStyle name="40% - Accent6 3 4 2 2 2 3 3" xfId="31599" xr:uid="{00000000-0005-0000-0000-0000C9900000}"/>
    <cellStyle name="40% - Accent6 3 4 2 2 2 4" xfId="14648" xr:uid="{00000000-0005-0000-0000-0000CA900000}"/>
    <cellStyle name="40% - Accent6 3 4 2 2 2 4 2" xfId="37250" xr:uid="{00000000-0005-0000-0000-0000CB900000}"/>
    <cellStyle name="40% - Accent6 3 4 2 2 2 5" xfId="25949" xr:uid="{00000000-0005-0000-0000-0000CC900000}"/>
    <cellStyle name="40% - Accent6 3 4 2 2 3" xfId="4945" xr:uid="{00000000-0005-0000-0000-0000CD900000}"/>
    <cellStyle name="40% - Accent6 3 4 2 2 3 2" xfId="10595" xr:uid="{00000000-0005-0000-0000-0000CE900000}"/>
    <cellStyle name="40% - Accent6 3 4 2 2 3 2 2" xfId="21896" xr:uid="{00000000-0005-0000-0000-0000CF900000}"/>
    <cellStyle name="40% - Accent6 3 4 2 2 3 2 2 2" xfId="44498" xr:uid="{00000000-0005-0000-0000-0000D0900000}"/>
    <cellStyle name="40% - Accent6 3 4 2 2 3 2 3" xfId="33197" xr:uid="{00000000-0005-0000-0000-0000D1900000}"/>
    <cellStyle name="40% - Accent6 3 4 2 2 3 3" xfId="16246" xr:uid="{00000000-0005-0000-0000-0000D2900000}"/>
    <cellStyle name="40% - Accent6 3 4 2 2 3 3 2" xfId="38848" xr:uid="{00000000-0005-0000-0000-0000D3900000}"/>
    <cellStyle name="40% - Accent6 3 4 2 2 3 4" xfId="27547" xr:uid="{00000000-0005-0000-0000-0000D4900000}"/>
    <cellStyle name="40% - Accent6 3 4 2 2 4" xfId="7906" xr:uid="{00000000-0005-0000-0000-0000D5900000}"/>
    <cellStyle name="40% - Accent6 3 4 2 2 4 2" xfId="19207" xr:uid="{00000000-0005-0000-0000-0000D6900000}"/>
    <cellStyle name="40% - Accent6 3 4 2 2 4 2 2" xfId="41809" xr:uid="{00000000-0005-0000-0000-0000D7900000}"/>
    <cellStyle name="40% - Accent6 3 4 2 2 4 3" xfId="30508" xr:uid="{00000000-0005-0000-0000-0000D8900000}"/>
    <cellStyle name="40% - Accent6 3 4 2 2 5" xfId="13557" xr:uid="{00000000-0005-0000-0000-0000D9900000}"/>
    <cellStyle name="40% - Accent6 3 4 2 2 5 2" xfId="36159" xr:uid="{00000000-0005-0000-0000-0000DA900000}"/>
    <cellStyle name="40% - Accent6 3 4 2 2 6" xfId="24858" xr:uid="{00000000-0005-0000-0000-0000DB900000}"/>
    <cellStyle name="40% - Accent6 3 4 2 3" xfId="2536" xr:uid="{00000000-0005-0000-0000-0000DC900000}"/>
    <cellStyle name="40% - Accent6 3 4 2 3 2" xfId="5555" xr:uid="{00000000-0005-0000-0000-0000DD900000}"/>
    <cellStyle name="40% - Accent6 3 4 2 3 2 2" xfId="11205" xr:uid="{00000000-0005-0000-0000-0000DE900000}"/>
    <cellStyle name="40% - Accent6 3 4 2 3 2 2 2" xfId="22506" xr:uid="{00000000-0005-0000-0000-0000DF900000}"/>
    <cellStyle name="40% - Accent6 3 4 2 3 2 2 2 2" xfId="45108" xr:uid="{00000000-0005-0000-0000-0000E0900000}"/>
    <cellStyle name="40% - Accent6 3 4 2 3 2 2 3" xfId="33807" xr:uid="{00000000-0005-0000-0000-0000E1900000}"/>
    <cellStyle name="40% - Accent6 3 4 2 3 2 3" xfId="16856" xr:uid="{00000000-0005-0000-0000-0000E2900000}"/>
    <cellStyle name="40% - Accent6 3 4 2 3 2 3 2" xfId="39458" xr:uid="{00000000-0005-0000-0000-0000E3900000}"/>
    <cellStyle name="40% - Accent6 3 4 2 3 2 4" xfId="28157" xr:uid="{00000000-0005-0000-0000-0000E4900000}"/>
    <cellStyle name="40% - Accent6 3 4 2 3 3" xfId="8372" xr:uid="{00000000-0005-0000-0000-0000E5900000}"/>
    <cellStyle name="40% - Accent6 3 4 2 3 3 2" xfId="19673" xr:uid="{00000000-0005-0000-0000-0000E6900000}"/>
    <cellStyle name="40% - Accent6 3 4 2 3 3 2 2" xfId="42275" xr:uid="{00000000-0005-0000-0000-0000E7900000}"/>
    <cellStyle name="40% - Accent6 3 4 2 3 3 3" xfId="30974" xr:uid="{00000000-0005-0000-0000-0000E8900000}"/>
    <cellStyle name="40% - Accent6 3 4 2 3 4" xfId="14023" xr:uid="{00000000-0005-0000-0000-0000E9900000}"/>
    <cellStyle name="40% - Accent6 3 4 2 3 4 2" xfId="36625" xr:uid="{00000000-0005-0000-0000-0000EA900000}"/>
    <cellStyle name="40% - Accent6 3 4 2 3 5" xfId="25324" xr:uid="{00000000-0005-0000-0000-0000EB900000}"/>
    <cellStyle name="40% - Accent6 3 4 2 4" xfId="4321" xr:uid="{00000000-0005-0000-0000-0000EC900000}"/>
    <cellStyle name="40% - Accent6 3 4 2 4 2" xfId="9971" xr:uid="{00000000-0005-0000-0000-0000ED900000}"/>
    <cellStyle name="40% - Accent6 3 4 2 4 2 2" xfId="21272" xr:uid="{00000000-0005-0000-0000-0000EE900000}"/>
    <cellStyle name="40% - Accent6 3 4 2 4 2 2 2" xfId="43874" xr:uid="{00000000-0005-0000-0000-0000EF900000}"/>
    <cellStyle name="40% - Accent6 3 4 2 4 2 3" xfId="32573" xr:uid="{00000000-0005-0000-0000-0000F0900000}"/>
    <cellStyle name="40% - Accent6 3 4 2 4 3" xfId="15622" xr:uid="{00000000-0005-0000-0000-0000F1900000}"/>
    <cellStyle name="40% - Accent6 3 4 2 4 3 2" xfId="38224" xr:uid="{00000000-0005-0000-0000-0000F2900000}"/>
    <cellStyle name="40% - Accent6 3 4 2 4 4" xfId="26923" xr:uid="{00000000-0005-0000-0000-0000F3900000}"/>
    <cellStyle name="40% - Accent6 3 4 2 5" xfId="7118" xr:uid="{00000000-0005-0000-0000-0000F4900000}"/>
    <cellStyle name="40% - Accent6 3 4 2 5 2" xfId="18419" xr:uid="{00000000-0005-0000-0000-0000F5900000}"/>
    <cellStyle name="40% - Accent6 3 4 2 5 2 2" xfId="41021" xr:uid="{00000000-0005-0000-0000-0000F6900000}"/>
    <cellStyle name="40% - Accent6 3 4 2 5 3" xfId="29720" xr:uid="{00000000-0005-0000-0000-0000F7900000}"/>
    <cellStyle name="40% - Accent6 3 4 2 6" xfId="12769" xr:uid="{00000000-0005-0000-0000-0000F8900000}"/>
    <cellStyle name="40% - Accent6 3 4 2 6 2" xfId="35371" xr:uid="{00000000-0005-0000-0000-0000F9900000}"/>
    <cellStyle name="40% - Accent6 3 4 2 7" xfId="24070" xr:uid="{00000000-0005-0000-0000-0000FA900000}"/>
    <cellStyle name="40% - Accent6 3 4 3" xfId="813" xr:uid="{00000000-0005-0000-0000-0000FB900000}"/>
    <cellStyle name="40% - Accent6 3 4 3 2" xfId="2900" xr:uid="{00000000-0005-0000-0000-0000FC900000}"/>
    <cellStyle name="40% - Accent6 3 4 3 2 2" xfId="5872" xr:uid="{00000000-0005-0000-0000-0000FD900000}"/>
    <cellStyle name="40% - Accent6 3 4 3 2 2 2" xfId="11522" xr:uid="{00000000-0005-0000-0000-0000FE900000}"/>
    <cellStyle name="40% - Accent6 3 4 3 2 2 2 2" xfId="22823" xr:uid="{00000000-0005-0000-0000-0000FF900000}"/>
    <cellStyle name="40% - Accent6 3 4 3 2 2 2 2 2" xfId="45425" xr:uid="{00000000-0005-0000-0000-000000910000}"/>
    <cellStyle name="40% - Accent6 3 4 3 2 2 2 3" xfId="34124" xr:uid="{00000000-0005-0000-0000-000001910000}"/>
    <cellStyle name="40% - Accent6 3 4 3 2 2 3" xfId="17173" xr:uid="{00000000-0005-0000-0000-000002910000}"/>
    <cellStyle name="40% - Accent6 3 4 3 2 2 3 2" xfId="39775" xr:uid="{00000000-0005-0000-0000-000003910000}"/>
    <cellStyle name="40% - Accent6 3 4 3 2 2 4" xfId="28474" xr:uid="{00000000-0005-0000-0000-000004910000}"/>
    <cellStyle name="40% - Accent6 3 4 3 2 3" xfId="8690" xr:uid="{00000000-0005-0000-0000-000005910000}"/>
    <cellStyle name="40% - Accent6 3 4 3 2 3 2" xfId="19991" xr:uid="{00000000-0005-0000-0000-000006910000}"/>
    <cellStyle name="40% - Accent6 3 4 3 2 3 2 2" xfId="42593" xr:uid="{00000000-0005-0000-0000-000007910000}"/>
    <cellStyle name="40% - Accent6 3 4 3 2 3 3" xfId="31292" xr:uid="{00000000-0005-0000-0000-000008910000}"/>
    <cellStyle name="40% - Accent6 3 4 3 2 4" xfId="14341" xr:uid="{00000000-0005-0000-0000-000009910000}"/>
    <cellStyle name="40% - Accent6 3 4 3 2 4 2" xfId="36943" xr:uid="{00000000-0005-0000-0000-00000A910000}"/>
    <cellStyle name="40% - Accent6 3 4 3 2 5" xfId="25642" xr:uid="{00000000-0005-0000-0000-00000B910000}"/>
    <cellStyle name="40% - Accent6 3 4 3 3" xfId="4638" xr:uid="{00000000-0005-0000-0000-00000C910000}"/>
    <cellStyle name="40% - Accent6 3 4 3 3 2" xfId="10288" xr:uid="{00000000-0005-0000-0000-00000D910000}"/>
    <cellStyle name="40% - Accent6 3 4 3 3 2 2" xfId="21589" xr:uid="{00000000-0005-0000-0000-00000E910000}"/>
    <cellStyle name="40% - Accent6 3 4 3 3 2 2 2" xfId="44191" xr:uid="{00000000-0005-0000-0000-00000F910000}"/>
    <cellStyle name="40% - Accent6 3 4 3 3 2 3" xfId="32890" xr:uid="{00000000-0005-0000-0000-000010910000}"/>
    <cellStyle name="40% - Accent6 3 4 3 3 3" xfId="15939" xr:uid="{00000000-0005-0000-0000-000011910000}"/>
    <cellStyle name="40% - Accent6 3 4 3 3 3 2" xfId="38541" xr:uid="{00000000-0005-0000-0000-000012910000}"/>
    <cellStyle name="40% - Accent6 3 4 3 3 4" xfId="27240" xr:uid="{00000000-0005-0000-0000-000013910000}"/>
    <cellStyle name="40% - Accent6 3 4 3 4" xfId="6821" xr:uid="{00000000-0005-0000-0000-000014910000}"/>
    <cellStyle name="40% - Accent6 3 4 3 4 2" xfId="18122" xr:uid="{00000000-0005-0000-0000-000015910000}"/>
    <cellStyle name="40% - Accent6 3 4 3 4 2 2" xfId="40724" xr:uid="{00000000-0005-0000-0000-000016910000}"/>
    <cellStyle name="40% - Accent6 3 4 3 4 3" xfId="29423" xr:uid="{00000000-0005-0000-0000-000017910000}"/>
    <cellStyle name="40% - Accent6 3 4 3 5" xfId="12472" xr:uid="{00000000-0005-0000-0000-000018910000}"/>
    <cellStyle name="40% - Accent6 3 4 3 5 2" xfId="35074" xr:uid="{00000000-0005-0000-0000-000019910000}"/>
    <cellStyle name="40% - Accent6 3 4 3 6" xfId="23773" xr:uid="{00000000-0005-0000-0000-00001A910000}"/>
    <cellStyle name="40% - Accent6 3 4 4" xfId="2049" xr:uid="{00000000-0005-0000-0000-00001B910000}"/>
    <cellStyle name="40% - Accent6 3 4 4 2" xfId="3829" xr:uid="{00000000-0005-0000-0000-00001C910000}"/>
    <cellStyle name="40% - Accent6 3 4 4 2 2" xfId="9538" xr:uid="{00000000-0005-0000-0000-00001D910000}"/>
    <cellStyle name="40% - Accent6 3 4 4 2 2 2" xfId="20839" xr:uid="{00000000-0005-0000-0000-00001E910000}"/>
    <cellStyle name="40% - Accent6 3 4 4 2 2 2 2" xfId="43441" xr:uid="{00000000-0005-0000-0000-00001F910000}"/>
    <cellStyle name="40% - Accent6 3 4 4 2 2 3" xfId="32140" xr:uid="{00000000-0005-0000-0000-000020910000}"/>
    <cellStyle name="40% - Accent6 3 4 4 2 3" xfId="15189" xr:uid="{00000000-0005-0000-0000-000021910000}"/>
    <cellStyle name="40% - Accent6 3 4 4 2 3 2" xfId="37791" xr:uid="{00000000-0005-0000-0000-000022910000}"/>
    <cellStyle name="40% - Accent6 3 4 4 2 4" xfId="26490" xr:uid="{00000000-0005-0000-0000-000023910000}"/>
    <cellStyle name="40% - Accent6 3 4 4 3" xfId="5248" xr:uid="{00000000-0005-0000-0000-000024910000}"/>
    <cellStyle name="40% - Accent6 3 4 4 3 2" xfId="10898" xr:uid="{00000000-0005-0000-0000-000025910000}"/>
    <cellStyle name="40% - Accent6 3 4 4 3 2 2" xfId="22199" xr:uid="{00000000-0005-0000-0000-000026910000}"/>
    <cellStyle name="40% - Accent6 3 4 4 3 2 2 2" xfId="44801" xr:uid="{00000000-0005-0000-0000-000027910000}"/>
    <cellStyle name="40% - Accent6 3 4 4 3 2 3" xfId="33500" xr:uid="{00000000-0005-0000-0000-000028910000}"/>
    <cellStyle name="40% - Accent6 3 4 4 3 3" xfId="16549" xr:uid="{00000000-0005-0000-0000-000029910000}"/>
    <cellStyle name="40% - Accent6 3 4 4 3 3 2" xfId="39151" xr:uid="{00000000-0005-0000-0000-00002A910000}"/>
    <cellStyle name="40% - Accent6 3 4 4 3 4" xfId="27850" xr:uid="{00000000-0005-0000-0000-00002B910000}"/>
    <cellStyle name="40% - Accent6 3 4 4 4" xfId="7905" xr:uid="{00000000-0005-0000-0000-00002C910000}"/>
    <cellStyle name="40% - Accent6 3 4 4 4 2" xfId="19206" xr:uid="{00000000-0005-0000-0000-00002D910000}"/>
    <cellStyle name="40% - Accent6 3 4 4 4 2 2" xfId="41808" xr:uid="{00000000-0005-0000-0000-00002E910000}"/>
    <cellStyle name="40% - Accent6 3 4 4 4 3" xfId="30507" xr:uid="{00000000-0005-0000-0000-00002F910000}"/>
    <cellStyle name="40% - Accent6 3 4 4 5" xfId="13556" xr:uid="{00000000-0005-0000-0000-000030910000}"/>
    <cellStyle name="40% - Accent6 3 4 4 5 2" xfId="36158" xr:uid="{00000000-0005-0000-0000-000031910000}"/>
    <cellStyle name="40% - Accent6 3 4 4 6" xfId="24857" xr:uid="{00000000-0005-0000-0000-000032910000}"/>
    <cellStyle name="40% - Accent6 3 4 5" xfId="2220" xr:uid="{00000000-0005-0000-0000-000033910000}"/>
    <cellStyle name="40% - Accent6 3 4 5 2" xfId="8062" xr:uid="{00000000-0005-0000-0000-000034910000}"/>
    <cellStyle name="40% - Accent6 3 4 5 2 2" xfId="19363" xr:uid="{00000000-0005-0000-0000-000035910000}"/>
    <cellStyle name="40% - Accent6 3 4 5 2 2 2" xfId="41965" xr:uid="{00000000-0005-0000-0000-000036910000}"/>
    <cellStyle name="40% - Accent6 3 4 5 2 3" xfId="30664" xr:uid="{00000000-0005-0000-0000-000037910000}"/>
    <cellStyle name="40% - Accent6 3 4 5 3" xfId="13713" xr:uid="{00000000-0005-0000-0000-000038910000}"/>
    <cellStyle name="40% - Accent6 3 4 5 3 2" xfId="36315" xr:uid="{00000000-0005-0000-0000-000039910000}"/>
    <cellStyle name="40% - Accent6 3 4 5 4" xfId="25014" xr:uid="{00000000-0005-0000-0000-00003A910000}"/>
    <cellStyle name="40% - Accent6 3 4 6" xfId="4014" xr:uid="{00000000-0005-0000-0000-00003B910000}"/>
    <cellStyle name="40% - Accent6 3 4 6 2" xfId="9664" xr:uid="{00000000-0005-0000-0000-00003C910000}"/>
    <cellStyle name="40% - Accent6 3 4 6 2 2" xfId="20965" xr:uid="{00000000-0005-0000-0000-00003D910000}"/>
    <cellStyle name="40% - Accent6 3 4 6 2 2 2" xfId="43567" xr:uid="{00000000-0005-0000-0000-00003E910000}"/>
    <cellStyle name="40% - Accent6 3 4 6 2 3" xfId="32266" xr:uid="{00000000-0005-0000-0000-00003F910000}"/>
    <cellStyle name="40% - Accent6 3 4 6 3" xfId="15315" xr:uid="{00000000-0005-0000-0000-000040910000}"/>
    <cellStyle name="40% - Accent6 3 4 6 3 2" xfId="37917" xr:uid="{00000000-0005-0000-0000-000041910000}"/>
    <cellStyle name="40% - Accent6 3 4 6 4" xfId="26616" xr:uid="{00000000-0005-0000-0000-000042910000}"/>
    <cellStyle name="40% - Accent6 3 4 7" xfId="6632" xr:uid="{00000000-0005-0000-0000-000043910000}"/>
    <cellStyle name="40% - Accent6 3 4 7 2" xfId="17933" xr:uid="{00000000-0005-0000-0000-000044910000}"/>
    <cellStyle name="40% - Accent6 3 4 7 2 2" xfId="40535" xr:uid="{00000000-0005-0000-0000-000045910000}"/>
    <cellStyle name="40% - Accent6 3 4 7 3" xfId="29234" xr:uid="{00000000-0005-0000-0000-000046910000}"/>
    <cellStyle name="40% - Accent6 3 4 8" xfId="12283" xr:uid="{00000000-0005-0000-0000-000047910000}"/>
    <cellStyle name="40% - Accent6 3 4 8 2" xfId="34885" xr:uid="{00000000-0005-0000-0000-000048910000}"/>
    <cellStyle name="40% - Accent6 3 4 9" xfId="23584" xr:uid="{00000000-0005-0000-0000-000049910000}"/>
    <cellStyle name="40% - Accent6 3 5" xfId="460" xr:uid="{00000000-0005-0000-0000-00004A910000}"/>
    <cellStyle name="40% - Accent6 3 6" xfId="1442" xr:uid="{00000000-0005-0000-0000-00004B910000}"/>
    <cellStyle name="40% - Accent6 3 7" xfId="6465" xr:uid="{00000000-0005-0000-0000-00004C910000}"/>
    <cellStyle name="40% - Accent6 3 7 2" xfId="17766" xr:uid="{00000000-0005-0000-0000-00004D910000}"/>
    <cellStyle name="40% - Accent6 3 7 2 2" xfId="40368" xr:uid="{00000000-0005-0000-0000-00004E910000}"/>
    <cellStyle name="40% - Accent6 3 7 3" xfId="29067" xr:uid="{00000000-0005-0000-0000-00004F910000}"/>
    <cellStyle name="40% - Accent6 3 8" xfId="12116" xr:uid="{00000000-0005-0000-0000-000050910000}"/>
    <cellStyle name="40% - Accent6 3 8 2" xfId="34718" xr:uid="{00000000-0005-0000-0000-000051910000}"/>
    <cellStyle name="40% - Accent6 3 9" xfId="23417" xr:uid="{00000000-0005-0000-0000-000052910000}"/>
    <cellStyle name="40% - Accent6 4" xfId="247" xr:uid="{00000000-0005-0000-0000-000053910000}"/>
    <cellStyle name="40% - Accent6 4 10" xfId="4000" xr:uid="{00000000-0005-0000-0000-000054910000}"/>
    <cellStyle name="40% - Accent6 4 10 2" xfId="9650" xr:uid="{00000000-0005-0000-0000-000055910000}"/>
    <cellStyle name="40% - Accent6 4 10 2 2" xfId="20951" xr:uid="{00000000-0005-0000-0000-000056910000}"/>
    <cellStyle name="40% - Accent6 4 10 2 2 2" xfId="43553" xr:uid="{00000000-0005-0000-0000-000057910000}"/>
    <cellStyle name="40% - Accent6 4 10 2 3" xfId="32252" xr:uid="{00000000-0005-0000-0000-000058910000}"/>
    <cellStyle name="40% - Accent6 4 10 3" xfId="15301" xr:uid="{00000000-0005-0000-0000-000059910000}"/>
    <cellStyle name="40% - Accent6 4 10 3 2" xfId="37903" xr:uid="{00000000-0005-0000-0000-00005A910000}"/>
    <cellStyle name="40% - Accent6 4 10 4" xfId="26602" xr:uid="{00000000-0005-0000-0000-00005B910000}"/>
    <cellStyle name="40% - Accent6 4 11" xfId="6479" xr:uid="{00000000-0005-0000-0000-00005C910000}"/>
    <cellStyle name="40% - Accent6 4 11 2" xfId="17780" xr:uid="{00000000-0005-0000-0000-00005D910000}"/>
    <cellStyle name="40% - Accent6 4 11 2 2" xfId="40382" xr:uid="{00000000-0005-0000-0000-00005E910000}"/>
    <cellStyle name="40% - Accent6 4 11 3" xfId="29081" xr:uid="{00000000-0005-0000-0000-00005F910000}"/>
    <cellStyle name="40% - Accent6 4 12" xfId="12130" xr:uid="{00000000-0005-0000-0000-000060910000}"/>
    <cellStyle name="40% - Accent6 4 12 2" xfId="34732" xr:uid="{00000000-0005-0000-0000-000061910000}"/>
    <cellStyle name="40% - Accent6 4 13" xfId="23431" xr:uid="{00000000-0005-0000-0000-000062910000}"/>
    <cellStyle name="40% - Accent6 4 2" xfId="370" xr:uid="{00000000-0005-0000-0000-000063910000}"/>
    <cellStyle name="40% - Accent6 4 2 10" xfId="23478" xr:uid="{00000000-0005-0000-0000-000064910000}"/>
    <cellStyle name="40% - Accent6 4 2 2" xfId="628" xr:uid="{00000000-0005-0000-0000-000065910000}"/>
    <cellStyle name="40% - Accent6 4 2 2 2" xfId="1338" xr:uid="{00000000-0005-0000-0000-000066910000}"/>
    <cellStyle name="40% - Accent6 4 2 2 2 2" xfId="2054" xr:uid="{00000000-0005-0000-0000-000067910000}"/>
    <cellStyle name="40% - Accent6 4 2 2 2 2 2" xfId="3407" xr:uid="{00000000-0005-0000-0000-000068910000}"/>
    <cellStyle name="40% - Accent6 4 2 2 2 2 2 2" xfId="6379" xr:uid="{00000000-0005-0000-0000-000069910000}"/>
    <cellStyle name="40% - Accent6 4 2 2 2 2 2 2 2" xfId="12029" xr:uid="{00000000-0005-0000-0000-00006A910000}"/>
    <cellStyle name="40% - Accent6 4 2 2 2 2 2 2 2 2" xfId="23330" xr:uid="{00000000-0005-0000-0000-00006B910000}"/>
    <cellStyle name="40% - Accent6 4 2 2 2 2 2 2 2 2 2" xfId="45932" xr:uid="{00000000-0005-0000-0000-00006C910000}"/>
    <cellStyle name="40% - Accent6 4 2 2 2 2 2 2 2 3" xfId="34631" xr:uid="{00000000-0005-0000-0000-00006D910000}"/>
    <cellStyle name="40% - Accent6 4 2 2 2 2 2 2 3" xfId="17680" xr:uid="{00000000-0005-0000-0000-00006E910000}"/>
    <cellStyle name="40% - Accent6 4 2 2 2 2 2 2 3 2" xfId="40282" xr:uid="{00000000-0005-0000-0000-00006F910000}"/>
    <cellStyle name="40% - Accent6 4 2 2 2 2 2 2 4" xfId="28981" xr:uid="{00000000-0005-0000-0000-000070910000}"/>
    <cellStyle name="40% - Accent6 4 2 2 2 2 2 3" xfId="9197" xr:uid="{00000000-0005-0000-0000-000071910000}"/>
    <cellStyle name="40% - Accent6 4 2 2 2 2 2 3 2" xfId="20498" xr:uid="{00000000-0005-0000-0000-000072910000}"/>
    <cellStyle name="40% - Accent6 4 2 2 2 2 2 3 2 2" xfId="43100" xr:uid="{00000000-0005-0000-0000-000073910000}"/>
    <cellStyle name="40% - Accent6 4 2 2 2 2 2 3 3" xfId="31799" xr:uid="{00000000-0005-0000-0000-000074910000}"/>
    <cellStyle name="40% - Accent6 4 2 2 2 2 2 4" xfId="14848" xr:uid="{00000000-0005-0000-0000-000075910000}"/>
    <cellStyle name="40% - Accent6 4 2 2 2 2 2 4 2" xfId="37450" xr:uid="{00000000-0005-0000-0000-000076910000}"/>
    <cellStyle name="40% - Accent6 4 2 2 2 2 2 5" xfId="26149" xr:uid="{00000000-0005-0000-0000-000077910000}"/>
    <cellStyle name="40% - Accent6 4 2 2 2 2 3" xfId="5145" xr:uid="{00000000-0005-0000-0000-000078910000}"/>
    <cellStyle name="40% - Accent6 4 2 2 2 2 3 2" xfId="10795" xr:uid="{00000000-0005-0000-0000-000079910000}"/>
    <cellStyle name="40% - Accent6 4 2 2 2 2 3 2 2" xfId="22096" xr:uid="{00000000-0005-0000-0000-00007A910000}"/>
    <cellStyle name="40% - Accent6 4 2 2 2 2 3 2 2 2" xfId="44698" xr:uid="{00000000-0005-0000-0000-00007B910000}"/>
    <cellStyle name="40% - Accent6 4 2 2 2 2 3 2 3" xfId="33397" xr:uid="{00000000-0005-0000-0000-00007C910000}"/>
    <cellStyle name="40% - Accent6 4 2 2 2 2 3 3" xfId="16446" xr:uid="{00000000-0005-0000-0000-00007D910000}"/>
    <cellStyle name="40% - Accent6 4 2 2 2 2 3 3 2" xfId="39048" xr:uid="{00000000-0005-0000-0000-00007E910000}"/>
    <cellStyle name="40% - Accent6 4 2 2 2 2 3 4" xfId="27747" xr:uid="{00000000-0005-0000-0000-00007F910000}"/>
    <cellStyle name="40% - Accent6 4 2 2 2 2 4" xfId="7910" xr:uid="{00000000-0005-0000-0000-000080910000}"/>
    <cellStyle name="40% - Accent6 4 2 2 2 2 4 2" xfId="19211" xr:uid="{00000000-0005-0000-0000-000081910000}"/>
    <cellStyle name="40% - Accent6 4 2 2 2 2 4 2 2" xfId="41813" xr:uid="{00000000-0005-0000-0000-000082910000}"/>
    <cellStyle name="40% - Accent6 4 2 2 2 2 4 3" xfId="30512" xr:uid="{00000000-0005-0000-0000-000083910000}"/>
    <cellStyle name="40% - Accent6 4 2 2 2 2 5" xfId="13561" xr:uid="{00000000-0005-0000-0000-000084910000}"/>
    <cellStyle name="40% - Accent6 4 2 2 2 2 5 2" xfId="36163" xr:uid="{00000000-0005-0000-0000-000085910000}"/>
    <cellStyle name="40% - Accent6 4 2 2 2 2 6" xfId="24862" xr:uid="{00000000-0005-0000-0000-000086910000}"/>
    <cellStyle name="40% - Accent6 4 2 2 2 3" xfId="2736" xr:uid="{00000000-0005-0000-0000-000087910000}"/>
    <cellStyle name="40% - Accent6 4 2 2 2 3 2" xfId="5755" xr:uid="{00000000-0005-0000-0000-000088910000}"/>
    <cellStyle name="40% - Accent6 4 2 2 2 3 2 2" xfId="11405" xr:uid="{00000000-0005-0000-0000-000089910000}"/>
    <cellStyle name="40% - Accent6 4 2 2 2 3 2 2 2" xfId="22706" xr:uid="{00000000-0005-0000-0000-00008A910000}"/>
    <cellStyle name="40% - Accent6 4 2 2 2 3 2 2 2 2" xfId="45308" xr:uid="{00000000-0005-0000-0000-00008B910000}"/>
    <cellStyle name="40% - Accent6 4 2 2 2 3 2 2 3" xfId="34007" xr:uid="{00000000-0005-0000-0000-00008C910000}"/>
    <cellStyle name="40% - Accent6 4 2 2 2 3 2 3" xfId="17056" xr:uid="{00000000-0005-0000-0000-00008D910000}"/>
    <cellStyle name="40% - Accent6 4 2 2 2 3 2 3 2" xfId="39658" xr:uid="{00000000-0005-0000-0000-00008E910000}"/>
    <cellStyle name="40% - Accent6 4 2 2 2 3 2 4" xfId="28357" xr:uid="{00000000-0005-0000-0000-00008F910000}"/>
    <cellStyle name="40% - Accent6 4 2 2 2 3 3" xfId="8572" xr:uid="{00000000-0005-0000-0000-000090910000}"/>
    <cellStyle name="40% - Accent6 4 2 2 2 3 3 2" xfId="19873" xr:uid="{00000000-0005-0000-0000-000091910000}"/>
    <cellStyle name="40% - Accent6 4 2 2 2 3 3 2 2" xfId="42475" xr:uid="{00000000-0005-0000-0000-000092910000}"/>
    <cellStyle name="40% - Accent6 4 2 2 2 3 3 3" xfId="31174" xr:uid="{00000000-0005-0000-0000-000093910000}"/>
    <cellStyle name="40% - Accent6 4 2 2 2 3 4" xfId="14223" xr:uid="{00000000-0005-0000-0000-000094910000}"/>
    <cellStyle name="40% - Accent6 4 2 2 2 3 4 2" xfId="36825" xr:uid="{00000000-0005-0000-0000-000095910000}"/>
    <cellStyle name="40% - Accent6 4 2 2 2 3 5" xfId="25524" xr:uid="{00000000-0005-0000-0000-000096910000}"/>
    <cellStyle name="40% - Accent6 4 2 2 2 4" xfId="4521" xr:uid="{00000000-0005-0000-0000-000097910000}"/>
    <cellStyle name="40% - Accent6 4 2 2 2 4 2" xfId="10171" xr:uid="{00000000-0005-0000-0000-000098910000}"/>
    <cellStyle name="40% - Accent6 4 2 2 2 4 2 2" xfId="21472" xr:uid="{00000000-0005-0000-0000-000099910000}"/>
    <cellStyle name="40% - Accent6 4 2 2 2 4 2 2 2" xfId="44074" xr:uid="{00000000-0005-0000-0000-00009A910000}"/>
    <cellStyle name="40% - Accent6 4 2 2 2 4 2 3" xfId="32773" xr:uid="{00000000-0005-0000-0000-00009B910000}"/>
    <cellStyle name="40% - Accent6 4 2 2 2 4 3" xfId="15822" xr:uid="{00000000-0005-0000-0000-00009C910000}"/>
    <cellStyle name="40% - Accent6 4 2 2 2 4 3 2" xfId="38424" xr:uid="{00000000-0005-0000-0000-00009D910000}"/>
    <cellStyle name="40% - Accent6 4 2 2 2 4 4" xfId="27123" xr:uid="{00000000-0005-0000-0000-00009E910000}"/>
    <cellStyle name="40% - Accent6 4 2 2 2 5" xfId="7317" xr:uid="{00000000-0005-0000-0000-00009F910000}"/>
    <cellStyle name="40% - Accent6 4 2 2 2 5 2" xfId="18618" xr:uid="{00000000-0005-0000-0000-0000A0910000}"/>
    <cellStyle name="40% - Accent6 4 2 2 2 5 2 2" xfId="41220" xr:uid="{00000000-0005-0000-0000-0000A1910000}"/>
    <cellStyle name="40% - Accent6 4 2 2 2 5 3" xfId="29919" xr:uid="{00000000-0005-0000-0000-0000A2910000}"/>
    <cellStyle name="40% - Accent6 4 2 2 2 6" xfId="12968" xr:uid="{00000000-0005-0000-0000-0000A3910000}"/>
    <cellStyle name="40% - Accent6 4 2 2 2 6 2" xfId="35570" xr:uid="{00000000-0005-0000-0000-0000A4910000}"/>
    <cellStyle name="40% - Accent6 4 2 2 2 7" xfId="24269" xr:uid="{00000000-0005-0000-0000-0000A5910000}"/>
    <cellStyle name="40% - Accent6 4 2 2 3" xfId="1036" xr:uid="{00000000-0005-0000-0000-0000A6910000}"/>
    <cellStyle name="40% - Accent6 4 2 2 3 2" xfId="3099" xr:uid="{00000000-0005-0000-0000-0000A7910000}"/>
    <cellStyle name="40% - Accent6 4 2 2 3 2 2" xfId="6071" xr:uid="{00000000-0005-0000-0000-0000A8910000}"/>
    <cellStyle name="40% - Accent6 4 2 2 3 2 2 2" xfId="11721" xr:uid="{00000000-0005-0000-0000-0000A9910000}"/>
    <cellStyle name="40% - Accent6 4 2 2 3 2 2 2 2" xfId="23022" xr:uid="{00000000-0005-0000-0000-0000AA910000}"/>
    <cellStyle name="40% - Accent6 4 2 2 3 2 2 2 2 2" xfId="45624" xr:uid="{00000000-0005-0000-0000-0000AB910000}"/>
    <cellStyle name="40% - Accent6 4 2 2 3 2 2 2 3" xfId="34323" xr:uid="{00000000-0005-0000-0000-0000AC910000}"/>
    <cellStyle name="40% - Accent6 4 2 2 3 2 2 3" xfId="17372" xr:uid="{00000000-0005-0000-0000-0000AD910000}"/>
    <cellStyle name="40% - Accent6 4 2 2 3 2 2 3 2" xfId="39974" xr:uid="{00000000-0005-0000-0000-0000AE910000}"/>
    <cellStyle name="40% - Accent6 4 2 2 3 2 2 4" xfId="28673" xr:uid="{00000000-0005-0000-0000-0000AF910000}"/>
    <cellStyle name="40% - Accent6 4 2 2 3 2 3" xfId="8889" xr:uid="{00000000-0005-0000-0000-0000B0910000}"/>
    <cellStyle name="40% - Accent6 4 2 2 3 2 3 2" xfId="20190" xr:uid="{00000000-0005-0000-0000-0000B1910000}"/>
    <cellStyle name="40% - Accent6 4 2 2 3 2 3 2 2" xfId="42792" xr:uid="{00000000-0005-0000-0000-0000B2910000}"/>
    <cellStyle name="40% - Accent6 4 2 2 3 2 3 3" xfId="31491" xr:uid="{00000000-0005-0000-0000-0000B3910000}"/>
    <cellStyle name="40% - Accent6 4 2 2 3 2 4" xfId="14540" xr:uid="{00000000-0005-0000-0000-0000B4910000}"/>
    <cellStyle name="40% - Accent6 4 2 2 3 2 4 2" xfId="37142" xr:uid="{00000000-0005-0000-0000-0000B5910000}"/>
    <cellStyle name="40% - Accent6 4 2 2 3 2 5" xfId="25841" xr:uid="{00000000-0005-0000-0000-0000B6910000}"/>
    <cellStyle name="40% - Accent6 4 2 2 3 3" xfId="4837" xr:uid="{00000000-0005-0000-0000-0000B7910000}"/>
    <cellStyle name="40% - Accent6 4 2 2 3 3 2" xfId="10487" xr:uid="{00000000-0005-0000-0000-0000B8910000}"/>
    <cellStyle name="40% - Accent6 4 2 2 3 3 2 2" xfId="21788" xr:uid="{00000000-0005-0000-0000-0000B9910000}"/>
    <cellStyle name="40% - Accent6 4 2 2 3 3 2 2 2" xfId="44390" xr:uid="{00000000-0005-0000-0000-0000BA910000}"/>
    <cellStyle name="40% - Accent6 4 2 2 3 3 2 3" xfId="33089" xr:uid="{00000000-0005-0000-0000-0000BB910000}"/>
    <cellStyle name="40% - Accent6 4 2 2 3 3 3" xfId="16138" xr:uid="{00000000-0005-0000-0000-0000BC910000}"/>
    <cellStyle name="40% - Accent6 4 2 2 3 3 3 2" xfId="38740" xr:uid="{00000000-0005-0000-0000-0000BD910000}"/>
    <cellStyle name="40% - Accent6 4 2 2 3 3 4" xfId="27439" xr:uid="{00000000-0005-0000-0000-0000BE910000}"/>
    <cellStyle name="40% - Accent6 4 2 2 3 4" xfId="7024" xr:uid="{00000000-0005-0000-0000-0000BF910000}"/>
    <cellStyle name="40% - Accent6 4 2 2 3 4 2" xfId="18325" xr:uid="{00000000-0005-0000-0000-0000C0910000}"/>
    <cellStyle name="40% - Accent6 4 2 2 3 4 2 2" xfId="40927" xr:uid="{00000000-0005-0000-0000-0000C1910000}"/>
    <cellStyle name="40% - Accent6 4 2 2 3 4 3" xfId="29626" xr:uid="{00000000-0005-0000-0000-0000C2910000}"/>
    <cellStyle name="40% - Accent6 4 2 2 3 5" xfId="12675" xr:uid="{00000000-0005-0000-0000-0000C3910000}"/>
    <cellStyle name="40% - Accent6 4 2 2 3 5 2" xfId="35277" xr:uid="{00000000-0005-0000-0000-0000C4910000}"/>
    <cellStyle name="40% - Accent6 4 2 2 3 6" xfId="23976" xr:uid="{00000000-0005-0000-0000-0000C5910000}"/>
    <cellStyle name="40% - Accent6 4 2 2 4" xfId="2053" xr:uid="{00000000-0005-0000-0000-0000C6910000}"/>
    <cellStyle name="40% - Accent6 4 2 2 4 2" xfId="3832" xr:uid="{00000000-0005-0000-0000-0000C7910000}"/>
    <cellStyle name="40% - Accent6 4 2 2 4 2 2" xfId="9541" xr:uid="{00000000-0005-0000-0000-0000C8910000}"/>
    <cellStyle name="40% - Accent6 4 2 2 4 2 2 2" xfId="20842" xr:uid="{00000000-0005-0000-0000-0000C9910000}"/>
    <cellStyle name="40% - Accent6 4 2 2 4 2 2 2 2" xfId="43444" xr:uid="{00000000-0005-0000-0000-0000CA910000}"/>
    <cellStyle name="40% - Accent6 4 2 2 4 2 2 3" xfId="32143" xr:uid="{00000000-0005-0000-0000-0000CB910000}"/>
    <cellStyle name="40% - Accent6 4 2 2 4 2 3" xfId="15192" xr:uid="{00000000-0005-0000-0000-0000CC910000}"/>
    <cellStyle name="40% - Accent6 4 2 2 4 2 3 2" xfId="37794" xr:uid="{00000000-0005-0000-0000-0000CD910000}"/>
    <cellStyle name="40% - Accent6 4 2 2 4 2 4" xfId="26493" xr:uid="{00000000-0005-0000-0000-0000CE910000}"/>
    <cellStyle name="40% - Accent6 4 2 2 4 3" xfId="5447" xr:uid="{00000000-0005-0000-0000-0000CF910000}"/>
    <cellStyle name="40% - Accent6 4 2 2 4 3 2" xfId="11097" xr:uid="{00000000-0005-0000-0000-0000D0910000}"/>
    <cellStyle name="40% - Accent6 4 2 2 4 3 2 2" xfId="22398" xr:uid="{00000000-0005-0000-0000-0000D1910000}"/>
    <cellStyle name="40% - Accent6 4 2 2 4 3 2 2 2" xfId="45000" xr:uid="{00000000-0005-0000-0000-0000D2910000}"/>
    <cellStyle name="40% - Accent6 4 2 2 4 3 2 3" xfId="33699" xr:uid="{00000000-0005-0000-0000-0000D3910000}"/>
    <cellStyle name="40% - Accent6 4 2 2 4 3 3" xfId="16748" xr:uid="{00000000-0005-0000-0000-0000D4910000}"/>
    <cellStyle name="40% - Accent6 4 2 2 4 3 3 2" xfId="39350" xr:uid="{00000000-0005-0000-0000-0000D5910000}"/>
    <cellStyle name="40% - Accent6 4 2 2 4 3 4" xfId="28049" xr:uid="{00000000-0005-0000-0000-0000D6910000}"/>
    <cellStyle name="40% - Accent6 4 2 2 4 4" xfId="7909" xr:uid="{00000000-0005-0000-0000-0000D7910000}"/>
    <cellStyle name="40% - Accent6 4 2 2 4 4 2" xfId="19210" xr:uid="{00000000-0005-0000-0000-0000D8910000}"/>
    <cellStyle name="40% - Accent6 4 2 2 4 4 2 2" xfId="41812" xr:uid="{00000000-0005-0000-0000-0000D9910000}"/>
    <cellStyle name="40% - Accent6 4 2 2 4 4 3" xfId="30511" xr:uid="{00000000-0005-0000-0000-0000DA910000}"/>
    <cellStyle name="40% - Accent6 4 2 2 4 5" xfId="13560" xr:uid="{00000000-0005-0000-0000-0000DB910000}"/>
    <cellStyle name="40% - Accent6 4 2 2 4 5 2" xfId="36162" xr:uid="{00000000-0005-0000-0000-0000DC910000}"/>
    <cellStyle name="40% - Accent6 4 2 2 4 6" xfId="24861" xr:uid="{00000000-0005-0000-0000-0000DD910000}"/>
    <cellStyle name="40% - Accent6 4 2 2 5" xfId="2428" xr:uid="{00000000-0005-0000-0000-0000DE910000}"/>
    <cellStyle name="40% - Accent6 4 2 2 5 2" xfId="8264" xr:uid="{00000000-0005-0000-0000-0000DF910000}"/>
    <cellStyle name="40% - Accent6 4 2 2 5 2 2" xfId="19565" xr:uid="{00000000-0005-0000-0000-0000E0910000}"/>
    <cellStyle name="40% - Accent6 4 2 2 5 2 2 2" xfId="42167" xr:uid="{00000000-0005-0000-0000-0000E1910000}"/>
    <cellStyle name="40% - Accent6 4 2 2 5 2 3" xfId="30866" xr:uid="{00000000-0005-0000-0000-0000E2910000}"/>
    <cellStyle name="40% - Accent6 4 2 2 5 3" xfId="13915" xr:uid="{00000000-0005-0000-0000-0000E3910000}"/>
    <cellStyle name="40% - Accent6 4 2 2 5 3 2" xfId="36517" xr:uid="{00000000-0005-0000-0000-0000E4910000}"/>
    <cellStyle name="40% - Accent6 4 2 2 5 4" xfId="25216" xr:uid="{00000000-0005-0000-0000-0000E5910000}"/>
    <cellStyle name="40% - Accent6 4 2 2 6" xfId="4213" xr:uid="{00000000-0005-0000-0000-0000E6910000}"/>
    <cellStyle name="40% - Accent6 4 2 2 6 2" xfId="9863" xr:uid="{00000000-0005-0000-0000-0000E7910000}"/>
    <cellStyle name="40% - Accent6 4 2 2 6 2 2" xfId="21164" xr:uid="{00000000-0005-0000-0000-0000E8910000}"/>
    <cellStyle name="40% - Accent6 4 2 2 6 2 2 2" xfId="43766" xr:uid="{00000000-0005-0000-0000-0000E9910000}"/>
    <cellStyle name="40% - Accent6 4 2 2 6 2 3" xfId="32465" xr:uid="{00000000-0005-0000-0000-0000EA910000}"/>
    <cellStyle name="40% - Accent6 4 2 2 6 3" xfId="15514" xr:uid="{00000000-0005-0000-0000-0000EB910000}"/>
    <cellStyle name="40% - Accent6 4 2 2 6 3 2" xfId="38116" xr:uid="{00000000-0005-0000-0000-0000EC910000}"/>
    <cellStyle name="40% - Accent6 4 2 2 6 4" xfId="26815" xr:uid="{00000000-0005-0000-0000-0000ED910000}"/>
    <cellStyle name="40% - Accent6 4 2 2 7" xfId="6693" xr:uid="{00000000-0005-0000-0000-0000EE910000}"/>
    <cellStyle name="40% - Accent6 4 2 2 7 2" xfId="17994" xr:uid="{00000000-0005-0000-0000-0000EF910000}"/>
    <cellStyle name="40% - Accent6 4 2 2 7 2 2" xfId="40596" xr:uid="{00000000-0005-0000-0000-0000F0910000}"/>
    <cellStyle name="40% - Accent6 4 2 2 7 3" xfId="29295" xr:uid="{00000000-0005-0000-0000-0000F1910000}"/>
    <cellStyle name="40% - Accent6 4 2 2 8" xfId="12344" xr:uid="{00000000-0005-0000-0000-0000F2910000}"/>
    <cellStyle name="40% - Accent6 4 2 2 8 2" xfId="34946" xr:uid="{00000000-0005-0000-0000-0000F3910000}"/>
    <cellStyle name="40% - Accent6 4 2 2 9" xfId="23645" xr:uid="{00000000-0005-0000-0000-0000F4910000}"/>
    <cellStyle name="40% - Accent6 4 2 3" xfId="1200" xr:uid="{00000000-0005-0000-0000-0000F5910000}"/>
    <cellStyle name="40% - Accent6 4 2 3 2" xfId="2055" xr:uid="{00000000-0005-0000-0000-0000F6910000}"/>
    <cellStyle name="40% - Accent6 4 2 3 2 2" xfId="3268" xr:uid="{00000000-0005-0000-0000-0000F7910000}"/>
    <cellStyle name="40% - Accent6 4 2 3 2 2 2" xfId="6240" xr:uid="{00000000-0005-0000-0000-0000F8910000}"/>
    <cellStyle name="40% - Accent6 4 2 3 2 2 2 2" xfId="11890" xr:uid="{00000000-0005-0000-0000-0000F9910000}"/>
    <cellStyle name="40% - Accent6 4 2 3 2 2 2 2 2" xfId="23191" xr:uid="{00000000-0005-0000-0000-0000FA910000}"/>
    <cellStyle name="40% - Accent6 4 2 3 2 2 2 2 2 2" xfId="45793" xr:uid="{00000000-0005-0000-0000-0000FB910000}"/>
    <cellStyle name="40% - Accent6 4 2 3 2 2 2 2 3" xfId="34492" xr:uid="{00000000-0005-0000-0000-0000FC910000}"/>
    <cellStyle name="40% - Accent6 4 2 3 2 2 2 3" xfId="17541" xr:uid="{00000000-0005-0000-0000-0000FD910000}"/>
    <cellStyle name="40% - Accent6 4 2 3 2 2 2 3 2" xfId="40143" xr:uid="{00000000-0005-0000-0000-0000FE910000}"/>
    <cellStyle name="40% - Accent6 4 2 3 2 2 2 4" xfId="28842" xr:uid="{00000000-0005-0000-0000-0000FF910000}"/>
    <cellStyle name="40% - Accent6 4 2 3 2 2 3" xfId="9058" xr:uid="{00000000-0005-0000-0000-000000920000}"/>
    <cellStyle name="40% - Accent6 4 2 3 2 2 3 2" xfId="20359" xr:uid="{00000000-0005-0000-0000-000001920000}"/>
    <cellStyle name="40% - Accent6 4 2 3 2 2 3 2 2" xfId="42961" xr:uid="{00000000-0005-0000-0000-000002920000}"/>
    <cellStyle name="40% - Accent6 4 2 3 2 2 3 3" xfId="31660" xr:uid="{00000000-0005-0000-0000-000003920000}"/>
    <cellStyle name="40% - Accent6 4 2 3 2 2 4" xfId="14709" xr:uid="{00000000-0005-0000-0000-000004920000}"/>
    <cellStyle name="40% - Accent6 4 2 3 2 2 4 2" xfId="37311" xr:uid="{00000000-0005-0000-0000-000005920000}"/>
    <cellStyle name="40% - Accent6 4 2 3 2 2 5" xfId="26010" xr:uid="{00000000-0005-0000-0000-000006920000}"/>
    <cellStyle name="40% - Accent6 4 2 3 2 3" xfId="5006" xr:uid="{00000000-0005-0000-0000-000007920000}"/>
    <cellStyle name="40% - Accent6 4 2 3 2 3 2" xfId="10656" xr:uid="{00000000-0005-0000-0000-000008920000}"/>
    <cellStyle name="40% - Accent6 4 2 3 2 3 2 2" xfId="21957" xr:uid="{00000000-0005-0000-0000-000009920000}"/>
    <cellStyle name="40% - Accent6 4 2 3 2 3 2 2 2" xfId="44559" xr:uid="{00000000-0005-0000-0000-00000A920000}"/>
    <cellStyle name="40% - Accent6 4 2 3 2 3 2 3" xfId="33258" xr:uid="{00000000-0005-0000-0000-00000B920000}"/>
    <cellStyle name="40% - Accent6 4 2 3 2 3 3" xfId="16307" xr:uid="{00000000-0005-0000-0000-00000C920000}"/>
    <cellStyle name="40% - Accent6 4 2 3 2 3 3 2" xfId="38909" xr:uid="{00000000-0005-0000-0000-00000D920000}"/>
    <cellStyle name="40% - Accent6 4 2 3 2 3 4" xfId="27608" xr:uid="{00000000-0005-0000-0000-00000E920000}"/>
    <cellStyle name="40% - Accent6 4 2 3 2 4" xfId="7911" xr:uid="{00000000-0005-0000-0000-00000F920000}"/>
    <cellStyle name="40% - Accent6 4 2 3 2 4 2" xfId="19212" xr:uid="{00000000-0005-0000-0000-000010920000}"/>
    <cellStyle name="40% - Accent6 4 2 3 2 4 2 2" xfId="41814" xr:uid="{00000000-0005-0000-0000-000011920000}"/>
    <cellStyle name="40% - Accent6 4 2 3 2 4 3" xfId="30513" xr:uid="{00000000-0005-0000-0000-000012920000}"/>
    <cellStyle name="40% - Accent6 4 2 3 2 5" xfId="13562" xr:uid="{00000000-0005-0000-0000-000013920000}"/>
    <cellStyle name="40% - Accent6 4 2 3 2 5 2" xfId="36164" xr:uid="{00000000-0005-0000-0000-000014920000}"/>
    <cellStyle name="40% - Accent6 4 2 3 2 6" xfId="24863" xr:uid="{00000000-0005-0000-0000-000015920000}"/>
    <cellStyle name="40% - Accent6 4 2 3 3" xfId="2597" xr:uid="{00000000-0005-0000-0000-000016920000}"/>
    <cellStyle name="40% - Accent6 4 2 3 3 2" xfId="5616" xr:uid="{00000000-0005-0000-0000-000017920000}"/>
    <cellStyle name="40% - Accent6 4 2 3 3 2 2" xfId="11266" xr:uid="{00000000-0005-0000-0000-000018920000}"/>
    <cellStyle name="40% - Accent6 4 2 3 3 2 2 2" xfId="22567" xr:uid="{00000000-0005-0000-0000-000019920000}"/>
    <cellStyle name="40% - Accent6 4 2 3 3 2 2 2 2" xfId="45169" xr:uid="{00000000-0005-0000-0000-00001A920000}"/>
    <cellStyle name="40% - Accent6 4 2 3 3 2 2 3" xfId="33868" xr:uid="{00000000-0005-0000-0000-00001B920000}"/>
    <cellStyle name="40% - Accent6 4 2 3 3 2 3" xfId="16917" xr:uid="{00000000-0005-0000-0000-00001C920000}"/>
    <cellStyle name="40% - Accent6 4 2 3 3 2 3 2" xfId="39519" xr:uid="{00000000-0005-0000-0000-00001D920000}"/>
    <cellStyle name="40% - Accent6 4 2 3 3 2 4" xfId="28218" xr:uid="{00000000-0005-0000-0000-00001E920000}"/>
    <cellStyle name="40% - Accent6 4 2 3 3 3" xfId="8433" xr:uid="{00000000-0005-0000-0000-00001F920000}"/>
    <cellStyle name="40% - Accent6 4 2 3 3 3 2" xfId="19734" xr:uid="{00000000-0005-0000-0000-000020920000}"/>
    <cellStyle name="40% - Accent6 4 2 3 3 3 2 2" xfId="42336" xr:uid="{00000000-0005-0000-0000-000021920000}"/>
    <cellStyle name="40% - Accent6 4 2 3 3 3 3" xfId="31035" xr:uid="{00000000-0005-0000-0000-000022920000}"/>
    <cellStyle name="40% - Accent6 4 2 3 3 4" xfId="14084" xr:uid="{00000000-0005-0000-0000-000023920000}"/>
    <cellStyle name="40% - Accent6 4 2 3 3 4 2" xfId="36686" xr:uid="{00000000-0005-0000-0000-000024920000}"/>
    <cellStyle name="40% - Accent6 4 2 3 3 5" xfId="25385" xr:uid="{00000000-0005-0000-0000-000025920000}"/>
    <cellStyle name="40% - Accent6 4 2 3 4" xfId="4382" xr:uid="{00000000-0005-0000-0000-000026920000}"/>
    <cellStyle name="40% - Accent6 4 2 3 4 2" xfId="10032" xr:uid="{00000000-0005-0000-0000-000027920000}"/>
    <cellStyle name="40% - Accent6 4 2 3 4 2 2" xfId="21333" xr:uid="{00000000-0005-0000-0000-000028920000}"/>
    <cellStyle name="40% - Accent6 4 2 3 4 2 2 2" xfId="43935" xr:uid="{00000000-0005-0000-0000-000029920000}"/>
    <cellStyle name="40% - Accent6 4 2 3 4 2 3" xfId="32634" xr:uid="{00000000-0005-0000-0000-00002A920000}"/>
    <cellStyle name="40% - Accent6 4 2 3 4 3" xfId="15683" xr:uid="{00000000-0005-0000-0000-00002B920000}"/>
    <cellStyle name="40% - Accent6 4 2 3 4 3 2" xfId="38285" xr:uid="{00000000-0005-0000-0000-00002C920000}"/>
    <cellStyle name="40% - Accent6 4 2 3 4 4" xfId="26984" xr:uid="{00000000-0005-0000-0000-00002D920000}"/>
    <cellStyle name="40% - Accent6 4 2 3 5" xfId="7179" xr:uid="{00000000-0005-0000-0000-00002E920000}"/>
    <cellStyle name="40% - Accent6 4 2 3 5 2" xfId="18480" xr:uid="{00000000-0005-0000-0000-00002F920000}"/>
    <cellStyle name="40% - Accent6 4 2 3 5 2 2" xfId="41082" xr:uid="{00000000-0005-0000-0000-000030920000}"/>
    <cellStyle name="40% - Accent6 4 2 3 5 3" xfId="29781" xr:uid="{00000000-0005-0000-0000-000031920000}"/>
    <cellStyle name="40% - Accent6 4 2 3 6" xfId="12830" xr:uid="{00000000-0005-0000-0000-000032920000}"/>
    <cellStyle name="40% - Accent6 4 2 3 6 2" xfId="35432" xr:uid="{00000000-0005-0000-0000-000033920000}"/>
    <cellStyle name="40% - Accent6 4 2 3 7" xfId="24131" xr:uid="{00000000-0005-0000-0000-000034920000}"/>
    <cellStyle name="40% - Accent6 4 2 4" xfId="890" xr:uid="{00000000-0005-0000-0000-000035920000}"/>
    <cellStyle name="40% - Accent6 4 2 4 2" xfId="2961" xr:uid="{00000000-0005-0000-0000-000036920000}"/>
    <cellStyle name="40% - Accent6 4 2 4 2 2" xfId="5933" xr:uid="{00000000-0005-0000-0000-000037920000}"/>
    <cellStyle name="40% - Accent6 4 2 4 2 2 2" xfId="11583" xr:uid="{00000000-0005-0000-0000-000038920000}"/>
    <cellStyle name="40% - Accent6 4 2 4 2 2 2 2" xfId="22884" xr:uid="{00000000-0005-0000-0000-000039920000}"/>
    <cellStyle name="40% - Accent6 4 2 4 2 2 2 2 2" xfId="45486" xr:uid="{00000000-0005-0000-0000-00003A920000}"/>
    <cellStyle name="40% - Accent6 4 2 4 2 2 2 3" xfId="34185" xr:uid="{00000000-0005-0000-0000-00003B920000}"/>
    <cellStyle name="40% - Accent6 4 2 4 2 2 3" xfId="17234" xr:uid="{00000000-0005-0000-0000-00003C920000}"/>
    <cellStyle name="40% - Accent6 4 2 4 2 2 3 2" xfId="39836" xr:uid="{00000000-0005-0000-0000-00003D920000}"/>
    <cellStyle name="40% - Accent6 4 2 4 2 2 4" xfId="28535" xr:uid="{00000000-0005-0000-0000-00003E920000}"/>
    <cellStyle name="40% - Accent6 4 2 4 2 3" xfId="8751" xr:uid="{00000000-0005-0000-0000-00003F920000}"/>
    <cellStyle name="40% - Accent6 4 2 4 2 3 2" xfId="20052" xr:uid="{00000000-0005-0000-0000-000040920000}"/>
    <cellStyle name="40% - Accent6 4 2 4 2 3 2 2" xfId="42654" xr:uid="{00000000-0005-0000-0000-000041920000}"/>
    <cellStyle name="40% - Accent6 4 2 4 2 3 3" xfId="31353" xr:uid="{00000000-0005-0000-0000-000042920000}"/>
    <cellStyle name="40% - Accent6 4 2 4 2 4" xfId="14402" xr:uid="{00000000-0005-0000-0000-000043920000}"/>
    <cellStyle name="40% - Accent6 4 2 4 2 4 2" xfId="37004" xr:uid="{00000000-0005-0000-0000-000044920000}"/>
    <cellStyle name="40% - Accent6 4 2 4 2 5" xfId="25703" xr:uid="{00000000-0005-0000-0000-000045920000}"/>
    <cellStyle name="40% - Accent6 4 2 4 3" xfId="4699" xr:uid="{00000000-0005-0000-0000-000046920000}"/>
    <cellStyle name="40% - Accent6 4 2 4 3 2" xfId="10349" xr:uid="{00000000-0005-0000-0000-000047920000}"/>
    <cellStyle name="40% - Accent6 4 2 4 3 2 2" xfId="21650" xr:uid="{00000000-0005-0000-0000-000048920000}"/>
    <cellStyle name="40% - Accent6 4 2 4 3 2 2 2" xfId="44252" xr:uid="{00000000-0005-0000-0000-000049920000}"/>
    <cellStyle name="40% - Accent6 4 2 4 3 2 3" xfId="32951" xr:uid="{00000000-0005-0000-0000-00004A920000}"/>
    <cellStyle name="40% - Accent6 4 2 4 3 3" xfId="16000" xr:uid="{00000000-0005-0000-0000-00004B920000}"/>
    <cellStyle name="40% - Accent6 4 2 4 3 3 2" xfId="38602" xr:uid="{00000000-0005-0000-0000-00004C920000}"/>
    <cellStyle name="40% - Accent6 4 2 4 3 4" xfId="27301" xr:uid="{00000000-0005-0000-0000-00004D920000}"/>
    <cellStyle name="40% - Accent6 4 2 4 4" xfId="6886" xr:uid="{00000000-0005-0000-0000-00004E920000}"/>
    <cellStyle name="40% - Accent6 4 2 4 4 2" xfId="18187" xr:uid="{00000000-0005-0000-0000-00004F920000}"/>
    <cellStyle name="40% - Accent6 4 2 4 4 2 2" xfId="40789" xr:uid="{00000000-0005-0000-0000-000050920000}"/>
    <cellStyle name="40% - Accent6 4 2 4 4 3" xfId="29488" xr:uid="{00000000-0005-0000-0000-000051920000}"/>
    <cellStyle name="40% - Accent6 4 2 4 5" xfId="12537" xr:uid="{00000000-0005-0000-0000-000052920000}"/>
    <cellStyle name="40% - Accent6 4 2 4 5 2" xfId="35139" xr:uid="{00000000-0005-0000-0000-000053920000}"/>
    <cellStyle name="40% - Accent6 4 2 4 6" xfId="23838" xr:uid="{00000000-0005-0000-0000-000054920000}"/>
    <cellStyle name="40% - Accent6 4 2 5" xfId="2052" xr:uid="{00000000-0005-0000-0000-000055920000}"/>
    <cellStyle name="40% - Accent6 4 2 5 2" xfId="3831" xr:uid="{00000000-0005-0000-0000-000056920000}"/>
    <cellStyle name="40% - Accent6 4 2 5 2 2" xfId="9540" xr:uid="{00000000-0005-0000-0000-000057920000}"/>
    <cellStyle name="40% - Accent6 4 2 5 2 2 2" xfId="20841" xr:uid="{00000000-0005-0000-0000-000058920000}"/>
    <cellStyle name="40% - Accent6 4 2 5 2 2 2 2" xfId="43443" xr:uid="{00000000-0005-0000-0000-000059920000}"/>
    <cellStyle name="40% - Accent6 4 2 5 2 2 3" xfId="32142" xr:uid="{00000000-0005-0000-0000-00005A920000}"/>
    <cellStyle name="40% - Accent6 4 2 5 2 3" xfId="15191" xr:uid="{00000000-0005-0000-0000-00005B920000}"/>
    <cellStyle name="40% - Accent6 4 2 5 2 3 2" xfId="37793" xr:uid="{00000000-0005-0000-0000-00005C920000}"/>
    <cellStyle name="40% - Accent6 4 2 5 2 4" xfId="26492" xr:uid="{00000000-0005-0000-0000-00005D920000}"/>
    <cellStyle name="40% - Accent6 4 2 5 3" xfId="5309" xr:uid="{00000000-0005-0000-0000-00005E920000}"/>
    <cellStyle name="40% - Accent6 4 2 5 3 2" xfId="10959" xr:uid="{00000000-0005-0000-0000-00005F920000}"/>
    <cellStyle name="40% - Accent6 4 2 5 3 2 2" xfId="22260" xr:uid="{00000000-0005-0000-0000-000060920000}"/>
    <cellStyle name="40% - Accent6 4 2 5 3 2 2 2" xfId="44862" xr:uid="{00000000-0005-0000-0000-000061920000}"/>
    <cellStyle name="40% - Accent6 4 2 5 3 2 3" xfId="33561" xr:uid="{00000000-0005-0000-0000-000062920000}"/>
    <cellStyle name="40% - Accent6 4 2 5 3 3" xfId="16610" xr:uid="{00000000-0005-0000-0000-000063920000}"/>
    <cellStyle name="40% - Accent6 4 2 5 3 3 2" xfId="39212" xr:uid="{00000000-0005-0000-0000-000064920000}"/>
    <cellStyle name="40% - Accent6 4 2 5 3 4" xfId="27911" xr:uid="{00000000-0005-0000-0000-000065920000}"/>
    <cellStyle name="40% - Accent6 4 2 5 4" xfId="7908" xr:uid="{00000000-0005-0000-0000-000066920000}"/>
    <cellStyle name="40% - Accent6 4 2 5 4 2" xfId="19209" xr:uid="{00000000-0005-0000-0000-000067920000}"/>
    <cellStyle name="40% - Accent6 4 2 5 4 2 2" xfId="41811" xr:uid="{00000000-0005-0000-0000-000068920000}"/>
    <cellStyle name="40% - Accent6 4 2 5 4 3" xfId="30510" xr:uid="{00000000-0005-0000-0000-000069920000}"/>
    <cellStyle name="40% - Accent6 4 2 5 5" xfId="13559" xr:uid="{00000000-0005-0000-0000-00006A920000}"/>
    <cellStyle name="40% - Accent6 4 2 5 5 2" xfId="36161" xr:uid="{00000000-0005-0000-0000-00006B920000}"/>
    <cellStyle name="40% - Accent6 4 2 5 6" xfId="24860" xr:uid="{00000000-0005-0000-0000-00006C920000}"/>
    <cellStyle name="40% - Accent6 4 2 6" xfId="2288" xr:uid="{00000000-0005-0000-0000-00006D920000}"/>
    <cellStyle name="40% - Accent6 4 2 6 2" xfId="8124" xr:uid="{00000000-0005-0000-0000-00006E920000}"/>
    <cellStyle name="40% - Accent6 4 2 6 2 2" xfId="19425" xr:uid="{00000000-0005-0000-0000-00006F920000}"/>
    <cellStyle name="40% - Accent6 4 2 6 2 2 2" xfId="42027" xr:uid="{00000000-0005-0000-0000-000070920000}"/>
    <cellStyle name="40% - Accent6 4 2 6 2 3" xfId="30726" xr:uid="{00000000-0005-0000-0000-000071920000}"/>
    <cellStyle name="40% - Accent6 4 2 6 3" xfId="13775" xr:uid="{00000000-0005-0000-0000-000072920000}"/>
    <cellStyle name="40% - Accent6 4 2 6 3 2" xfId="36377" xr:uid="{00000000-0005-0000-0000-000073920000}"/>
    <cellStyle name="40% - Accent6 4 2 6 4" xfId="25076" xr:uid="{00000000-0005-0000-0000-000074920000}"/>
    <cellStyle name="40% - Accent6 4 2 7" xfId="4075" xr:uid="{00000000-0005-0000-0000-000075920000}"/>
    <cellStyle name="40% - Accent6 4 2 7 2" xfId="9725" xr:uid="{00000000-0005-0000-0000-000076920000}"/>
    <cellStyle name="40% - Accent6 4 2 7 2 2" xfId="21026" xr:uid="{00000000-0005-0000-0000-000077920000}"/>
    <cellStyle name="40% - Accent6 4 2 7 2 2 2" xfId="43628" xr:uid="{00000000-0005-0000-0000-000078920000}"/>
    <cellStyle name="40% - Accent6 4 2 7 2 3" xfId="32327" xr:uid="{00000000-0005-0000-0000-000079920000}"/>
    <cellStyle name="40% - Accent6 4 2 7 3" xfId="15376" xr:uid="{00000000-0005-0000-0000-00007A920000}"/>
    <cellStyle name="40% - Accent6 4 2 7 3 2" xfId="37978" xr:uid="{00000000-0005-0000-0000-00007B920000}"/>
    <cellStyle name="40% - Accent6 4 2 7 4" xfId="26677" xr:uid="{00000000-0005-0000-0000-00007C920000}"/>
    <cellStyle name="40% - Accent6 4 2 8" xfId="6526" xr:uid="{00000000-0005-0000-0000-00007D920000}"/>
    <cellStyle name="40% - Accent6 4 2 8 2" xfId="17827" xr:uid="{00000000-0005-0000-0000-00007E920000}"/>
    <cellStyle name="40% - Accent6 4 2 8 2 2" xfId="40429" xr:uid="{00000000-0005-0000-0000-00007F920000}"/>
    <cellStyle name="40% - Accent6 4 2 8 3" xfId="29128" xr:uid="{00000000-0005-0000-0000-000080920000}"/>
    <cellStyle name="40% - Accent6 4 2 9" xfId="12177" xr:uid="{00000000-0005-0000-0000-000081920000}"/>
    <cellStyle name="40% - Accent6 4 2 9 2" xfId="34779" xr:uid="{00000000-0005-0000-0000-000082920000}"/>
    <cellStyle name="40% - Accent6 4 3" xfId="432" xr:uid="{00000000-0005-0000-0000-000083920000}"/>
    <cellStyle name="40% - Accent6 4 3 10" xfId="23527" xr:uid="{00000000-0005-0000-0000-000084920000}"/>
    <cellStyle name="40% - Accent6 4 3 2" xfId="677" xr:uid="{00000000-0005-0000-0000-000085920000}"/>
    <cellStyle name="40% - Accent6 4 3 2 2" xfId="1387" xr:uid="{00000000-0005-0000-0000-000086920000}"/>
    <cellStyle name="40% - Accent6 4 3 2 2 2" xfId="2058" xr:uid="{00000000-0005-0000-0000-000087920000}"/>
    <cellStyle name="40% - Accent6 4 3 2 2 2 2" xfId="3456" xr:uid="{00000000-0005-0000-0000-000088920000}"/>
    <cellStyle name="40% - Accent6 4 3 2 2 2 2 2" xfId="6428" xr:uid="{00000000-0005-0000-0000-000089920000}"/>
    <cellStyle name="40% - Accent6 4 3 2 2 2 2 2 2" xfId="12078" xr:uid="{00000000-0005-0000-0000-00008A920000}"/>
    <cellStyle name="40% - Accent6 4 3 2 2 2 2 2 2 2" xfId="23379" xr:uid="{00000000-0005-0000-0000-00008B920000}"/>
    <cellStyle name="40% - Accent6 4 3 2 2 2 2 2 2 2 2" xfId="45981" xr:uid="{00000000-0005-0000-0000-00008C920000}"/>
    <cellStyle name="40% - Accent6 4 3 2 2 2 2 2 2 3" xfId="34680" xr:uid="{00000000-0005-0000-0000-00008D920000}"/>
    <cellStyle name="40% - Accent6 4 3 2 2 2 2 2 3" xfId="17729" xr:uid="{00000000-0005-0000-0000-00008E920000}"/>
    <cellStyle name="40% - Accent6 4 3 2 2 2 2 2 3 2" xfId="40331" xr:uid="{00000000-0005-0000-0000-00008F920000}"/>
    <cellStyle name="40% - Accent6 4 3 2 2 2 2 2 4" xfId="29030" xr:uid="{00000000-0005-0000-0000-000090920000}"/>
    <cellStyle name="40% - Accent6 4 3 2 2 2 2 3" xfId="9246" xr:uid="{00000000-0005-0000-0000-000091920000}"/>
    <cellStyle name="40% - Accent6 4 3 2 2 2 2 3 2" xfId="20547" xr:uid="{00000000-0005-0000-0000-000092920000}"/>
    <cellStyle name="40% - Accent6 4 3 2 2 2 2 3 2 2" xfId="43149" xr:uid="{00000000-0005-0000-0000-000093920000}"/>
    <cellStyle name="40% - Accent6 4 3 2 2 2 2 3 3" xfId="31848" xr:uid="{00000000-0005-0000-0000-000094920000}"/>
    <cellStyle name="40% - Accent6 4 3 2 2 2 2 4" xfId="14897" xr:uid="{00000000-0005-0000-0000-000095920000}"/>
    <cellStyle name="40% - Accent6 4 3 2 2 2 2 4 2" xfId="37499" xr:uid="{00000000-0005-0000-0000-000096920000}"/>
    <cellStyle name="40% - Accent6 4 3 2 2 2 2 5" xfId="26198" xr:uid="{00000000-0005-0000-0000-000097920000}"/>
    <cellStyle name="40% - Accent6 4 3 2 2 2 3" xfId="5194" xr:uid="{00000000-0005-0000-0000-000098920000}"/>
    <cellStyle name="40% - Accent6 4 3 2 2 2 3 2" xfId="10844" xr:uid="{00000000-0005-0000-0000-000099920000}"/>
    <cellStyle name="40% - Accent6 4 3 2 2 2 3 2 2" xfId="22145" xr:uid="{00000000-0005-0000-0000-00009A920000}"/>
    <cellStyle name="40% - Accent6 4 3 2 2 2 3 2 2 2" xfId="44747" xr:uid="{00000000-0005-0000-0000-00009B920000}"/>
    <cellStyle name="40% - Accent6 4 3 2 2 2 3 2 3" xfId="33446" xr:uid="{00000000-0005-0000-0000-00009C920000}"/>
    <cellStyle name="40% - Accent6 4 3 2 2 2 3 3" xfId="16495" xr:uid="{00000000-0005-0000-0000-00009D920000}"/>
    <cellStyle name="40% - Accent6 4 3 2 2 2 3 3 2" xfId="39097" xr:uid="{00000000-0005-0000-0000-00009E920000}"/>
    <cellStyle name="40% - Accent6 4 3 2 2 2 3 4" xfId="27796" xr:uid="{00000000-0005-0000-0000-00009F920000}"/>
    <cellStyle name="40% - Accent6 4 3 2 2 2 4" xfId="7914" xr:uid="{00000000-0005-0000-0000-0000A0920000}"/>
    <cellStyle name="40% - Accent6 4 3 2 2 2 4 2" xfId="19215" xr:uid="{00000000-0005-0000-0000-0000A1920000}"/>
    <cellStyle name="40% - Accent6 4 3 2 2 2 4 2 2" xfId="41817" xr:uid="{00000000-0005-0000-0000-0000A2920000}"/>
    <cellStyle name="40% - Accent6 4 3 2 2 2 4 3" xfId="30516" xr:uid="{00000000-0005-0000-0000-0000A3920000}"/>
    <cellStyle name="40% - Accent6 4 3 2 2 2 5" xfId="13565" xr:uid="{00000000-0005-0000-0000-0000A4920000}"/>
    <cellStyle name="40% - Accent6 4 3 2 2 2 5 2" xfId="36167" xr:uid="{00000000-0005-0000-0000-0000A5920000}"/>
    <cellStyle name="40% - Accent6 4 3 2 2 2 6" xfId="24866" xr:uid="{00000000-0005-0000-0000-0000A6920000}"/>
    <cellStyle name="40% - Accent6 4 3 2 2 3" xfId="2785" xr:uid="{00000000-0005-0000-0000-0000A7920000}"/>
    <cellStyle name="40% - Accent6 4 3 2 2 3 2" xfId="5804" xr:uid="{00000000-0005-0000-0000-0000A8920000}"/>
    <cellStyle name="40% - Accent6 4 3 2 2 3 2 2" xfId="11454" xr:uid="{00000000-0005-0000-0000-0000A9920000}"/>
    <cellStyle name="40% - Accent6 4 3 2 2 3 2 2 2" xfId="22755" xr:uid="{00000000-0005-0000-0000-0000AA920000}"/>
    <cellStyle name="40% - Accent6 4 3 2 2 3 2 2 2 2" xfId="45357" xr:uid="{00000000-0005-0000-0000-0000AB920000}"/>
    <cellStyle name="40% - Accent6 4 3 2 2 3 2 2 3" xfId="34056" xr:uid="{00000000-0005-0000-0000-0000AC920000}"/>
    <cellStyle name="40% - Accent6 4 3 2 2 3 2 3" xfId="17105" xr:uid="{00000000-0005-0000-0000-0000AD920000}"/>
    <cellStyle name="40% - Accent6 4 3 2 2 3 2 3 2" xfId="39707" xr:uid="{00000000-0005-0000-0000-0000AE920000}"/>
    <cellStyle name="40% - Accent6 4 3 2 2 3 2 4" xfId="28406" xr:uid="{00000000-0005-0000-0000-0000AF920000}"/>
    <cellStyle name="40% - Accent6 4 3 2 2 3 3" xfId="8621" xr:uid="{00000000-0005-0000-0000-0000B0920000}"/>
    <cellStyle name="40% - Accent6 4 3 2 2 3 3 2" xfId="19922" xr:uid="{00000000-0005-0000-0000-0000B1920000}"/>
    <cellStyle name="40% - Accent6 4 3 2 2 3 3 2 2" xfId="42524" xr:uid="{00000000-0005-0000-0000-0000B2920000}"/>
    <cellStyle name="40% - Accent6 4 3 2 2 3 3 3" xfId="31223" xr:uid="{00000000-0005-0000-0000-0000B3920000}"/>
    <cellStyle name="40% - Accent6 4 3 2 2 3 4" xfId="14272" xr:uid="{00000000-0005-0000-0000-0000B4920000}"/>
    <cellStyle name="40% - Accent6 4 3 2 2 3 4 2" xfId="36874" xr:uid="{00000000-0005-0000-0000-0000B5920000}"/>
    <cellStyle name="40% - Accent6 4 3 2 2 3 5" xfId="25573" xr:uid="{00000000-0005-0000-0000-0000B6920000}"/>
    <cellStyle name="40% - Accent6 4 3 2 2 4" xfId="4570" xr:uid="{00000000-0005-0000-0000-0000B7920000}"/>
    <cellStyle name="40% - Accent6 4 3 2 2 4 2" xfId="10220" xr:uid="{00000000-0005-0000-0000-0000B8920000}"/>
    <cellStyle name="40% - Accent6 4 3 2 2 4 2 2" xfId="21521" xr:uid="{00000000-0005-0000-0000-0000B9920000}"/>
    <cellStyle name="40% - Accent6 4 3 2 2 4 2 2 2" xfId="44123" xr:uid="{00000000-0005-0000-0000-0000BA920000}"/>
    <cellStyle name="40% - Accent6 4 3 2 2 4 2 3" xfId="32822" xr:uid="{00000000-0005-0000-0000-0000BB920000}"/>
    <cellStyle name="40% - Accent6 4 3 2 2 4 3" xfId="15871" xr:uid="{00000000-0005-0000-0000-0000BC920000}"/>
    <cellStyle name="40% - Accent6 4 3 2 2 4 3 2" xfId="38473" xr:uid="{00000000-0005-0000-0000-0000BD920000}"/>
    <cellStyle name="40% - Accent6 4 3 2 2 4 4" xfId="27172" xr:uid="{00000000-0005-0000-0000-0000BE920000}"/>
    <cellStyle name="40% - Accent6 4 3 2 2 5" xfId="7366" xr:uid="{00000000-0005-0000-0000-0000BF920000}"/>
    <cellStyle name="40% - Accent6 4 3 2 2 5 2" xfId="18667" xr:uid="{00000000-0005-0000-0000-0000C0920000}"/>
    <cellStyle name="40% - Accent6 4 3 2 2 5 2 2" xfId="41269" xr:uid="{00000000-0005-0000-0000-0000C1920000}"/>
    <cellStyle name="40% - Accent6 4 3 2 2 5 3" xfId="29968" xr:uid="{00000000-0005-0000-0000-0000C2920000}"/>
    <cellStyle name="40% - Accent6 4 3 2 2 6" xfId="13017" xr:uid="{00000000-0005-0000-0000-0000C3920000}"/>
    <cellStyle name="40% - Accent6 4 3 2 2 6 2" xfId="35619" xr:uid="{00000000-0005-0000-0000-0000C4920000}"/>
    <cellStyle name="40% - Accent6 4 3 2 2 7" xfId="24318" xr:uid="{00000000-0005-0000-0000-0000C5920000}"/>
    <cellStyle name="40% - Accent6 4 3 2 3" xfId="1085" xr:uid="{00000000-0005-0000-0000-0000C6920000}"/>
    <cellStyle name="40% - Accent6 4 3 2 3 2" xfId="3148" xr:uid="{00000000-0005-0000-0000-0000C7920000}"/>
    <cellStyle name="40% - Accent6 4 3 2 3 2 2" xfId="6120" xr:uid="{00000000-0005-0000-0000-0000C8920000}"/>
    <cellStyle name="40% - Accent6 4 3 2 3 2 2 2" xfId="11770" xr:uid="{00000000-0005-0000-0000-0000C9920000}"/>
    <cellStyle name="40% - Accent6 4 3 2 3 2 2 2 2" xfId="23071" xr:uid="{00000000-0005-0000-0000-0000CA920000}"/>
    <cellStyle name="40% - Accent6 4 3 2 3 2 2 2 2 2" xfId="45673" xr:uid="{00000000-0005-0000-0000-0000CB920000}"/>
    <cellStyle name="40% - Accent6 4 3 2 3 2 2 2 3" xfId="34372" xr:uid="{00000000-0005-0000-0000-0000CC920000}"/>
    <cellStyle name="40% - Accent6 4 3 2 3 2 2 3" xfId="17421" xr:uid="{00000000-0005-0000-0000-0000CD920000}"/>
    <cellStyle name="40% - Accent6 4 3 2 3 2 2 3 2" xfId="40023" xr:uid="{00000000-0005-0000-0000-0000CE920000}"/>
    <cellStyle name="40% - Accent6 4 3 2 3 2 2 4" xfId="28722" xr:uid="{00000000-0005-0000-0000-0000CF920000}"/>
    <cellStyle name="40% - Accent6 4 3 2 3 2 3" xfId="8938" xr:uid="{00000000-0005-0000-0000-0000D0920000}"/>
    <cellStyle name="40% - Accent6 4 3 2 3 2 3 2" xfId="20239" xr:uid="{00000000-0005-0000-0000-0000D1920000}"/>
    <cellStyle name="40% - Accent6 4 3 2 3 2 3 2 2" xfId="42841" xr:uid="{00000000-0005-0000-0000-0000D2920000}"/>
    <cellStyle name="40% - Accent6 4 3 2 3 2 3 3" xfId="31540" xr:uid="{00000000-0005-0000-0000-0000D3920000}"/>
    <cellStyle name="40% - Accent6 4 3 2 3 2 4" xfId="14589" xr:uid="{00000000-0005-0000-0000-0000D4920000}"/>
    <cellStyle name="40% - Accent6 4 3 2 3 2 4 2" xfId="37191" xr:uid="{00000000-0005-0000-0000-0000D5920000}"/>
    <cellStyle name="40% - Accent6 4 3 2 3 2 5" xfId="25890" xr:uid="{00000000-0005-0000-0000-0000D6920000}"/>
    <cellStyle name="40% - Accent6 4 3 2 3 3" xfId="4886" xr:uid="{00000000-0005-0000-0000-0000D7920000}"/>
    <cellStyle name="40% - Accent6 4 3 2 3 3 2" xfId="10536" xr:uid="{00000000-0005-0000-0000-0000D8920000}"/>
    <cellStyle name="40% - Accent6 4 3 2 3 3 2 2" xfId="21837" xr:uid="{00000000-0005-0000-0000-0000D9920000}"/>
    <cellStyle name="40% - Accent6 4 3 2 3 3 2 2 2" xfId="44439" xr:uid="{00000000-0005-0000-0000-0000DA920000}"/>
    <cellStyle name="40% - Accent6 4 3 2 3 3 2 3" xfId="33138" xr:uid="{00000000-0005-0000-0000-0000DB920000}"/>
    <cellStyle name="40% - Accent6 4 3 2 3 3 3" xfId="16187" xr:uid="{00000000-0005-0000-0000-0000DC920000}"/>
    <cellStyle name="40% - Accent6 4 3 2 3 3 3 2" xfId="38789" xr:uid="{00000000-0005-0000-0000-0000DD920000}"/>
    <cellStyle name="40% - Accent6 4 3 2 3 3 4" xfId="27488" xr:uid="{00000000-0005-0000-0000-0000DE920000}"/>
    <cellStyle name="40% - Accent6 4 3 2 3 4" xfId="7073" xr:uid="{00000000-0005-0000-0000-0000DF920000}"/>
    <cellStyle name="40% - Accent6 4 3 2 3 4 2" xfId="18374" xr:uid="{00000000-0005-0000-0000-0000E0920000}"/>
    <cellStyle name="40% - Accent6 4 3 2 3 4 2 2" xfId="40976" xr:uid="{00000000-0005-0000-0000-0000E1920000}"/>
    <cellStyle name="40% - Accent6 4 3 2 3 4 3" xfId="29675" xr:uid="{00000000-0005-0000-0000-0000E2920000}"/>
    <cellStyle name="40% - Accent6 4 3 2 3 5" xfId="12724" xr:uid="{00000000-0005-0000-0000-0000E3920000}"/>
    <cellStyle name="40% - Accent6 4 3 2 3 5 2" xfId="35326" xr:uid="{00000000-0005-0000-0000-0000E4920000}"/>
    <cellStyle name="40% - Accent6 4 3 2 3 6" xfId="24025" xr:uid="{00000000-0005-0000-0000-0000E5920000}"/>
    <cellStyle name="40% - Accent6 4 3 2 4" xfId="2057" xr:uid="{00000000-0005-0000-0000-0000E6920000}"/>
    <cellStyle name="40% - Accent6 4 3 2 4 2" xfId="3835" xr:uid="{00000000-0005-0000-0000-0000E7920000}"/>
    <cellStyle name="40% - Accent6 4 3 2 4 2 2" xfId="9543" xr:uid="{00000000-0005-0000-0000-0000E8920000}"/>
    <cellStyle name="40% - Accent6 4 3 2 4 2 2 2" xfId="20844" xr:uid="{00000000-0005-0000-0000-0000E9920000}"/>
    <cellStyle name="40% - Accent6 4 3 2 4 2 2 2 2" xfId="43446" xr:uid="{00000000-0005-0000-0000-0000EA920000}"/>
    <cellStyle name="40% - Accent6 4 3 2 4 2 2 3" xfId="32145" xr:uid="{00000000-0005-0000-0000-0000EB920000}"/>
    <cellStyle name="40% - Accent6 4 3 2 4 2 3" xfId="15194" xr:uid="{00000000-0005-0000-0000-0000EC920000}"/>
    <cellStyle name="40% - Accent6 4 3 2 4 2 3 2" xfId="37796" xr:uid="{00000000-0005-0000-0000-0000ED920000}"/>
    <cellStyle name="40% - Accent6 4 3 2 4 2 4" xfId="26495" xr:uid="{00000000-0005-0000-0000-0000EE920000}"/>
    <cellStyle name="40% - Accent6 4 3 2 4 3" xfId="5496" xr:uid="{00000000-0005-0000-0000-0000EF920000}"/>
    <cellStyle name="40% - Accent6 4 3 2 4 3 2" xfId="11146" xr:uid="{00000000-0005-0000-0000-0000F0920000}"/>
    <cellStyle name="40% - Accent6 4 3 2 4 3 2 2" xfId="22447" xr:uid="{00000000-0005-0000-0000-0000F1920000}"/>
    <cellStyle name="40% - Accent6 4 3 2 4 3 2 2 2" xfId="45049" xr:uid="{00000000-0005-0000-0000-0000F2920000}"/>
    <cellStyle name="40% - Accent6 4 3 2 4 3 2 3" xfId="33748" xr:uid="{00000000-0005-0000-0000-0000F3920000}"/>
    <cellStyle name="40% - Accent6 4 3 2 4 3 3" xfId="16797" xr:uid="{00000000-0005-0000-0000-0000F4920000}"/>
    <cellStyle name="40% - Accent6 4 3 2 4 3 3 2" xfId="39399" xr:uid="{00000000-0005-0000-0000-0000F5920000}"/>
    <cellStyle name="40% - Accent6 4 3 2 4 3 4" xfId="28098" xr:uid="{00000000-0005-0000-0000-0000F6920000}"/>
    <cellStyle name="40% - Accent6 4 3 2 4 4" xfId="7913" xr:uid="{00000000-0005-0000-0000-0000F7920000}"/>
    <cellStyle name="40% - Accent6 4 3 2 4 4 2" xfId="19214" xr:uid="{00000000-0005-0000-0000-0000F8920000}"/>
    <cellStyle name="40% - Accent6 4 3 2 4 4 2 2" xfId="41816" xr:uid="{00000000-0005-0000-0000-0000F9920000}"/>
    <cellStyle name="40% - Accent6 4 3 2 4 4 3" xfId="30515" xr:uid="{00000000-0005-0000-0000-0000FA920000}"/>
    <cellStyle name="40% - Accent6 4 3 2 4 5" xfId="13564" xr:uid="{00000000-0005-0000-0000-0000FB920000}"/>
    <cellStyle name="40% - Accent6 4 3 2 4 5 2" xfId="36166" xr:uid="{00000000-0005-0000-0000-0000FC920000}"/>
    <cellStyle name="40% - Accent6 4 3 2 4 6" xfId="24865" xr:uid="{00000000-0005-0000-0000-0000FD920000}"/>
    <cellStyle name="40% - Accent6 4 3 2 5" xfId="2477" xr:uid="{00000000-0005-0000-0000-0000FE920000}"/>
    <cellStyle name="40% - Accent6 4 3 2 5 2" xfId="8313" xr:uid="{00000000-0005-0000-0000-0000FF920000}"/>
    <cellStyle name="40% - Accent6 4 3 2 5 2 2" xfId="19614" xr:uid="{00000000-0005-0000-0000-000000930000}"/>
    <cellStyle name="40% - Accent6 4 3 2 5 2 2 2" xfId="42216" xr:uid="{00000000-0005-0000-0000-000001930000}"/>
    <cellStyle name="40% - Accent6 4 3 2 5 2 3" xfId="30915" xr:uid="{00000000-0005-0000-0000-000002930000}"/>
    <cellStyle name="40% - Accent6 4 3 2 5 3" xfId="13964" xr:uid="{00000000-0005-0000-0000-000003930000}"/>
    <cellStyle name="40% - Accent6 4 3 2 5 3 2" xfId="36566" xr:uid="{00000000-0005-0000-0000-000004930000}"/>
    <cellStyle name="40% - Accent6 4 3 2 5 4" xfId="25265" xr:uid="{00000000-0005-0000-0000-000005930000}"/>
    <cellStyle name="40% - Accent6 4 3 2 6" xfId="4262" xr:uid="{00000000-0005-0000-0000-000006930000}"/>
    <cellStyle name="40% - Accent6 4 3 2 6 2" xfId="9912" xr:uid="{00000000-0005-0000-0000-000007930000}"/>
    <cellStyle name="40% - Accent6 4 3 2 6 2 2" xfId="21213" xr:uid="{00000000-0005-0000-0000-000008930000}"/>
    <cellStyle name="40% - Accent6 4 3 2 6 2 2 2" xfId="43815" xr:uid="{00000000-0005-0000-0000-000009930000}"/>
    <cellStyle name="40% - Accent6 4 3 2 6 2 3" xfId="32514" xr:uid="{00000000-0005-0000-0000-00000A930000}"/>
    <cellStyle name="40% - Accent6 4 3 2 6 3" xfId="15563" xr:uid="{00000000-0005-0000-0000-00000B930000}"/>
    <cellStyle name="40% - Accent6 4 3 2 6 3 2" xfId="38165" xr:uid="{00000000-0005-0000-0000-00000C930000}"/>
    <cellStyle name="40% - Accent6 4 3 2 6 4" xfId="26864" xr:uid="{00000000-0005-0000-0000-00000D930000}"/>
    <cellStyle name="40% - Accent6 4 3 2 7" xfId="6742" xr:uid="{00000000-0005-0000-0000-00000E930000}"/>
    <cellStyle name="40% - Accent6 4 3 2 7 2" xfId="18043" xr:uid="{00000000-0005-0000-0000-00000F930000}"/>
    <cellStyle name="40% - Accent6 4 3 2 7 2 2" xfId="40645" xr:uid="{00000000-0005-0000-0000-000010930000}"/>
    <cellStyle name="40% - Accent6 4 3 2 7 3" xfId="29344" xr:uid="{00000000-0005-0000-0000-000011930000}"/>
    <cellStyle name="40% - Accent6 4 3 2 8" xfId="12393" xr:uid="{00000000-0005-0000-0000-000012930000}"/>
    <cellStyle name="40% - Accent6 4 3 2 8 2" xfId="34995" xr:uid="{00000000-0005-0000-0000-000013930000}"/>
    <cellStyle name="40% - Accent6 4 3 2 9" xfId="23694" xr:uid="{00000000-0005-0000-0000-000014930000}"/>
    <cellStyle name="40% - Accent6 4 3 3" xfId="1249" xr:uid="{00000000-0005-0000-0000-000015930000}"/>
    <cellStyle name="40% - Accent6 4 3 3 2" xfId="2059" xr:uid="{00000000-0005-0000-0000-000016930000}"/>
    <cellStyle name="40% - Accent6 4 3 3 2 2" xfId="3317" xr:uid="{00000000-0005-0000-0000-000017930000}"/>
    <cellStyle name="40% - Accent6 4 3 3 2 2 2" xfId="6289" xr:uid="{00000000-0005-0000-0000-000018930000}"/>
    <cellStyle name="40% - Accent6 4 3 3 2 2 2 2" xfId="11939" xr:uid="{00000000-0005-0000-0000-000019930000}"/>
    <cellStyle name="40% - Accent6 4 3 3 2 2 2 2 2" xfId="23240" xr:uid="{00000000-0005-0000-0000-00001A930000}"/>
    <cellStyle name="40% - Accent6 4 3 3 2 2 2 2 2 2" xfId="45842" xr:uid="{00000000-0005-0000-0000-00001B930000}"/>
    <cellStyle name="40% - Accent6 4 3 3 2 2 2 2 3" xfId="34541" xr:uid="{00000000-0005-0000-0000-00001C930000}"/>
    <cellStyle name="40% - Accent6 4 3 3 2 2 2 3" xfId="17590" xr:uid="{00000000-0005-0000-0000-00001D930000}"/>
    <cellStyle name="40% - Accent6 4 3 3 2 2 2 3 2" xfId="40192" xr:uid="{00000000-0005-0000-0000-00001E930000}"/>
    <cellStyle name="40% - Accent6 4 3 3 2 2 2 4" xfId="28891" xr:uid="{00000000-0005-0000-0000-00001F930000}"/>
    <cellStyle name="40% - Accent6 4 3 3 2 2 3" xfId="9107" xr:uid="{00000000-0005-0000-0000-000020930000}"/>
    <cellStyle name="40% - Accent6 4 3 3 2 2 3 2" xfId="20408" xr:uid="{00000000-0005-0000-0000-000021930000}"/>
    <cellStyle name="40% - Accent6 4 3 3 2 2 3 2 2" xfId="43010" xr:uid="{00000000-0005-0000-0000-000022930000}"/>
    <cellStyle name="40% - Accent6 4 3 3 2 2 3 3" xfId="31709" xr:uid="{00000000-0005-0000-0000-000023930000}"/>
    <cellStyle name="40% - Accent6 4 3 3 2 2 4" xfId="14758" xr:uid="{00000000-0005-0000-0000-000024930000}"/>
    <cellStyle name="40% - Accent6 4 3 3 2 2 4 2" xfId="37360" xr:uid="{00000000-0005-0000-0000-000025930000}"/>
    <cellStyle name="40% - Accent6 4 3 3 2 2 5" xfId="26059" xr:uid="{00000000-0005-0000-0000-000026930000}"/>
    <cellStyle name="40% - Accent6 4 3 3 2 3" xfId="5055" xr:uid="{00000000-0005-0000-0000-000027930000}"/>
    <cellStyle name="40% - Accent6 4 3 3 2 3 2" xfId="10705" xr:uid="{00000000-0005-0000-0000-000028930000}"/>
    <cellStyle name="40% - Accent6 4 3 3 2 3 2 2" xfId="22006" xr:uid="{00000000-0005-0000-0000-000029930000}"/>
    <cellStyle name="40% - Accent6 4 3 3 2 3 2 2 2" xfId="44608" xr:uid="{00000000-0005-0000-0000-00002A930000}"/>
    <cellStyle name="40% - Accent6 4 3 3 2 3 2 3" xfId="33307" xr:uid="{00000000-0005-0000-0000-00002B930000}"/>
    <cellStyle name="40% - Accent6 4 3 3 2 3 3" xfId="16356" xr:uid="{00000000-0005-0000-0000-00002C930000}"/>
    <cellStyle name="40% - Accent6 4 3 3 2 3 3 2" xfId="38958" xr:uid="{00000000-0005-0000-0000-00002D930000}"/>
    <cellStyle name="40% - Accent6 4 3 3 2 3 4" xfId="27657" xr:uid="{00000000-0005-0000-0000-00002E930000}"/>
    <cellStyle name="40% - Accent6 4 3 3 2 4" xfId="7915" xr:uid="{00000000-0005-0000-0000-00002F930000}"/>
    <cellStyle name="40% - Accent6 4 3 3 2 4 2" xfId="19216" xr:uid="{00000000-0005-0000-0000-000030930000}"/>
    <cellStyle name="40% - Accent6 4 3 3 2 4 2 2" xfId="41818" xr:uid="{00000000-0005-0000-0000-000031930000}"/>
    <cellStyle name="40% - Accent6 4 3 3 2 4 3" xfId="30517" xr:uid="{00000000-0005-0000-0000-000032930000}"/>
    <cellStyle name="40% - Accent6 4 3 3 2 5" xfId="13566" xr:uid="{00000000-0005-0000-0000-000033930000}"/>
    <cellStyle name="40% - Accent6 4 3 3 2 5 2" xfId="36168" xr:uid="{00000000-0005-0000-0000-000034930000}"/>
    <cellStyle name="40% - Accent6 4 3 3 2 6" xfId="24867" xr:uid="{00000000-0005-0000-0000-000035930000}"/>
    <cellStyle name="40% - Accent6 4 3 3 3" xfId="2646" xr:uid="{00000000-0005-0000-0000-000036930000}"/>
    <cellStyle name="40% - Accent6 4 3 3 3 2" xfId="5665" xr:uid="{00000000-0005-0000-0000-000037930000}"/>
    <cellStyle name="40% - Accent6 4 3 3 3 2 2" xfId="11315" xr:uid="{00000000-0005-0000-0000-000038930000}"/>
    <cellStyle name="40% - Accent6 4 3 3 3 2 2 2" xfId="22616" xr:uid="{00000000-0005-0000-0000-000039930000}"/>
    <cellStyle name="40% - Accent6 4 3 3 3 2 2 2 2" xfId="45218" xr:uid="{00000000-0005-0000-0000-00003A930000}"/>
    <cellStyle name="40% - Accent6 4 3 3 3 2 2 3" xfId="33917" xr:uid="{00000000-0005-0000-0000-00003B930000}"/>
    <cellStyle name="40% - Accent6 4 3 3 3 2 3" xfId="16966" xr:uid="{00000000-0005-0000-0000-00003C930000}"/>
    <cellStyle name="40% - Accent6 4 3 3 3 2 3 2" xfId="39568" xr:uid="{00000000-0005-0000-0000-00003D930000}"/>
    <cellStyle name="40% - Accent6 4 3 3 3 2 4" xfId="28267" xr:uid="{00000000-0005-0000-0000-00003E930000}"/>
    <cellStyle name="40% - Accent6 4 3 3 3 3" xfId="8482" xr:uid="{00000000-0005-0000-0000-00003F930000}"/>
    <cellStyle name="40% - Accent6 4 3 3 3 3 2" xfId="19783" xr:uid="{00000000-0005-0000-0000-000040930000}"/>
    <cellStyle name="40% - Accent6 4 3 3 3 3 2 2" xfId="42385" xr:uid="{00000000-0005-0000-0000-000041930000}"/>
    <cellStyle name="40% - Accent6 4 3 3 3 3 3" xfId="31084" xr:uid="{00000000-0005-0000-0000-000042930000}"/>
    <cellStyle name="40% - Accent6 4 3 3 3 4" xfId="14133" xr:uid="{00000000-0005-0000-0000-000043930000}"/>
    <cellStyle name="40% - Accent6 4 3 3 3 4 2" xfId="36735" xr:uid="{00000000-0005-0000-0000-000044930000}"/>
    <cellStyle name="40% - Accent6 4 3 3 3 5" xfId="25434" xr:uid="{00000000-0005-0000-0000-000045930000}"/>
    <cellStyle name="40% - Accent6 4 3 3 4" xfId="4431" xr:uid="{00000000-0005-0000-0000-000046930000}"/>
    <cellStyle name="40% - Accent6 4 3 3 4 2" xfId="10081" xr:uid="{00000000-0005-0000-0000-000047930000}"/>
    <cellStyle name="40% - Accent6 4 3 3 4 2 2" xfId="21382" xr:uid="{00000000-0005-0000-0000-000048930000}"/>
    <cellStyle name="40% - Accent6 4 3 3 4 2 2 2" xfId="43984" xr:uid="{00000000-0005-0000-0000-000049930000}"/>
    <cellStyle name="40% - Accent6 4 3 3 4 2 3" xfId="32683" xr:uid="{00000000-0005-0000-0000-00004A930000}"/>
    <cellStyle name="40% - Accent6 4 3 3 4 3" xfId="15732" xr:uid="{00000000-0005-0000-0000-00004B930000}"/>
    <cellStyle name="40% - Accent6 4 3 3 4 3 2" xfId="38334" xr:uid="{00000000-0005-0000-0000-00004C930000}"/>
    <cellStyle name="40% - Accent6 4 3 3 4 4" xfId="27033" xr:uid="{00000000-0005-0000-0000-00004D930000}"/>
    <cellStyle name="40% - Accent6 4 3 3 5" xfId="7228" xr:uid="{00000000-0005-0000-0000-00004E930000}"/>
    <cellStyle name="40% - Accent6 4 3 3 5 2" xfId="18529" xr:uid="{00000000-0005-0000-0000-00004F930000}"/>
    <cellStyle name="40% - Accent6 4 3 3 5 2 2" xfId="41131" xr:uid="{00000000-0005-0000-0000-000050930000}"/>
    <cellStyle name="40% - Accent6 4 3 3 5 3" xfId="29830" xr:uid="{00000000-0005-0000-0000-000051930000}"/>
    <cellStyle name="40% - Accent6 4 3 3 6" xfId="12879" xr:uid="{00000000-0005-0000-0000-000052930000}"/>
    <cellStyle name="40% - Accent6 4 3 3 6 2" xfId="35481" xr:uid="{00000000-0005-0000-0000-000053930000}"/>
    <cellStyle name="40% - Accent6 4 3 3 7" xfId="24180" xr:uid="{00000000-0005-0000-0000-000054930000}"/>
    <cellStyle name="40% - Accent6 4 3 4" xfId="940" xr:uid="{00000000-0005-0000-0000-000055930000}"/>
    <cellStyle name="40% - Accent6 4 3 4 2" xfId="3010" xr:uid="{00000000-0005-0000-0000-000056930000}"/>
    <cellStyle name="40% - Accent6 4 3 4 2 2" xfId="5982" xr:uid="{00000000-0005-0000-0000-000057930000}"/>
    <cellStyle name="40% - Accent6 4 3 4 2 2 2" xfId="11632" xr:uid="{00000000-0005-0000-0000-000058930000}"/>
    <cellStyle name="40% - Accent6 4 3 4 2 2 2 2" xfId="22933" xr:uid="{00000000-0005-0000-0000-000059930000}"/>
    <cellStyle name="40% - Accent6 4 3 4 2 2 2 2 2" xfId="45535" xr:uid="{00000000-0005-0000-0000-00005A930000}"/>
    <cellStyle name="40% - Accent6 4 3 4 2 2 2 3" xfId="34234" xr:uid="{00000000-0005-0000-0000-00005B930000}"/>
    <cellStyle name="40% - Accent6 4 3 4 2 2 3" xfId="17283" xr:uid="{00000000-0005-0000-0000-00005C930000}"/>
    <cellStyle name="40% - Accent6 4 3 4 2 2 3 2" xfId="39885" xr:uid="{00000000-0005-0000-0000-00005D930000}"/>
    <cellStyle name="40% - Accent6 4 3 4 2 2 4" xfId="28584" xr:uid="{00000000-0005-0000-0000-00005E930000}"/>
    <cellStyle name="40% - Accent6 4 3 4 2 3" xfId="8800" xr:uid="{00000000-0005-0000-0000-00005F930000}"/>
    <cellStyle name="40% - Accent6 4 3 4 2 3 2" xfId="20101" xr:uid="{00000000-0005-0000-0000-000060930000}"/>
    <cellStyle name="40% - Accent6 4 3 4 2 3 2 2" xfId="42703" xr:uid="{00000000-0005-0000-0000-000061930000}"/>
    <cellStyle name="40% - Accent6 4 3 4 2 3 3" xfId="31402" xr:uid="{00000000-0005-0000-0000-000062930000}"/>
    <cellStyle name="40% - Accent6 4 3 4 2 4" xfId="14451" xr:uid="{00000000-0005-0000-0000-000063930000}"/>
    <cellStyle name="40% - Accent6 4 3 4 2 4 2" xfId="37053" xr:uid="{00000000-0005-0000-0000-000064930000}"/>
    <cellStyle name="40% - Accent6 4 3 4 2 5" xfId="25752" xr:uid="{00000000-0005-0000-0000-000065930000}"/>
    <cellStyle name="40% - Accent6 4 3 4 3" xfId="4748" xr:uid="{00000000-0005-0000-0000-000066930000}"/>
    <cellStyle name="40% - Accent6 4 3 4 3 2" xfId="10398" xr:uid="{00000000-0005-0000-0000-000067930000}"/>
    <cellStyle name="40% - Accent6 4 3 4 3 2 2" xfId="21699" xr:uid="{00000000-0005-0000-0000-000068930000}"/>
    <cellStyle name="40% - Accent6 4 3 4 3 2 2 2" xfId="44301" xr:uid="{00000000-0005-0000-0000-000069930000}"/>
    <cellStyle name="40% - Accent6 4 3 4 3 2 3" xfId="33000" xr:uid="{00000000-0005-0000-0000-00006A930000}"/>
    <cellStyle name="40% - Accent6 4 3 4 3 3" xfId="16049" xr:uid="{00000000-0005-0000-0000-00006B930000}"/>
    <cellStyle name="40% - Accent6 4 3 4 3 3 2" xfId="38651" xr:uid="{00000000-0005-0000-0000-00006C930000}"/>
    <cellStyle name="40% - Accent6 4 3 4 3 4" xfId="27350" xr:uid="{00000000-0005-0000-0000-00006D930000}"/>
    <cellStyle name="40% - Accent6 4 3 4 4" xfId="6935" xr:uid="{00000000-0005-0000-0000-00006E930000}"/>
    <cellStyle name="40% - Accent6 4 3 4 4 2" xfId="18236" xr:uid="{00000000-0005-0000-0000-00006F930000}"/>
    <cellStyle name="40% - Accent6 4 3 4 4 2 2" xfId="40838" xr:uid="{00000000-0005-0000-0000-000070930000}"/>
    <cellStyle name="40% - Accent6 4 3 4 4 3" xfId="29537" xr:uid="{00000000-0005-0000-0000-000071930000}"/>
    <cellStyle name="40% - Accent6 4 3 4 5" xfId="12586" xr:uid="{00000000-0005-0000-0000-000072930000}"/>
    <cellStyle name="40% - Accent6 4 3 4 5 2" xfId="35188" xr:uid="{00000000-0005-0000-0000-000073930000}"/>
    <cellStyle name="40% - Accent6 4 3 4 6" xfId="23887" xr:uid="{00000000-0005-0000-0000-000074930000}"/>
    <cellStyle name="40% - Accent6 4 3 5" xfId="2056" xr:uid="{00000000-0005-0000-0000-000075930000}"/>
    <cellStyle name="40% - Accent6 4 3 5 2" xfId="3834" xr:uid="{00000000-0005-0000-0000-000076930000}"/>
    <cellStyle name="40% - Accent6 4 3 5 2 2" xfId="9542" xr:uid="{00000000-0005-0000-0000-000077930000}"/>
    <cellStyle name="40% - Accent6 4 3 5 2 2 2" xfId="20843" xr:uid="{00000000-0005-0000-0000-000078930000}"/>
    <cellStyle name="40% - Accent6 4 3 5 2 2 2 2" xfId="43445" xr:uid="{00000000-0005-0000-0000-000079930000}"/>
    <cellStyle name="40% - Accent6 4 3 5 2 2 3" xfId="32144" xr:uid="{00000000-0005-0000-0000-00007A930000}"/>
    <cellStyle name="40% - Accent6 4 3 5 2 3" xfId="15193" xr:uid="{00000000-0005-0000-0000-00007B930000}"/>
    <cellStyle name="40% - Accent6 4 3 5 2 3 2" xfId="37795" xr:uid="{00000000-0005-0000-0000-00007C930000}"/>
    <cellStyle name="40% - Accent6 4 3 5 2 4" xfId="26494" xr:uid="{00000000-0005-0000-0000-00007D930000}"/>
    <cellStyle name="40% - Accent6 4 3 5 3" xfId="5358" xr:uid="{00000000-0005-0000-0000-00007E930000}"/>
    <cellStyle name="40% - Accent6 4 3 5 3 2" xfId="11008" xr:uid="{00000000-0005-0000-0000-00007F930000}"/>
    <cellStyle name="40% - Accent6 4 3 5 3 2 2" xfId="22309" xr:uid="{00000000-0005-0000-0000-000080930000}"/>
    <cellStyle name="40% - Accent6 4 3 5 3 2 2 2" xfId="44911" xr:uid="{00000000-0005-0000-0000-000081930000}"/>
    <cellStyle name="40% - Accent6 4 3 5 3 2 3" xfId="33610" xr:uid="{00000000-0005-0000-0000-000082930000}"/>
    <cellStyle name="40% - Accent6 4 3 5 3 3" xfId="16659" xr:uid="{00000000-0005-0000-0000-000083930000}"/>
    <cellStyle name="40% - Accent6 4 3 5 3 3 2" xfId="39261" xr:uid="{00000000-0005-0000-0000-000084930000}"/>
    <cellStyle name="40% - Accent6 4 3 5 3 4" xfId="27960" xr:uid="{00000000-0005-0000-0000-000085930000}"/>
    <cellStyle name="40% - Accent6 4 3 5 4" xfId="7912" xr:uid="{00000000-0005-0000-0000-000086930000}"/>
    <cellStyle name="40% - Accent6 4 3 5 4 2" xfId="19213" xr:uid="{00000000-0005-0000-0000-000087930000}"/>
    <cellStyle name="40% - Accent6 4 3 5 4 2 2" xfId="41815" xr:uid="{00000000-0005-0000-0000-000088930000}"/>
    <cellStyle name="40% - Accent6 4 3 5 4 3" xfId="30514" xr:uid="{00000000-0005-0000-0000-000089930000}"/>
    <cellStyle name="40% - Accent6 4 3 5 5" xfId="13563" xr:uid="{00000000-0005-0000-0000-00008A930000}"/>
    <cellStyle name="40% - Accent6 4 3 5 5 2" xfId="36165" xr:uid="{00000000-0005-0000-0000-00008B930000}"/>
    <cellStyle name="40% - Accent6 4 3 5 6" xfId="24864" xr:uid="{00000000-0005-0000-0000-00008C930000}"/>
    <cellStyle name="40% - Accent6 4 3 6" xfId="2337" xr:uid="{00000000-0005-0000-0000-00008D930000}"/>
    <cellStyle name="40% - Accent6 4 3 6 2" xfId="8173" xr:uid="{00000000-0005-0000-0000-00008E930000}"/>
    <cellStyle name="40% - Accent6 4 3 6 2 2" xfId="19474" xr:uid="{00000000-0005-0000-0000-00008F930000}"/>
    <cellStyle name="40% - Accent6 4 3 6 2 2 2" xfId="42076" xr:uid="{00000000-0005-0000-0000-000090930000}"/>
    <cellStyle name="40% - Accent6 4 3 6 2 3" xfId="30775" xr:uid="{00000000-0005-0000-0000-000091930000}"/>
    <cellStyle name="40% - Accent6 4 3 6 3" xfId="13824" xr:uid="{00000000-0005-0000-0000-000092930000}"/>
    <cellStyle name="40% - Accent6 4 3 6 3 2" xfId="36426" xr:uid="{00000000-0005-0000-0000-000093930000}"/>
    <cellStyle name="40% - Accent6 4 3 6 4" xfId="25125" xr:uid="{00000000-0005-0000-0000-000094930000}"/>
    <cellStyle name="40% - Accent6 4 3 7" xfId="4124" xr:uid="{00000000-0005-0000-0000-000095930000}"/>
    <cellStyle name="40% - Accent6 4 3 7 2" xfId="9774" xr:uid="{00000000-0005-0000-0000-000096930000}"/>
    <cellStyle name="40% - Accent6 4 3 7 2 2" xfId="21075" xr:uid="{00000000-0005-0000-0000-000097930000}"/>
    <cellStyle name="40% - Accent6 4 3 7 2 2 2" xfId="43677" xr:uid="{00000000-0005-0000-0000-000098930000}"/>
    <cellStyle name="40% - Accent6 4 3 7 2 3" xfId="32376" xr:uid="{00000000-0005-0000-0000-000099930000}"/>
    <cellStyle name="40% - Accent6 4 3 7 3" xfId="15425" xr:uid="{00000000-0005-0000-0000-00009A930000}"/>
    <cellStyle name="40% - Accent6 4 3 7 3 2" xfId="38027" xr:uid="{00000000-0005-0000-0000-00009B930000}"/>
    <cellStyle name="40% - Accent6 4 3 7 4" xfId="26726" xr:uid="{00000000-0005-0000-0000-00009C930000}"/>
    <cellStyle name="40% - Accent6 4 3 8" xfId="6575" xr:uid="{00000000-0005-0000-0000-00009D930000}"/>
    <cellStyle name="40% - Accent6 4 3 8 2" xfId="17876" xr:uid="{00000000-0005-0000-0000-00009E930000}"/>
    <cellStyle name="40% - Accent6 4 3 8 2 2" xfId="40478" xr:uid="{00000000-0005-0000-0000-00009F930000}"/>
    <cellStyle name="40% - Accent6 4 3 8 3" xfId="29177" xr:uid="{00000000-0005-0000-0000-0000A0930000}"/>
    <cellStyle name="40% - Accent6 4 3 9" xfId="12226" xr:uid="{00000000-0005-0000-0000-0000A1930000}"/>
    <cellStyle name="40% - Accent6 4 3 9 2" xfId="34828" xr:uid="{00000000-0005-0000-0000-0000A2930000}"/>
    <cellStyle name="40% - Accent6 4 4" xfId="579" xr:uid="{00000000-0005-0000-0000-0000A3930000}"/>
    <cellStyle name="40% - Accent6 4 4 2" xfId="1153" xr:uid="{00000000-0005-0000-0000-0000A4930000}"/>
    <cellStyle name="40% - Accent6 4 4 2 2" xfId="2061" xr:uid="{00000000-0005-0000-0000-0000A5930000}"/>
    <cellStyle name="40% - Accent6 4 4 2 2 2" xfId="3221" xr:uid="{00000000-0005-0000-0000-0000A6930000}"/>
    <cellStyle name="40% - Accent6 4 4 2 2 2 2" xfId="6193" xr:uid="{00000000-0005-0000-0000-0000A7930000}"/>
    <cellStyle name="40% - Accent6 4 4 2 2 2 2 2" xfId="11843" xr:uid="{00000000-0005-0000-0000-0000A8930000}"/>
    <cellStyle name="40% - Accent6 4 4 2 2 2 2 2 2" xfId="23144" xr:uid="{00000000-0005-0000-0000-0000A9930000}"/>
    <cellStyle name="40% - Accent6 4 4 2 2 2 2 2 2 2" xfId="45746" xr:uid="{00000000-0005-0000-0000-0000AA930000}"/>
    <cellStyle name="40% - Accent6 4 4 2 2 2 2 2 3" xfId="34445" xr:uid="{00000000-0005-0000-0000-0000AB930000}"/>
    <cellStyle name="40% - Accent6 4 4 2 2 2 2 3" xfId="17494" xr:uid="{00000000-0005-0000-0000-0000AC930000}"/>
    <cellStyle name="40% - Accent6 4 4 2 2 2 2 3 2" xfId="40096" xr:uid="{00000000-0005-0000-0000-0000AD930000}"/>
    <cellStyle name="40% - Accent6 4 4 2 2 2 2 4" xfId="28795" xr:uid="{00000000-0005-0000-0000-0000AE930000}"/>
    <cellStyle name="40% - Accent6 4 4 2 2 2 3" xfId="9011" xr:uid="{00000000-0005-0000-0000-0000AF930000}"/>
    <cellStyle name="40% - Accent6 4 4 2 2 2 3 2" xfId="20312" xr:uid="{00000000-0005-0000-0000-0000B0930000}"/>
    <cellStyle name="40% - Accent6 4 4 2 2 2 3 2 2" xfId="42914" xr:uid="{00000000-0005-0000-0000-0000B1930000}"/>
    <cellStyle name="40% - Accent6 4 4 2 2 2 3 3" xfId="31613" xr:uid="{00000000-0005-0000-0000-0000B2930000}"/>
    <cellStyle name="40% - Accent6 4 4 2 2 2 4" xfId="14662" xr:uid="{00000000-0005-0000-0000-0000B3930000}"/>
    <cellStyle name="40% - Accent6 4 4 2 2 2 4 2" xfId="37264" xr:uid="{00000000-0005-0000-0000-0000B4930000}"/>
    <cellStyle name="40% - Accent6 4 4 2 2 2 5" xfId="25963" xr:uid="{00000000-0005-0000-0000-0000B5930000}"/>
    <cellStyle name="40% - Accent6 4 4 2 2 3" xfId="4959" xr:uid="{00000000-0005-0000-0000-0000B6930000}"/>
    <cellStyle name="40% - Accent6 4 4 2 2 3 2" xfId="10609" xr:uid="{00000000-0005-0000-0000-0000B7930000}"/>
    <cellStyle name="40% - Accent6 4 4 2 2 3 2 2" xfId="21910" xr:uid="{00000000-0005-0000-0000-0000B8930000}"/>
    <cellStyle name="40% - Accent6 4 4 2 2 3 2 2 2" xfId="44512" xr:uid="{00000000-0005-0000-0000-0000B9930000}"/>
    <cellStyle name="40% - Accent6 4 4 2 2 3 2 3" xfId="33211" xr:uid="{00000000-0005-0000-0000-0000BA930000}"/>
    <cellStyle name="40% - Accent6 4 4 2 2 3 3" xfId="16260" xr:uid="{00000000-0005-0000-0000-0000BB930000}"/>
    <cellStyle name="40% - Accent6 4 4 2 2 3 3 2" xfId="38862" xr:uid="{00000000-0005-0000-0000-0000BC930000}"/>
    <cellStyle name="40% - Accent6 4 4 2 2 3 4" xfId="27561" xr:uid="{00000000-0005-0000-0000-0000BD930000}"/>
    <cellStyle name="40% - Accent6 4 4 2 2 4" xfId="7917" xr:uid="{00000000-0005-0000-0000-0000BE930000}"/>
    <cellStyle name="40% - Accent6 4 4 2 2 4 2" xfId="19218" xr:uid="{00000000-0005-0000-0000-0000BF930000}"/>
    <cellStyle name="40% - Accent6 4 4 2 2 4 2 2" xfId="41820" xr:uid="{00000000-0005-0000-0000-0000C0930000}"/>
    <cellStyle name="40% - Accent6 4 4 2 2 4 3" xfId="30519" xr:uid="{00000000-0005-0000-0000-0000C1930000}"/>
    <cellStyle name="40% - Accent6 4 4 2 2 5" xfId="13568" xr:uid="{00000000-0005-0000-0000-0000C2930000}"/>
    <cellStyle name="40% - Accent6 4 4 2 2 5 2" xfId="36170" xr:uid="{00000000-0005-0000-0000-0000C3930000}"/>
    <cellStyle name="40% - Accent6 4 4 2 2 6" xfId="24869" xr:uid="{00000000-0005-0000-0000-0000C4930000}"/>
    <cellStyle name="40% - Accent6 4 4 2 3" xfId="2550" xr:uid="{00000000-0005-0000-0000-0000C5930000}"/>
    <cellStyle name="40% - Accent6 4 4 2 3 2" xfId="5569" xr:uid="{00000000-0005-0000-0000-0000C6930000}"/>
    <cellStyle name="40% - Accent6 4 4 2 3 2 2" xfId="11219" xr:uid="{00000000-0005-0000-0000-0000C7930000}"/>
    <cellStyle name="40% - Accent6 4 4 2 3 2 2 2" xfId="22520" xr:uid="{00000000-0005-0000-0000-0000C8930000}"/>
    <cellStyle name="40% - Accent6 4 4 2 3 2 2 2 2" xfId="45122" xr:uid="{00000000-0005-0000-0000-0000C9930000}"/>
    <cellStyle name="40% - Accent6 4 4 2 3 2 2 3" xfId="33821" xr:uid="{00000000-0005-0000-0000-0000CA930000}"/>
    <cellStyle name="40% - Accent6 4 4 2 3 2 3" xfId="16870" xr:uid="{00000000-0005-0000-0000-0000CB930000}"/>
    <cellStyle name="40% - Accent6 4 4 2 3 2 3 2" xfId="39472" xr:uid="{00000000-0005-0000-0000-0000CC930000}"/>
    <cellStyle name="40% - Accent6 4 4 2 3 2 4" xfId="28171" xr:uid="{00000000-0005-0000-0000-0000CD930000}"/>
    <cellStyle name="40% - Accent6 4 4 2 3 3" xfId="8386" xr:uid="{00000000-0005-0000-0000-0000CE930000}"/>
    <cellStyle name="40% - Accent6 4 4 2 3 3 2" xfId="19687" xr:uid="{00000000-0005-0000-0000-0000CF930000}"/>
    <cellStyle name="40% - Accent6 4 4 2 3 3 2 2" xfId="42289" xr:uid="{00000000-0005-0000-0000-0000D0930000}"/>
    <cellStyle name="40% - Accent6 4 4 2 3 3 3" xfId="30988" xr:uid="{00000000-0005-0000-0000-0000D1930000}"/>
    <cellStyle name="40% - Accent6 4 4 2 3 4" xfId="14037" xr:uid="{00000000-0005-0000-0000-0000D2930000}"/>
    <cellStyle name="40% - Accent6 4 4 2 3 4 2" xfId="36639" xr:uid="{00000000-0005-0000-0000-0000D3930000}"/>
    <cellStyle name="40% - Accent6 4 4 2 3 5" xfId="25338" xr:uid="{00000000-0005-0000-0000-0000D4930000}"/>
    <cellStyle name="40% - Accent6 4 4 2 4" xfId="4335" xr:uid="{00000000-0005-0000-0000-0000D5930000}"/>
    <cellStyle name="40% - Accent6 4 4 2 4 2" xfId="9985" xr:uid="{00000000-0005-0000-0000-0000D6930000}"/>
    <cellStyle name="40% - Accent6 4 4 2 4 2 2" xfId="21286" xr:uid="{00000000-0005-0000-0000-0000D7930000}"/>
    <cellStyle name="40% - Accent6 4 4 2 4 2 2 2" xfId="43888" xr:uid="{00000000-0005-0000-0000-0000D8930000}"/>
    <cellStyle name="40% - Accent6 4 4 2 4 2 3" xfId="32587" xr:uid="{00000000-0005-0000-0000-0000D9930000}"/>
    <cellStyle name="40% - Accent6 4 4 2 4 3" xfId="15636" xr:uid="{00000000-0005-0000-0000-0000DA930000}"/>
    <cellStyle name="40% - Accent6 4 4 2 4 3 2" xfId="38238" xr:uid="{00000000-0005-0000-0000-0000DB930000}"/>
    <cellStyle name="40% - Accent6 4 4 2 4 4" xfId="26937" xr:uid="{00000000-0005-0000-0000-0000DC930000}"/>
    <cellStyle name="40% - Accent6 4 4 2 5" xfId="7132" xr:uid="{00000000-0005-0000-0000-0000DD930000}"/>
    <cellStyle name="40% - Accent6 4 4 2 5 2" xfId="18433" xr:uid="{00000000-0005-0000-0000-0000DE930000}"/>
    <cellStyle name="40% - Accent6 4 4 2 5 2 2" xfId="41035" xr:uid="{00000000-0005-0000-0000-0000DF930000}"/>
    <cellStyle name="40% - Accent6 4 4 2 5 3" xfId="29734" xr:uid="{00000000-0005-0000-0000-0000E0930000}"/>
    <cellStyle name="40% - Accent6 4 4 2 6" xfId="12783" xr:uid="{00000000-0005-0000-0000-0000E1930000}"/>
    <cellStyle name="40% - Accent6 4 4 2 6 2" xfId="35385" xr:uid="{00000000-0005-0000-0000-0000E2930000}"/>
    <cellStyle name="40% - Accent6 4 4 2 7" xfId="24084" xr:uid="{00000000-0005-0000-0000-0000E3930000}"/>
    <cellStyle name="40% - Accent6 4 4 3" xfId="827" xr:uid="{00000000-0005-0000-0000-0000E4930000}"/>
    <cellStyle name="40% - Accent6 4 4 3 2" xfId="2914" xr:uid="{00000000-0005-0000-0000-0000E5930000}"/>
    <cellStyle name="40% - Accent6 4 4 3 2 2" xfId="5886" xr:uid="{00000000-0005-0000-0000-0000E6930000}"/>
    <cellStyle name="40% - Accent6 4 4 3 2 2 2" xfId="11536" xr:uid="{00000000-0005-0000-0000-0000E7930000}"/>
    <cellStyle name="40% - Accent6 4 4 3 2 2 2 2" xfId="22837" xr:uid="{00000000-0005-0000-0000-0000E8930000}"/>
    <cellStyle name="40% - Accent6 4 4 3 2 2 2 2 2" xfId="45439" xr:uid="{00000000-0005-0000-0000-0000E9930000}"/>
    <cellStyle name="40% - Accent6 4 4 3 2 2 2 3" xfId="34138" xr:uid="{00000000-0005-0000-0000-0000EA930000}"/>
    <cellStyle name="40% - Accent6 4 4 3 2 2 3" xfId="17187" xr:uid="{00000000-0005-0000-0000-0000EB930000}"/>
    <cellStyle name="40% - Accent6 4 4 3 2 2 3 2" xfId="39789" xr:uid="{00000000-0005-0000-0000-0000EC930000}"/>
    <cellStyle name="40% - Accent6 4 4 3 2 2 4" xfId="28488" xr:uid="{00000000-0005-0000-0000-0000ED930000}"/>
    <cellStyle name="40% - Accent6 4 4 3 2 3" xfId="8704" xr:uid="{00000000-0005-0000-0000-0000EE930000}"/>
    <cellStyle name="40% - Accent6 4 4 3 2 3 2" xfId="20005" xr:uid="{00000000-0005-0000-0000-0000EF930000}"/>
    <cellStyle name="40% - Accent6 4 4 3 2 3 2 2" xfId="42607" xr:uid="{00000000-0005-0000-0000-0000F0930000}"/>
    <cellStyle name="40% - Accent6 4 4 3 2 3 3" xfId="31306" xr:uid="{00000000-0005-0000-0000-0000F1930000}"/>
    <cellStyle name="40% - Accent6 4 4 3 2 4" xfId="14355" xr:uid="{00000000-0005-0000-0000-0000F2930000}"/>
    <cellStyle name="40% - Accent6 4 4 3 2 4 2" xfId="36957" xr:uid="{00000000-0005-0000-0000-0000F3930000}"/>
    <cellStyle name="40% - Accent6 4 4 3 2 5" xfId="25656" xr:uid="{00000000-0005-0000-0000-0000F4930000}"/>
    <cellStyle name="40% - Accent6 4 4 3 3" xfId="4652" xr:uid="{00000000-0005-0000-0000-0000F5930000}"/>
    <cellStyle name="40% - Accent6 4 4 3 3 2" xfId="10302" xr:uid="{00000000-0005-0000-0000-0000F6930000}"/>
    <cellStyle name="40% - Accent6 4 4 3 3 2 2" xfId="21603" xr:uid="{00000000-0005-0000-0000-0000F7930000}"/>
    <cellStyle name="40% - Accent6 4 4 3 3 2 2 2" xfId="44205" xr:uid="{00000000-0005-0000-0000-0000F8930000}"/>
    <cellStyle name="40% - Accent6 4 4 3 3 2 3" xfId="32904" xr:uid="{00000000-0005-0000-0000-0000F9930000}"/>
    <cellStyle name="40% - Accent6 4 4 3 3 3" xfId="15953" xr:uid="{00000000-0005-0000-0000-0000FA930000}"/>
    <cellStyle name="40% - Accent6 4 4 3 3 3 2" xfId="38555" xr:uid="{00000000-0005-0000-0000-0000FB930000}"/>
    <cellStyle name="40% - Accent6 4 4 3 3 4" xfId="27254" xr:uid="{00000000-0005-0000-0000-0000FC930000}"/>
    <cellStyle name="40% - Accent6 4 4 3 4" xfId="6835" xr:uid="{00000000-0005-0000-0000-0000FD930000}"/>
    <cellStyle name="40% - Accent6 4 4 3 4 2" xfId="18136" xr:uid="{00000000-0005-0000-0000-0000FE930000}"/>
    <cellStyle name="40% - Accent6 4 4 3 4 2 2" xfId="40738" xr:uid="{00000000-0005-0000-0000-0000FF930000}"/>
    <cellStyle name="40% - Accent6 4 4 3 4 3" xfId="29437" xr:uid="{00000000-0005-0000-0000-000000940000}"/>
    <cellStyle name="40% - Accent6 4 4 3 5" xfId="12486" xr:uid="{00000000-0005-0000-0000-000001940000}"/>
    <cellStyle name="40% - Accent6 4 4 3 5 2" xfId="35088" xr:uid="{00000000-0005-0000-0000-000002940000}"/>
    <cellStyle name="40% - Accent6 4 4 3 6" xfId="23787" xr:uid="{00000000-0005-0000-0000-000003940000}"/>
    <cellStyle name="40% - Accent6 4 4 4" xfId="2060" xr:uid="{00000000-0005-0000-0000-000004940000}"/>
    <cellStyle name="40% - Accent6 4 4 4 2" xfId="3836" xr:uid="{00000000-0005-0000-0000-000005940000}"/>
    <cellStyle name="40% - Accent6 4 4 4 2 2" xfId="9544" xr:uid="{00000000-0005-0000-0000-000006940000}"/>
    <cellStyle name="40% - Accent6 4 4 4 2 2 2" xfId="20845" xr:uid="{00000000-0005-0000-0000-000007940000}"/>
    <cellStyle name="40% - Accent6 4 4 4 2 2 2 2" xfId="43447" xr:uid="{00000000-0005-0000-0000-000008940000}"/>
    <cellStyle name="40% - Accent6 4 4 4 2 2 3" xfId="32146" xr:uid="{00000000-0005-0000-0000-000009940000}"/>
    <cellStyle name="40% - Accent6 4 4 4 2 3" xfId="15195" xr:uid="{00000000-0005-0000-0000-00000A940000}"/>
    <cellStyle name="40% - Accent6 4 4 4 2 3 2" xfId="37797" xr:uid="{00000000-0005-0000-0000-00000B940000}"/>
    <cellStyle name="40% - Accent6 4 4 4 2 4" xfId="26496" xr:uid="{00000000-0005-0000-0000-00000C940000}"/>
    <cellStyle name="40% - Accent6 4 4 4 3" xfId="5262" xr:uid="{00000000-0005-0000-0000-00000D940000}"/>
    <cellStyle name="40% - Accent6 4 4 4 3 2" xfId="10912" xr:uid="{00000000-0005-0000-0000-00000E940000}"/>
    <cellStyle name="40% - Accent6 4 4 4 3 2 2" xfId="22213" xr:uid="{00000000-0005-0000-0000-00000F940000}"/>
    <cellStyle name="40% - Accent6 4 4 4 3 2 2 2" xfId="44815" xr:uid="{00000000-0005-0000-0000-000010940000}"/>
    <cellStyle name="40% - Accent6 4 4 4 3 2 3" xfId="33514" xr:uid="{00000000-0005-0000-0000-000011940000}"/>
    <cellStyle name="40% - Accent6 4 4 4 3 3" xfId="16563" xr:uid="{00000000-0005-0000-0000-000012940000}"/>
    <cellStyle name="40% - Accent6 4 4 4 3 3 2" xfId="39165" xr:uid="{00000000-0005-0000-0000-000013940000}"/>
    <cellStyle name="40% - Accent6 4 4 4 3 4" xfId="27864" xr:uid="{00000000-0005-0000-0000-000014940000}"/>
    <cellStyle name="40% - Accent6 4 4 4 4" xfId="7916" xr:uid="{00000000-0005-0000-0000-000015940000}"/>
    <cellStyle name="40% - Accent6 4 4 4 4 2" xfId="19217" xr:uid="{00000000-0005-0000-0000-000016940000}"/>
    <cellStyle name="40% - Accent6 4 4 4 4 2 2" xfId="41819" xr:uid="{00000000-0005-0000-0000-000017940000}"/>
    <cellStyle name="40% - Accent6 4 4 4 4 3" xfId="30518" xr:uid="{00000000-0005-0000-0000-000018940000}"/>
    <cellStyle name="40% - Accent6 4 4 4 5" xfId="13567" xr:uid="{00000000-0005-0000-0000-000019940000}"/>
    <cellStyle name="40% - Accent6 4 4 4 5 2" xfId="36169" xr:uid="{00000000-0005-0000-0000-00001A940000}"/>
    <cellStyle name="40% - Accent6 4 4 4 6" xfId="24868" xr:uid="{00000000-0005-0000-0000-00001B940000}"/>
    <cellStyle name="40% - Accent6 4 4 5" xfId="2234" xr:uid="{00000000-0005-0000-0000-00001C940000}"/>
    <cellStyle name="40% - Accent6 4 4 5 2" xfId="8076" xr:uid="{00000000-0005-0000-0000-00001D940000}"/>
    <cellStyle name="40% - Accent6 4 4 5 2 2" xfId="19377" xr:uid="{00000000-0005-0000-0000-00001E940000}"/>
    <cellStyle name="40% - Accent6 4 4 5 2 2 2" xfId="41979" xr:uid="{00000000-0005-0000-0000-00001F940000}"/>
    <cellStyle name="40% - Accent6 4 4 5 2 3" xfId="30678" xr:uid="{00000000-0005-0000-0000-000020940000}"/>
    <cellStyle name="40% - Accent6 4 4 5 3" xfId="13727" xr:uid="{00000000-0005-0000-0000-000021940000}"/>
    <cellStyle name="40% - Accent6 4 4 5 3 2" xfId="36329" xr:uid="{00000000-0005-0000-0000-000022940000}"/>
    <cellStyle name="40% - Accent6 4 4 5 4" xfId="25028" xr:uid="{00000000-0005-0000-0000-000023940000}"/>
    <cellStyle name="40% - Accent6 4 4 6" xfId="4028" xr:uid="{00000000-0005-0000-0000-000024940000}"/>
    <cellStyle name="40% - Accent6 4 4 6 2" xfId="9678" xr:uid="{00000000-0005-0000-0000-000025940000}"/>
    <cellStyle name="40% - Accent6 4 4 6 2 2" xfId="20979" xr:uid="{00000000-0005-0000-0000-000026940000}"/>
    <cellStyle name="40% - Accent6 4 4 6 2 2 2" xfId="43581" xr:uid="{00000000-0005-0000-0000-000027940000}"/>
    <cellStyle name="40% - Accent6 4 4 6 2 3" xfId="32280" xr:uid="{00000000-0005-0000-0000-000028940000}"/>
    <cellStyle name="40% - Accent6 4 4 6 3" xfId="15329" xr:uid="{00000000-0005-0000-0000-000029940000}"/>
    <cellStyle name="40% - Accent6 4 4 6 3 2" xfId="37931" xr:uid="{00000000-0005-0000-0000-00002A940000}"/>
    <cellStyle name="40% - Accent6 4 4 6 4" xfId="26630" xr:uid="{00000000-0005-0000-0000-00002B940000}"/>
    <cellStyle name="40% - Accent6 4 4 7" xfId="6646" xr:uid="{00000000-0005-0000-0000-00002C940000}"/>
    <cellStyle name="40% - Accent6 4 4 7 2" xfId="17947" xr:uid="{00000000-0005-0000-0000-00002D940000}"/>
    <cellStyle name="40% - Accent6 4 4 7 2 2" xfId="40549" xr:uid="{00000000-0005-0000-0000-00002E940000}"/>
    <cellStyle name="40% - Accent6 4 4 7 3" xfId="29248" xr:uid="{00000000-0005-0000-0000-00002F940000}"/>
    <cellStyle name="40% - Accent6 4 4 8" xfId="12297" xr:uid="{00000000-0005-0000-0000-000030940000}"/>
    <cellStyle name="40% - Accent6 4 4 8 2" xfId="34899" xr:uid="{00000000-0005-0000-0000-000031940000}"/>
    <cellStyle name="40% - Accent6 4 4 9" xfId="23598" xr:uid="{00000000-0005-0000-0000-000032940000}"/>
    <cellStyle name="40% - Accent6 4 5" xfId="523" xr:uid="{00000000-0005-0000-0000-000033940000}"/>
    <cellStyle name="40% - Accent6 4 5 2" xfId="1292" xr:uid="{00000000-0005-0000-0000-000034940000}"/>
    <cellStyle name="40% - Accent6 4 5 2 2" xfId="2063" xr:uid="{00000000-0005-0000-0000-000035940000}"/>
    <cellStyle name="40% - Accent6 4 5 2 2 2" xfId="3361" xr:uid="{00000000-0005-0000-0000-000036940000}"/>
    <cellStyle name="40% - Accent6 4 5 2 2 2 2" xfId="6333" xr:uid="{00000000-0005-0000-0000-000037940000}"/>
    <cellStyle name="40% - Accent6 4 5 2 2 2 2 2" xfId="11983" xr:uid="{00000000-0005-0000-0000-000038940000}"/>
    <cellStyle name="40% - Accent6 4 5 2 2 2 2 2 2" xfId="23284" xr:uid="{00000000-0005-0000-0000-000039940000}"/>
    <cellStyle name="40% - Accent6 4 5 2 2 2 2 2 2 2" xfId="45886" xr:uid="{00000000-0005-0000-0000-00003A940000}"/>
    <cellStyle name="40% - Accent6 4 5 2 2 2 2 2 3" xfId="34585" xr:uid="{00000000-0005-0000-0000-00003B940000}"/>
    <cellStyle name="40% - Accent6 4 5 2 2 2 2 3" xfId="17634" xr:uid="{00000000-0005-0000-0000-00003C940000}"/>
    <cellStyle name="40% - Accent6 4 5 2 2 2 2 3 2" xfId="40236" xr:uid="{00000000-0005-0000-0000-00003D940000}"/>
    <cellStyle name="40% - Accent6 4 5 2 2 2 2 4" xfId="28935" xr:uid="{00000000-0005-0000-0000-00003E940000}"/>
    <cellStyle name="40% - Accent6 4 5 2 2 2 3" xfId="9151" xr:uid="{00000000-0005-0000-0000-00003F940000}"/>
    <cellStyle name="40% - Accent6 4 5 2 2 2 3 2" xfId="20452" xr:uid="{00000000-0005-0000-0000-000040940000}"/>
    <cellStyle name="40% - Accent6 4 5 2 2 2 3 2 2" xfId="43054" xr:uid="{00000000-0005-0000-0000-000041940000}"/>
    <cellStyle name="40% - Accent6 4 5 2 2 2 3 3" xfId="31753" xr:uid="{00000000-0005-0000-0000-000042940000}"/>
    <cellStyle name="40% - Accent6 4 5 2 2 2 4" xfId="14802" xr:uid="{00000000-0005-0000-0000-000043940000}"/>
    <cellStyle name="40% - Accent6 4 5 2 2 2 4 2" xfId="37404" xr:uid="{00000000-0005-0000-0000-000044940000}"/>
    <cellStyle name="40% - Accent6 4 5 2 2 2 5" xfId="26103" xr:uid="{00000000-0005-0000-0000-000045940000}"/>
    <cellStyle name="40% - Accent6 4 5 2 2 3" xfId="5099" xr:uid="{00000000-0005-0000-0000-000046940000}"/>
    <cellStyle name="40% - Accent6 4 5 2 2 3 2" xfId="10749" xr:uid="{00000000-0005-0000-0000-000047940000}"/>
    <cellStyle name="40% - Accent6 4 5 2 2 3 2 2" xfId="22050" xr:uid="{00000000-0005-0000-0000-000048940000}"/>
    <cellStyle name="40% - Accent6 4 5 2 2 3 2 2 2" xfId="44652" xr:uid="{00000000-0005-0000-0000-000049940000}"/>
    <cellStyle name="40% - Accent6 4 5 2 2 3 2 3" xfId="33351" xr:uid="{00000000-0005-0000-0000-00004A940000}"/>
    <cellStyle name="40% - Accent6 4 5 2 2 3 3" xfId="16400" xr:uid="{00000000-0005-0000-0000-00004B940000}"/>
    <cellStyle name="40% - Accent6 4 5 2 2 3 3 2" xfId="39002" xr:uid="{00000000-0005-0000-0000-00004C940000}"/>
    <cellStyle name="40% - Accent6 4 5 2 2 3 4" xfId="27701" xr:uid="{00000000-0005-0000-0000-00004D940000}"/>
    <cellStyle name="40% - Accent6 4 5 2 2 4" xfId="7919" xr:uid="{00000000-0005-0000-0000-00004E940000}"/>
    <cellStyle name="40% - Accent6 4 5 2 2 4 2" xfId="19220" xr:uid="{00000000-0005-0000-0000-00004F940000}"/>
    <cellStyle name="40% - Accent6 4 5 2 2 4 2 2" xfId="41822" xr:uid="{00000000-0005-0000-0000-000050940000}"/>
    <cellStyle name="40% - Accent6 4 5 2 2 4 3" xfId="30521" xr:uid="{00000000-0005-0000-0000-000051940000}"/>
    <cellStyle name="40% - Accent6 4 5 2 2 5" xfId="13570" xr:uid="{00000000-0005-0000-0000-000052940000}"/>
    <cellStyle name="40% - Accent6 4 5 2 2 5 2" xfId="36172" xr:uid="{00000000-0005-0000-0000-000053940000}"/>
    <cellStyle name="40% - Accent6 4 5 2 2 6" xfId="24871" xr:uid="{00000000-0005-0000-0000-000054940000}"/>
    <cellStyle name="40% - Accent6 4 5 2 3" xfId="2690" xr:uid="{00000000-0005-0000-0000-000055940000}"/>
    <cellStyle name="40% - Accent6 4 5 2 3 2" xfId="5709" xr:uid="{00000000-0005-0000-0000-000056940000}"/>
    <cellStyle name="40% - Accent6 4 5 2 3 2 2" xfId="11359" xr:uid="{00000000-0005-0000-0000-000057940000}"/>
    <cellStyle name="40% - Accent6 4 5 2 3 2 2 2" xfId="22660" xr:uid="{00000000-0005-0000-0000-000058940000}"/>
    <cellStyle name="40% - Accent6 4 5 2 3 2 2 2 2" xfId="45262" xr:uid="{00000000-0005-0000-0000-000059940000}"/>
    <cellStyle name="40% - Accent6 4 5 2 3 2 2 3" xfId="33961" xr:uid="{00000000-0005-0000-0000-00005A940000}"/>
    <cellStyle name="40% - Accent6 4 5 2 3 2 3" xfId="17010" xr:uid="{00000000-0005-0000-0000-00005B940000}"/>
    <cellStyle name="40% - Accent6 4 5 2 3 2 3 2" xfId="39612" xr:uid="{00000000-0005-0000-0000-00005C940000}"/>
    <cellStyle name="40% - Accent6 4 5 2 3 2 4" xfId="28311" xr:uid="{00000000-0005-0000-0000-00005D940000}"/>
    <cellStyle name="40% - Accent6 4 5 2 3 3" xfId="8526" xr:uid="{00000000-0005-0000-0000-00005E940000}"/>
    <cellStyle name="40% - Accent6 4 5 2 3 3 2" xfId="19827" xr:uid="{00000000-0005-0000-0000-00005F940000}"/>
    <cellStyle name="40% - Accent6 4 5 2 3 3 2 2" xfId="42429" xr:uid="{00000000-0005-0000-0000-000060940000}"/>
    <cellStyle name="40% - Accent6 4 5 2 3 3 3" xfId="31128" xr:uid="{00000000-0005-0000-0000-000061940000}"/>
    <cellStyle name="40% - Accent6 4 5 2 3 4" xfId="14177" xr:uid="{00000000-0005-0000-0000-000062940000}"/>
    <cellStyle name="40% - Accent6 4 5 2 3 4 2" xfId="36779" xr:uid="{00000000-0005-0000-0000-000063940000}"/>
    <cellStyle name="40% - Accent6 4 5 2 3 5" xfId="25478" xr:uid="{00000000-0005-0000-0000-000064940000}"/>
    <cellStyle name="40% - Accent6 4 5 2 4" xfId="4475" xr:uid="{00000000-0005-0000-0000-000065940000}"/>
    <cellStyle name="40% - Accent6 4 5 2 4 2" xfId="10125" xr:uid="{00000000-0005-0000-0000-000066940000}"/>
    <cellStyle name="40% - Accent6 4 5 2 4 2 2" xfId="21426" xr:uid="{00000000-0005-0000-0000-000067940000}"/>
    <cellStyle name="40% - Accent6 4 5 2 4 2 2 2" xfId="44028" xr:uid="{00000000-0005-0000-0000-000068940000}"/>
    <cellStyle name="40% - Accent6 4 5 2 4 2 3" xfId="32727" xr:uid="{00000000-0005-0000-0000-000069940000}"/>
    <cellStyle name="40% - Accent6 4 5 2 4 3" xfId="15776" xr:uid="{00000000-0005-0000-0000-00006A940000}"/>
    <cellStyle name="40% - Accent6 4 5 2 4 3 2" xfId="38378" xr:uid="{00000000-0005-0000-0000-00006B940000}"/>
    <cellStyle name="40% - Accent6 4 5 2 4 4" xfId="27077" xr:uid="{00000000-0005-0000-0000-00006C940000}"/>
    <cellStyle name="40% - Accent6 4 5 2 5" xfId="7271" xr:uid="{00000000-0005-0000-0000-00006D940000}"/>
    <cellStyle name="40% - Accent6 4 5 2 5 2" xfId="18572" xr:uid="{00000000-0005-0000-0000-00006E940000}"/>
    <cellStyle name="40% - Accent6 4 5 2 5 2 2" xfId="41174" xr:uid="{00000000-0005-0000-0000-00006F940000}"/>
    <cellStyle name="40% - Accent6 4 5 2 5 3" xfId="29873" xr:uid="{00000000-0005-0000-0000-000070940000}"/>
    <cellStyle name="40% - Accent6 4 5 2 6" xfId="12922" xr:uid="{00000000-0005-0000-0000-000071940000}"/>
    <cellStyle name="40% - Accent6 4 5 2 6 2" xfId="35524" xr:uid="{00000000-0005-0000-0000-000072940000}"/>
    <cellStyle name="40% - Accent6 4 5 2 7" xfId="24223" xr:uid="{00000000-0005-0000-0000-000073940000}"/>
    <cellStyle name="40% - Accent6 4 5 3" xfId="990" xr:uid="{00000000-0005-0000-0000-000074940000}"/>
    <cellStyle name="40% - Accent6 4 5 3 2" xfId="3053" xr:uid="{00000000-0005-0000-0000-000075940000}"/>
    <cellStyle name="40% - Accent6 4 5 3 2 2" xfId="6025" xr:uid="{00000000-0005-0000-0000-000076940000}"/>
    <cellStyle name="40% - Accent6 4 5 3 2 2 2" xfId="11675" xr:uid="{00000000-0005-0000-0000-000077940000}"/>
    <cellStyle name="40% - Accent6 4 5 3 2 2 2 2" xfId="22976" xr:uid="{00000000-0005-0000-0000-000078940000}"/>
    <cellStyle name="40% - Accent6 4 5 3 2 2 2 2 2" xfId="45578" xr:uid="{00000000-0005-0000-0000-000079940000}"/>
    <cellStyle name="40% - Accent6 4 5 3 2 2 2 3" xfId="34277" xr:uid="{00000000-0005-0000-0000-00007A940000}"/>
    <cellStyle name="40% - Accent6 4 5 3 2 2 3" xfId="17326" xr:uid="{00000000-0005-0000-0000-00007B940000}"/>
    <cellStyle name="40% - Accent6 4 5 3 2 2 3 2" xfId="39928" xr:uid="{00000000-0005-0000-0000-00007C940000}"/>
    <cellStyle name="40% - Accent6 4 5 3 2 2 4" xfId="28627" xr:uid="{00000000-0005-0000-0000-00007D940000}"/>
    <cellStyle name="40% - Accent6 4 5 3 2 3" xfId="8843" xr:uid="{00000000-0005-0000-0000-00007E940000}"/>
    <cellStyle name="40% - Accent6 4 5 3 2 3 2" xfId="20144" xr:uid="{00000000-0005-0000-0000-00007F940000}"/>
    <cellStyle name="40% - Accent6 4 5 3 2 3 2 2" xfId="42746" xr:uid="{00000000-0005-0000-0000-000080940000}"/>
    <cellStyle name="40% - Accent6 4 5 3 2 3 3" xfId="31445" xr:uid="{00000000-0005-0000-0000-000081940000}"/>
    <cellStyle name="40% - Accent6 4 5 3 2 4" xfId="14494" xr:uid="{00000000-0005-0000-0000-000082940000}"/>
    <cellStyle name="40% - Accent6 4 5 3 2 4 2" xfId="37096" xr:uid="{00000000-0005-0000-0000-000083940000}"/>
    <cellStyle name="40% - Accent6 4 5 3 2 5" xfId="25795" xr:uid="{00000000-0005-0000-0000-000084940000}"/>
    <cellStyle name="40% - Accent6 4 5 3 3" xfId="4791" xr:uid="{00000000-0005-0000-0000-000085940000}"/>
    <cellStyle name="40% - Accent6 4 5 3 3 2" xfId="10441" xr:uid="{00000000-0005-0000-0000-000086940000}"/>
    <cellStyle name="40% - Accent6 4 5 3 3 2 2" xfId="21742" xr:uid="{00000000-0005-0000-0000-000087940000}"/>
    <cellStyle name="40% - Accent6 4 5 3 3 2 2 2" xfId="44344" xr:uid="{00000000-0005-0000-0000-000088940000}"/>
    <cellStyle name="40% - Accent6 4 5 3 3 2 3" xfId="33043" xr:uid="{00000000-0005-0000-0000-000089940000}"/>
    <cellStyle name="40% - Accent6 4 5 3 3 3" xfId="16092" xr:uid="{00000000-0005-0000-0000-00008A940000}"/>
    <cellStyle name="40% - Accent6 4 5 3 3 3 2" xfId="38694" xr:uid="{00000000-0005-0000-0000-00008B940000}"/>
    <cellStyle name="40% - Accent6 4 5 3 3 4" xfId="27393" xr:uid="{00000000-0005-0000-0000-00008C940000}"/>
    <cellStyle name="40% - Accent6 4 5 3 4" xfId="6978" xr:uid="{00000000-0005-0000-0000-00008D940000}"/>
    <cellStyle name="40% - Accent6 4 5 3 4 2" xfId="18279" xr:uid="{00000000-0005-0000-0000-00008E940000}"/>
    <cellStyle name="40% - Accent6 4 5 3 4 2 2" xfId="40881" xr:uid="{00000000-0005-0000-0000-00008F940000}"/>
    <cellStyle name="40% - Accent6 4 5 3 4 3" xfId="29580" xr:uid="{00000000-0005-0000-0000-000090940000}"/>
    <cellStyle name="40% - Accent6 4 5 3 5" xfId="12629" xr:uid="{00000000-0005-0000-0000-000091940000}"/>
    <cellStyle name="40% - Accent6 4 5 3 5 2" xfId="35231" xr:uid="{00000000-0005-0000-0000-000092940000}"/>
    <cellStyle name="40% - Accent6 4 5 3 6" xfId="23930" xr:uid="{00000000-0005-0000-0000-000093940000}"/>
    <cellStyle name="40% - Accent6 4 5 4" xfId="2062" xr:uid="{00000000-0005-0000-0000-000094940000}"/>
    <cellStyle name="40% - Accent6 4 5 4 2" xfId="3837" xr:uid="{00000000-0005-0000-0000-000095940000}"/>
    <cellStyle name="40% - Accent6 4 5 4 2 2" xfId="9545" xr:uid="{00000000-0005-0000-0000-000096940000}"/>
    <cellStyle name="40% - Accent6 4 5 4 2 2 2" xfId="20846" xr:uid="{00000000-0005-0000-0000-000097940000}"/>
    <cellStyle name="40% - Accent6 4 5 4 2 2 2 2" xfId="43448" xr:uid="{00000000-0005-0000-0000-000098940000}"/>
    <cellStyle name="40% - Accent6 4 5 4 2 2 3" xfId="32147" xr:uid="{00000000-0005-0000-0000-000099940000}"/>
    <cellStyle name="40% - Accent6 4 5 4 2 3" xfId="15196" xr:uid="{00000000-0005-0000-0000-00009A940000}"/>
    <cellStyle name="40% - Accent6 4 5 4 2 3 2" xfId="37798" xr:uid="{00000000-0005-0000-0000-00009B940000}"/>
    <cellStyle name="40% - Accent6 4 5 4 2 4" xfId="26497" xr:uid="{00000000-0005-0000-0000-00009C940000}"/>
    <cellStyle name="40% - Accent6 4 5 4 3" xfId="5401" xr:uid="{00000000-0005-0000-0000-00009D940000}"/>
    <cellStyle name="40% - Accent6 4 5 4 3 2" xfId="11051" xr:uid="{00000000-0005-0000-0000-00009E940000}"/>
    <cellStyle name="40% - Accent6 4 5 4 3 2 2" xfId="22352" xr:uid="{00000000-0005-0000-0000-00009F940000}"/>
    <cellStyle name="40% - Accent6 4 5 4 3 2 2 2" xfId="44954" xr:uid="{00000000-0005-0000-0000-0000A0940000}"/>
    <cellStyle name="40% - Accent6 4 5 4 3 2 3" xfId="33653" xr:uid="{00000000-0005-0000-0000-0000A1940000}"/>
    <cellStyle name="40% - Accent6 4 5 4 3 3" xfId="16702" xr:uid="{00000000-0005-0000-0000-0000A2940000}"/>
    <cellStyle name="40% - Accent6 4 5 4 3 3 2" xfId="39304" xr:uid="{00000000-0005-0000-0000-0000A3940000}"/>
    <cellStyle name="40% - Accent6 4 5 4 3 4" xfId="28003" xr:uid="{00000000-0005-0000-0000-0000A4940000}"/>
    <cellStyle name="40% - Accent6 4 5 4 4" xfId="7918" xr:uid="{00000000-0005-0000-0000-0000A5940000}"/>
    <cellStyle name="40% - Accent6 4 5 4 4 2" xfId="19219" xr:uid="{00000000-0005-0000-0000-0000A6940000}"/>
    <cellStyle name="40% - Accent6 4 5 4 4 2 2" xfId="41821" xr:uid="{00000000-0005-0000-0000-0000A7940000}"/>
    <cellStyle name="40% - Accent6 4 5 4 4 3" xfId="30520" xr:uid="{00000000-0005-0000-0000-0000A8940000}"/>
    <cellStyle name="40% - Accent6 4 5 4 5" xfId="13569" xr:uid="{00000000-0005-0000-0000-0000A9940000}"/>
    <cellStyle name="40% - Accent6 4 5 4 5 2" xfId="36171" xr:uid="{00000000-0005-0000-0000-0000AA940000}"/>
    <cellStyle name="40% - Accent6 4 5 4 6" xfId="24870" xr:uid="{00000000-0005-0000-0000-0000AB940000}"/>
    <cellStyle name="40% - Accent6 4 5 5" xfId="2382" xr:uid="{00000000-0005-0000-0000-0000AC940000}"/>
    <cellStyle name="40% - Accent6 4 5 5 2" xfId="8218" xr:uid="{00000000-0005-0000-0000-0000AD940000}"/>
    <cellStyle name="40% - Accent6 4 5 5 2 2" xfId="19519" xr:uid="{00000000-0005-0000-0000-0000AE940000}"/>
    <cellStyle name="40% - Accent6 4 5 5 2 2 2" xfId="42121" xr:uid="{00000000-0005-0000-0000-0000AF940000}"/>
    <cellStyle name="40% - Accent6 4 5 5 2 3" xfId="30820" xr:uid="{00000000-0005-0000-0000-0000B0940000}"/>
    <cellStyle name="40% - Accent6 4 5 5 3" xfId="13869" xr:uid="{00000000-0005-0000-0000-0000B1940000}"/>
    <cellStyle name="40% - Accent6 4 5 5 3 2" xfId="36471" xr:uid="{00000000-0005-0000-0000-0000B2940000}"/>
    <cellStyle name="40% - Accent6 4 5 5 4" xfId="25170" xr:uid="{00000000-0005-0000-0000-0000B3940000}"/>
    <cellStyle name="40% - Accent6 4 5 6" xfId="4167" xr:uid="{00000000-0005-0000-0000-0000B4940000}"/>
    <cellStyle name="40% - Accent6 4 5 6 2" xfId="9817" xr:uid="{00000000-0005-0000-0000-0000B5940000}"/>
    <cellStyle name="40% - Accent6 4 5 6 2 2" xfId="21118" xr:uid="{00000000-0005-0000-0000-0000B6940000}"/>
    <cellStyle name="40% - Accent6 4 5 6 2 2 2" xfId="43720" xr:uid="{00000000-0005-0000-0000-0000B7940000}"/>
    <cellStyle name="40% - Accent6 4 5 6 2 3" xfId="32419" xr:uid="{00000000-0005-0000-0000-0000B8940000}"/>
    <cellStyle name="40% - Accent6 4 5 6 3" xfId="15468" xr:uid="{00000000-0005-0000-0000-0000B9940000}"/>
    <cellStyle name="40% - Accent6 4 5 6 3 2" xfId="38070" xr:uid="{00000000-0005-0000-0000-0000BA940000}"/>
    <cellStyle name="40% - Accent6 4 5 6 4" xfId="26769" xr:uid="{00000000-0005-0000-0000-0000BB940000}"/>
    <cellStyle name="40% - Accent6 4 5 7" xfId="6618" xr:uid="{00000000-0005-0000-0000-0000BC940000}"/>
    <cellStyle name="40% - Accent6 4 5 7 2" xfId="17919" xr:uid="{00000000-0005-0000-0000-0000BD940000}"/>
    <cellStyle name="40% - Accent6 4 5 7 2 2" xfId="40521" xr:uid="{00000000-0005-0000-0000-0000BE940000}"/>
    <cellStyle name="40% - Accent6 4 5 7 3" xfId="29220" xr:uid="{00000000-0005-0000-0000-0000BF940000}"/>
    <cellStyle name="40% - Accent6 4 5 8" xfId="12269" xr:uid="{00000000-0005-0000-0000-0000C0940000}"/>
    <cellStyle name="40% - Accent6 4 5 8 2" xfId="34871" xr:uid="{00000000-0005-0000-0000-0000C1940000}"/>
    <cellStyle name="40% - Accent6 4 5 9" xfId="23570" xr:uid="{00000000-0005-0000-0000-0000C2940000}"/>
    <cellStyle name="40% - Accent6 4 6" xfId="1125" xr:uid="{00000000-0005-0000-0000-0000C3940000}"/>
    <cellStyle name="40% - Accent6 4 6 2" xfId="2064" xr:uid="{00000000-0005-0000-0000-0000C4940000}"/>
    <cellStyle name="40% - Accent6 4 6 2 2" xfId="3192" xr:uid="{00000000-0005-0000-0000-0000C5940000}"/>
    <cellStyle name="40% - Accent6 4 6 2 2 2" xfId="6164" xr:uid="{00000000-0005-0000-0000-0000C6940000}"/>
    <cellStyle name="40% - Accent6 4 6 2 2 2 2" xfId="11814" xr:uid="{00000000-0005-0000-0000-0000C7940000}"/>
    <cellStyle name="40% - Accent6 4 6 2 2 2 2 2" xfId="23115" xr:uid="{00000000-0005-0000-0000-0000C8940000}"/>
    <cellStyle name="40% - Accent6 4 6 2 2 2 2 2 2" xfId="45717" xr:uid="{00000000-0005-0000-0000-0000C9940000}"/>
    <cellStyle name="40% - Accent6 4 6 2 2 2 2 3" xfId="34416" xr:uid="{00000000-0005-0000-0000-0000CA940000}"/>
    <cellStyle name="40% - Accent6 4 6 2 2 2 3" xfId="17465" xr:uid="{00000000-0005-0000-0000-0000CB940000}"/>
    <cellStyle name="40% - Accent6 4 6 2 2 2 3 2" xfId="40067" xr:uid="{00000000-0005-0000-0000-0000CC940000}"/>
    <cellStyle name="40% - Accent6 4 6 2 2 2 4" xfId="28766" xr:uid="{00000000-0005-0000-0000-0000CD940000}"/>
    <cellStyle name="40% - Accent6 4 6 2 2 3" xfId="8982" xr:uid="{00000000-0005-0000-0000-0000CE940000}"/>
    <cellStyle name="40% - Accent6 4 6 2 2 3 2" xfId="20283" xr:uid="{00000000-0005-0000-0000-0000CF940000}"/>
    <cellStyle name="40% - Accent6 4 6 2 2 3 2 2" xfId="42885" xr:uid="{00000000-0005-0000-0000-0000D0940000}"/>
    <cellStyle name="40% - Accent6 4 6 2 2 3 3" xfId="31584" xr:uid="{00000000-0005-0000-0000-0000D1940000}"/>
    <cellStyle name="40% - Accent6 4 6 2 2 4" xfId="14633" xr:uid="{00000000-0005-0000-0000-0000D2940000}"/>
    <cellStyle name="40% - Accent6 4 6 2 2 4 2" xfId="37235" xr:uid="{00000000-0005-0000-0000-0000D3940000}"/>
    <cellStyle name="40% - Accent6 4 6 2 2 5" xfId="25934" xr:uid="{00000000-0005-0000-0000-0000D4940000}"/>
    <cellStyle name="40% - Accent6 4 6 2 3" xfId="4930" xr:uid="{00000000-0005-0000-0000-0000D5940000}"/>
    <cellStyle name="40% - Accent6 4 6 2 3 2" xfId="10580" xr:uid="{00000000-0005-0000-0000-0000D6940000}"/>
    <cellStyle name="40% - Accent6 4 6 2 3 2 2" xfId="21881" xr:uid="{00000000-0005-0000-0000-0000D7940000}"/>
    <cellStyle name="40% - Accent6 4 6 2 3 2 2 2" xfId="44483" xr:uid="{00000000-0005-0000-0000-0000D8940000}"/>
    <cellStyle name="40% - Accent6 4 6 2 3 2 3" xfId="33182" xr:uid="{00000000-0005-0000-0000-0000D9940000}"/>
    <cellStyle name="40% - Accent6 4 6 2 3 3" xfId="16231" xr:uid="{00000000-0005-0000-0000-0000DA940000}"/>
    <cellStyle name="40% - Accent6 4 6 2 3 3 2" xfId="38833" xr:uid="{00000000-0005-0000-0000-0000DB940000}"/>
    <cellStyle name="40% - Accent6 4 6 2 3 4" xfId="27532" xr:uid="{00000000-0005-0000-0000-0000DC940000}"/>
    <cellStyle name="40% - Accent6 4 6 2 4" xfId="7920" xr:uid="{00000000-0005-0000-0000-0000DD940000}"/>
    <cellStyle name="40% - Accent6 4 6 2 4 2" xfId="19221" xr:uid="{00000000-0005-0000-0000-0000DE940000}"/>
    <cellStyle name="40% - Accent6 4 6 2 4 2 2" xfId="41823" xr:uid="{00000000-0005-0000-0000-0000DF940000}"/>
    <cellStyle name="40% - Accent6 4 6 2 4 3" xfId="30522" xr:uid="{00000000-0005-0000-0000-0000E0940000}"/>
    <cellStyle name="40% - Accent6 4 6 2 5" xfId="13571" xr:uid="{00000000-0005-0000-0000-0000E1940000}"/>
    <cellStyle name="40% - Accent6 4 6 2 5 2" xfId="36173" xr:uid="{00000000-0005-0000-0000-0000E2940000}"/>
    <cellStyle name="40% - Accent6 4 6 2 6" xfId="24872" xr:uid="{00000000-0005-0000-0000-0000E3940000}"/>
    <cellStyle name="40% - Accent6 4 6 3" xfId="2521" xr:uid="{00000000-0005-0000-0000-0000E4940000}"/>
    <cellStyle name="40% - Accent6 4 6 3 2" xfId="5540" xr:uid="{00000000-0005-0000-0000-0000E5940000}"/>
    <cellStyle name="40% - Accent6 4 6 3 2 2" xfId="11190" xr:uid="{00000000-0005-0000-0000-0000E6940000}"/>
    <cellStyle name="40% - Accent6 4 6 3 2 2 2" xfId="22491" xr:uid="{00000000-0005-0000-0000-0000E7940000}"/>
    <cellStyle name="40% - Accent6 4 6 3 2 2 2 2" xfId="45093" xr:uid="{00000000-0005-0000-0000-0000E8940000}"/>
    <cellStyle name="40% - Accent6 4 6 3 2 2 3" xfId="33792" xr:uid="{00000000-0005-0000-0000-0000E9940000}"/>
    <cellStyle name="40% - Accent6 4 6 3 2 3" xfId="16841" xr:uid="{00000000-0005-0000-0000-0000EA940000}"/>
    <cellStyle name="40% - Accent6 4 6 3 2 3 2" xfId="39443" xr:uid="{00000000-0005-0000-0000-0000EB940000}"/>
    <cellStyle name="40% - Accent6 4 6 3 2 4" xfId="28142" xr:uid="{00000000-0005-0000-0000-0000EC940000}"/>
    <cellStyle name="40% - Accent6 4 6 3 3" xfId="8357" xr:uid="{00000000-0005-0000-0000-0000ED940000}"/>
    <cellStyle name="40% - Accent6 4 6 3 3 2" xfId="19658" xr:uid="{00000000-0005-0000-0000-0000EE940000}"/>
    <cellStyle name="40% - Accent6 4 6 3 3 2 2" xfId="42260" xr:uid="{00000000-0005-0000-0000-0000EF940000}"/>
    <cellStyle name="40% - Accent6 4 6 3 3 3" xfId="30959" xr:uid="{00000000-0005-0000-0000-0000F0940000}"/>
    <cellStyle name="40% - Accent6 4 6 3 4" xfId="14008" xr:uid="{00000000-0005-0000-0000-0000F1940000}"/>
    <cellStyle name="40% - Accent6 4 6 3 4 2" xfId="36610" xr:uid="{00000000-0005-0000-0000-0000F2940000}"/>
    <cellStyle name="40% - Accent6 4 6 3 5" xfId="25309" xr:uid="{00000000-0005-0000-0000-0000F3940000}"/>
    <cellStyle name="40% - Accent6 4 6 4" xfId="4306" xr:uid="{00000000-0005-0000-0000-0000F4940000}"/>
    <cellStyle name="40% - Accent6 4 6 4 2" xfId="9956" xr:uid="{00000000-0005-0000-0000-0000F5940000}"/>
    <cellStyle name="40% - Accent6 4 6 4 2 2" xfId="21257" xr:uid="{00000000-0005-0000-0000-0000F6940000}"/>
    <cellStyle name="40% - Accent6 4 6 4 2 2 2" xfId="43859" xr:uid="{00000000-0005-0000-0000-0000F7940000}"/>
    <cellStyle name="40% - Accent6 4 6 4 2 3" xfId="32558" xr:uid="{00000000-0005-0000-0000-0000F8940000}"/>
    <cellStyle name="40% - Accent6 4 6 4 3" xfId="15607" xr:uid="{00000000-0005-0000-0000-0000F9940000}"/>
    <cellStyle name="40% - Accent6 4 6 4 3 2" xfId="38209" xr:uid="{00000000-0005-0000-0000-0000FA940000}"/>
    <cellStyle name="40% - Accent6 4 6 4 4" xfId="26908" xr:uid="{00000000-0005-0000-0000-0000FB940000}"/>
    <cellStyle name="40% - Accent6 4 6 5" xfId="7104" xr:uid="{00000000-0005-0000-0000-0000FC940000}"/>
    <cellStyle name="40% - Accent6 4 6 5 2" xfId="18405" xr:uid="{00000000-0005-0000-0000-0000FD940000}"/>
    <cellStyle name="40% - Accent6 4 6 5 2 2" xfId="41007" xr:uid="{00000000-0005-0000-0000-0000FE940000}"/>
    <cellStyle name="40% - Accent6 4 6 5 3" xfId="29706" xr:uid="{00000000-0005-0000-0000-0000FF940000}"/>
    <cellStyle name="40% - Accent6 4 6 6" xfId="12755" xr:uid="{00000000-0005-0000-0000-000000950000}"/>
    <cellStyle name="40% - Accent6 4 6 6 2" xfId="35357" xr:uid="{00000000-0005-0000-0000-000001950000}"/>
    <cellStyle name="40% - Accent6 4 6 7" xfId="24056" xr:uid="{00000000-0005-0000-0000-000002950000}"/>
    <cellStyle name="40% - Accent6 4 7" xfId="789" xr:uid="{00000000-0005-0000-0000-000003950000}"/>
    <cellStyle name="40% - Accent6 4 7 2" xfId="2886" xr:uid="{00000000-0005-0000-0000-000004950000}"/>
    <cellStyle name="40% - Accent6 4 7 2 2" xfId="5858" xr:uid="{00000000-0005-0000-0000-000005950000}"/>
    <cellStyle name="40% - Accent6 4 7 2 2 2" xfId="11508" xr:uid="{00000000-0005-0000-0000-000006950000}"/>
    <cellStyle name="40% - Accent6 4 7 2 2 2 2" xfId="22809" xr:uid="{00000000-0005-0000-0000-000007950000}"/>
    <cellStyle name="40% - Accent6 4 7 2 2 2 2 2" xfId="45411" xr:uid="{00000000-0005-0000-0000-000008950000}"/>
    <cellStyle name="40% - Accent6 4 7 2 2 2 3" xfId="34110" xr:uid="{00000000-0005-0000-0000-000009950000}"/>
    <cellStyle name="40% - Accent6 4 7 2 2 3" xfId="17159" xr:uid="{00000000-0005-0000-0000-00000A950000}"/>
    <cellStyle name="40% - Accent6 4 7 2 2 3 2" xfId="39761" xr:uid="{00000000-0005-0000-0000-00000B950000}"/>
    <cellStyle name="40% - Accent6 4 7 2 2 4" xfId="28460" xr:uid="{00000000-0005-0000-0000-00000C950000}"/>
    <cellStyle name="40% - Accent6 4 7 2 3" xfId="8676" xr:uid="{00000000-0005-0000-0000-00000D950000}"/>
    <cellStyle name="40% - Accent6 4 7 2 3 2" xfId="19977" xr:uid="{00000000-0005-0000-0000-00000E950000}"/>
    <cellStyle name="40% - Accent6 4 7 2 3 2 2" xfId="42579" xr:uid="{00000000-0005-0000-0000-00000F950000}"/>
    <cellStyle name="40% - Accent6 4 7 2 3 3" xfId="31278" xr:uid="{00000000-0005-0000-0000-000010950000}"/>
    <cellStyle name="40% - Accent6 4 7 2 4" xfId="14327" xr:uid="{00000000-0005-0000-0000-000011950000}"/>
    <cellStyle name="40% - Accent6 4 7 2 4 2" xfId="36929" xr:uid="{00000000-0005-0000-0000-000012950000}"/>
    <cellStyle name="40% - Accent6 4 7 2 5" xfId="25628" xr:uid="{00000000-0005-0000-0000-000013950000}"/>
    <cellStyle name="40% - Accent6 4 7 3" xfId="4624" xr:uid="{00000000-0005-0000-0000-000014950000}"/>
    <cellStyle name="40% - Accent6 4 7 3 2" xfId="10274" xr:uid="{00000000-0005-0000-0000-000015950000}"/>
    <cellStyle name="40% - Accent6 4 7 3 2 2" xfId="21575" xr:uid="{00000000-0005-0000-0000-000016950000}"/>
    <cellStyle name="40% - Accent6 4 7 3 2 2 2" xfId="44177" xr:uid="{00000000-0005-0000-0000-000017950000}"/>
    <cellStyle name="40% - Accent6 4 7 3 2 3" xfId="32876" xr:uid="{00000000-0005-0000-0000-000018950000}"/>
    <cellStyle name="40% - Accent6 4 7 3 3" xfId="15925" xr:uid="{00000000-0005-0000-0000-000019950000}"/>
    <cellStyle name="40% - Accent6 4 7 3 3 2" xfId="38527" xr:uid="{00000000-0005-0000-0000-00001A950000}"/>
    <cellStyle name="40% - Accent6 4 7 3 4" xfId="27226" xr:uid="{00000000-0005-0000-0000-00001B950000}"/>
    <cellStyle name="40% - Accent6 4 7 4" xfId="6806" xr:uid="{00000000-0005-0000-0000-00001C950000}"/>
    <cellStyle name="40% - Accent6 4 7 4 2" xfId="18107" xr:uid="{00000000-0005-0000-0000-00001D950000}"/>
    <cellStyle name="40% - Accent6 4 7 4 2 2" xfId="40709" xr:uid="{00000000-0005-0000-0000-00001E950000}"/>
    <cellStyle name="40% - Accent6 4 7 4 3" xfId="29408" xr:uid="{00000000-0005-0000-0000-00001F950000}"/>
    <cellStyle name="40% - Accent6 4 7 5" xfId="12457" xr:uid="{00000000-0005-0000-0000-000020950000}"/>
    <cellStyle name="40% - Accent6 4 7 5 2" xfId="35059" xr:uid="{00000000-0005-0000-0000-000021950000}"/>
    <cellStyle name="40% - Accent6 4 7 6" xfId="23758" xr:uid="{00000000-0005-0000-0000-000022950000}"/>
    <cellStyle name="40% - Accent6 4 8" xfId="2051" xr:uid="{00000000-0005-0000-0000-000023950000}"/>
    <cellStyle name="40% - Accent6 4 8 2" xfId="3830" xr:uid="{00000000-0005-0000-0000-000024950000}"/>
    <cellStyle name="40% - Accent6 4 8 2 2" xfId="9539" xr:uid="{00000000-0005-0000-0000-000025950000}"/>
    <cellStyle name="40% - Accent6 4 8 2 2 2" xfId="20840" xr:uid="{00000000-0005-0000-0000-000026950000}"/>
    <cellStyle name="40% - Accent6 4 8 2 2 2 2" xfId="43442" xr:uid="{00000000-0005-0000-0000-000027950000}"/>
    <cellStyle name="40% - Accent6 4 8 2 2 3" xfId="32141" xr:uid="{00000000-0005-0000-0000-000028950000}"/>
    <cellStyle name="40% - Accent6 4 8 2 3" xfId="15190" xr:uid="{00000000-0005-0000-0000-000029950000}"/>
    <cellStyle name="40% - Accent6 4 8 2 3 2" xfId="37792" xr:uid="{00000000-0005-0000-0000-00002A950000}"/>
    <cellStyle name="40% - Accent6 4 8 2 4" xfId="26491" xr:uid="{00000000-0005-0000-0000-00002B950000}"/>
    <cellStyle name="40% - Accent6 4 8 3" xfId="5234" xr:uid="{00000000-0005-0000-0000-00002C950000}"/>
    <cellStyle name="40% - Accent6 4 8 3 2" xfId="10884" xr:uid="{00000000-0005-0000-0000-00002D950000}"/>
    <cellStyle name="40% - Accent6 4 8 3 2 2" xfId="22185" xr:uid="{00000000-0005-0000-0000-00002E950000}"/>
    <cellStyle name="40% - Accent6 4 8 3 2 2 2" xfId="44787" xr:uid="{00000000-0005-0000-0000-00002F950000}"/>
    <cellStyle name="40% - Accent6 4 8 3 2 3" xfId="33486" xr:uid="{00000000-0005-0000-0000-000030950000}"/>
    <cellStyle name="40% - Accent6 4 8 3 3" xfId="16535" xr:uid="{00000000-0005-0000-0000-000031950000}"/>
    <cellStyle name="40% - Accent6 4 8 3 3 2" xfId="39137" xr:uid="{00000000-0005-0000-0000-000032950000}"/>
    <cellStyle name="40% - Accent6 4 8 3 4" xfId="27836" xr:uid="{00000000-0005-0000-0000-000033950000}"/>
    <cellStyle name="40% - Accent6 4 8 4" xfId="7907" xr:uid="{00000000-0005-0000-0000-000034950000}"/>
    <cellStyle name="40% - Accent6 4 8 4 2" xfId="19208" xr:uid="{00000000-0005-0000-0000-000035950000}"/>
    <cellStyle name="40% - Accent6 4 8 4 2 2" xfId="41810" xr:uid="{00000000-0005-0000-0000-000036950000}"/>
    <cellStyle name="40% - Accent6 4 8 4 3" xfId="30509" xr:uid="{00000000-0005-0000-0000-000037950000}"/>
    <cellStyle name="40% - Accent6 4 8 5" xfId="13558" xr:uid="{00000000-0005-0000-0000-000038950000}"/>
    <cellStyle name="40% - Accent6 4 8 5 2" xfId="36160" xr:uid="{00000000-0005-0000-0000-000039950000}"/>
    <cellStyle name="40% - Accent6 4 8 6" xfId="24859" xr:uid="{00000000-0005-0000-0000-00003A950000}"/>
    <cellStyle name="40% - Accent6 4 9" xfId="2205" xr:uid="{00000000-0005-0000-0000-00003B950000}"/>
    <cellStyle name="40% - Accent6 4 9 2" xfId="8048" xr:uid="{00000000-0005-0000-0000-00003C950000}"/>
    <cellStyle name="40% - Accent6 4 9 2 2" xfId="19349" xr:uid="{00000000-0005-0000-0000-00003D950000}"/>
    <cellStyle name="40% - Accent6 4 9 2 2 2" xfId="41951" xr:uid="{00000000-0005-0000-0000-00003E950000}"/>
    <cellStyle name="40% - Accent6 4 9 2 3" xfId="30650" xr:uid="{00000000-0005-0000-0000-00003F950000}"/>
    <cellStyle name="40% - Accent6 4 9 3" xfId="13699" xr:uid="{00000000-0005-0000-0000-000040950000}"/>
    <cellStyle name="40% - Accent6 4 9 3 2" xfId="36301" xr:uid="{00000000-0005-0000-0000-000041950000}"/>
    <cellStyle name="40% - Accent6 4 9 4" xfId="25000" xr:uid="{00000000-0005-0000-0000-000042950000}"/>
    <cellStyle name="40% - Accent6 5" xfId="278" xr:uid="{00000000-0005-0000-0000-000043950000}"/>
    <cellStyle name="40% - Accent6 5 10" xfId="12143" xr:uid="{00000000-0005-0000-0000-000044950000}"/>
    <cellStyle name="40% - Accent6 5 10 2" xfId="34745" xr:uid="{00000000-0005-0000-0000-000045950000}"/>
    <cellStyle name="40% - Accent6 5 11" xfId="23444" xr:uid="{00000000-0005-0000-0000-000046950000}"/>
    <cellStyle name="40% - Accent6 5 2" xfId="444" xr:uid="{00000000-0005-0000-0000-000047950000}"/>
    <cellStyle name="40% - Accent6 5 2 10" xfId="23539" xr:uid="{00000000-0005-0000-0000-000048950000}"/>
    <cellStyle name="40% - Accent6 5 2 2" xfId="689" xr:uid="{00000000-0005-0000-0000-000049950000}"/>
    <cellStyle name="40% - Accent6 5 2 2 2" xfId="1399" xr:uid="{00000000-0005-0000-0000-00004A950000}"/>
    <cellStyle name="40% - Accent6 5 2 2 2 2" xfId="2068" xr:uid="{00000000-0005-0000-0000-00004B950000}"/>
    <cellStyle name="40% - Accent6 5 2 2 2 2 2" xfId="3468" xr:uid="{00000000-0005-0000-0000-00004C950000}"/>
    <cellStyle name="40% - Accent6 5 2 2 2 2 2 2" xfId="6440" xr:uid="{00000000-0005-0000-0000-00004D950000}"/>
    <cellStyle name="40% - Accent6 5 2 2 2 2 2 2 2" xfId="12090" xr:uid="{00000000-0005-0000-0000-00004E950000}"/>
    <cellStyle name="40% - Accent6 5 2 2 2 2 2 2 2 2" xfId="23391" xr:uid="{00000000-0005-0000-0000-00004F950000}"/>
    <cellStyle name="40% - Accent6 5 2 2 2 2 2 2 2 2 2" xfId="45993" xr:uid="{00000000-0005-0000-0000-000050950000}"/>
    <cellStyle name="40% - Accent6 5 2 2 2 2 2 2 2 3" xfId="34692" xr:uid="{00000000-0005-0000-0000-000051950000}"/>
    <cellStyle name="40% - Accent6 5 2 2 2 2 2 2 3" xfId="17741" xr:uid="{00000000-0005-0000-0000-000052950000}"/>
    <cellStyle name="40% - Accent6 5 2 2 2 2 2 2 3 2" xfId="40343" xr:uid="{00000000-0005-0000-0000-000053950000}"/>
    <cellStyle name="40% - Accent6 5 2 2 2 2 2 2 4" xfId="29042" xr:uid="{00000000-0005-0000-0000-000054950000}"/>
    <cellStyle name="40% - Accent6 5 2 2 2 2 2 3" xfId="9258" xr:uid="{00000000-0005-0000-0000-000055950000}"/>
    <cellStyle name="40% - Accent6 5 2 2 2 2 2 3 2" xfId="20559" xr:uid="{00000000-0005-0000-0000-000056950000}"/>
    <cellStyle name="40% - Accent6 5 2 2 2 2 2 3 2 2" xfId="43161" xr:uid="{00000000-0005-0000-0000-000057950000}"/>
    <cellStyle name="40% - Accent6 5 2 2 2 2 2 3 3" xfId="31860" xr:uid="{00000000-0005-0000-0000-000058950000}"/>
    <cellStyle name="40% - Accent6 5 2 2 2 2 2 4" xfId="14909" xr:uid="{00000000-0005-0000-0000-000059950000}"/>
    <cellStyle name="40% - Accent6 5 2 2 2 2 2 4 2" xfId="37511" xr:uid="{00000000-0005-0000-0000-00005A950000}"/>
    <cellStyle name="40% - Accent6 5 2 2 2 2 2 5" xfId="26210" xr:uid="{00000000-0005-0000-0000-00005B950000}"/>
    <cellStyle name="40% - Accent6 5 2 2 2 2 3" xfId="5206" xr:uid="{00000000-0005-0000-0000-00005C950000}"/>
    <cellStyle name="40% - Accent6 5 2 2 2 2 3 2" xfId="10856" xr:uid="{00000000-0005-0000-0000-00005D950000}"/>
    <cellStyle name="40% - Accent6 5 2 2 2 2 3 2 2" xfId="22157" xr:uid="{00000000-0005-0000-0000-00005E950000}"/>
    <cellStyle name="40% - Accent6 5 2 2 2 2 3 2 2 2" xfId="44759" xr:uid="{00000000-0005-0000-0000-00005F950000}"/>
    <cellStyle name="40% - Accent6 5 2 2 2 2 3 2 3" xfId="33458" xr:uid="{00000000-0005-0000-0000-000060950000}"/>
    <cellStyle name="40% - Accent6 5 2 2 2 2 3 3" xfId="16507" xr:uid="{00000000-0005-0000-0000-000061950000}"/>
    <cellStyle name="40% - Accent6 5 2 2 2 2 3 3 2" xfId="39109" xr:uid="{00000000-0005-0000-0000-000062950000}"/>
    <cellStyle name="40% - Accent6 5 2 2 2 2 3 4" xfId="27808" xr:uid="{00000000-0005-0000-0000-000063950000}"/>
    <cellStyle name="40% - Accent6 5 2 2 2 2 4" xfId="7924" xr:uid="{00000000-0005-0000-0000-000064950000}"/>
    <cellStyle name="40% - Accent6 5 2 2 2 2 4 2" xfId="19225" xr:uid="{00000000-0005-0000-0000-000065950000}"/>
    <cellStyle name="40% - Accent6 5 2 2 2 2 4 2 2" xfId="41827" xr:uid="{00000000-0005-0000-0000-000066950000}"/>
    <cellStyle name="40% - Accent6 5 2 2 2 2 4 3" xfId="30526" xr:uid="{00000000-0005-0000-0000-000067950000}"/>
    <cellStyle name="40% - Accent6 5 2 2 2 2 5" xfId="13575" xr:uid="{00000000-0005-0000-0000-000068950000}"/>
    <cellStyle name="40% - Accent6 5 2 2 2 2 5 2" xfId="36177" xr:uid="{00000000-0005-0000-0000-000069950000}"/>
    <cellStyle name="40% - Accent6 5 2 2 2 2 6" xfId="24876" xr:uid="{00000000-0005-0000-0000-00006A950000}"/>
    <cellStyle name="40% - Accent6 5 2 2 2 3" xfId="2797" xr:uid="{00000000-0005-0000-0000-00006B950000}"/>
    <cellStyle name="40% - Accent6 5 2 2 2 3 2" xfId="5816" xr:uid="{00000000-0005-0000-0000-00006C950000}"/>
    <cellStyle name="40% - Accent6 5 2 2 2 3 2 2" xfId="11466" xr:uid="{00000000-0005-0000-0000-00006D950000}"/>
    <cellStyle name="40% - Accent6 5 2 2 2 3 2 2 2" xfId="22767" xr:uid="{00000000-0005-0000-0000-00006E950000}"/>
    <cellStyle name="40% - Accent6 5 2 2 2 3 2 2 2 2" xfId="45369" xr:uid="{00000000-0005-0000-0000-00006F950000}"/>
    <cellStyle name="40% - Accent6 5 2 2 2 3 2 2 3" xfId="34068" xr:uid="{00000000-0005-0000-0000-000070950000}"/>
    <cellStyle name="40% - Accent6 5 2 2 2 3 2 3" xfId="17117" xr:uid="{00000000-0005-0000-0000-000071950000}"/>
    <cellStyle name="40% - Accent6 5 2 2 2 3 2 3 2" xfId="39719" xr:uid="{00000000-0005-0000-0000-000072950000}"/>
    <cellStyle name="40% - Accent6 5 2 2 2 3 2 4" xfId="28418" xr:uid="{00000000-0005-0000-0000-000073950000}"/>
    <cellStyle name="40% - Accent6 5 2 2 2 3 3" xfId="8633" xr:uid="{00000000-0005-0000-0000-000074950000}"/>
    <cellStyle name="40% - Accent6 5 2 2 2 3 3 2" xfId="19934" xr:uid="{00000000-0005-0000-0000-000075950000}"/>
    <cellStyle name="40% - Accent6 5 2 2 2 3 3 2 2" xfId="42536" xr:uid="{00000000-0005-0000-0000-000076950000}"/>
    <cellStyle name="40% - Accent6 5 2 2 2 3 3 3" xfId="31235" xr:uid="{00000000-0005-0000-0000-000077950000}"/>
    <cellStyle name="40% - Accent6 5 2 2 2 3 4" xfId="14284" xr:uid="{00000000-0005-0000-0000-000078950000}"/>
    <cellStyle name="40% - Accent6 5 2 2 2 3 4 2" xfId="36886" xr:uid="{00000000-0005-0000-0000-000079950000}"/>
    <cellStyle name="40% - Accent6 5 2 2 2 3 5" xfId="25585" xr:uid="{00000000-0005-0000-0000-00007A950000}"/>
    <cellStyle name="40% - Accent6 5 2 2 2 4" xfId="4582" xr:uid="{00000000-0005-0000-0000-00007B950000}"/>
    <cellStyle name="40% - Accent6 5 2 2 2 4 2" xfId="10232" xr:uid="{00000000-0005-0000-0000-00007C950000}"/>
    <cellStyle name="40% - Accent6 5 2 2 2 4 2 2" xfId="21533" xr:uid="{00000000-0005-0000-0000-00007D950000}"/>
    <cellStyle name="40% - Accent6 5 2 2 2 4 2 2 2" xfId="44135" xr:uid="{00000000-0005-0000-0000-00007E950000}"/>
    <cellStyle name="40% - Accent6 5 2 2 2 4 2 3" xfId="32834" xr:uid="{00000000-0005-0000-0000-00007F950000}"/>
    <cellStyle name="40% - Accent6 5 2 2 2 4 3" xfId="15883" xr:uid="{00000000-0005-0000-0000-000080950000}"/>
    <cellStyle name="40% - Accent6 5 2 2 2 4 3 2" xfId="38485" xr:uid="{00000000-0005-0000-0000-000081950000}"/>
    <cellStyle name="40% - Accent6 5 2 2 2 4 4" xfId="27184" xr:uid="{00000000-0005-0000-0000-000082950000}"/>
    <cellStyle name="40% - Accent6 5 2 2 2 5" xfId="7378" xr:uid="{00000000-0005-0000-0000-000083950000}"/>
    <cellStyle name="40% - Accent6 5 2 2 2 5 2" xfId="18679" xr:uid="{00000000-0005-0000-0000-000084950000}"/>
    <cellStyle name="40% - Accent6 5 2 2 2 5 2 2" xfId="41281" xr:uid="{00000000-0005-0000-0000-000085950000}"/>
    <cellStyle name="40% - Accent6 5 2 2 2 5 3" xfId="29980" xr:uid="{00000000-0005-0000-0000-000086950000}"/>
    <cellStyle name="40% - Accent6 5 2 2 2 6" xfId="13029" xr:uid="{00000000-0005-0000-0000-000087950000}"/>
    <cellStyle name="40% - Accent6 5 2 2 2 6 2" xfId="35631" xr:uid="{00000000-0005-0000-0000-000088950000}"/>
    <cellStyle name="40% - Accent6 5 2 2 2 7" xfId="24330" xr:uid="{00000000-0005-0000-0000-000089950000}"/>
    <cellStyle name="40% - Accent6 5 2 2 3" xfId="1097" xr:uid="{00000000-0005-0000-0000-00008A950000}"/>
    <cellStyle name="40% - Accent6 5 2 2 3 2" xfId="3160" xr:uid="{00000000-0005-0000-0000-00008B950000}"/>
    <cellStyle name="40% - Accent6 5 2 2 3 2 2" xfId="6132" xr:uid="{00000000-0005-0000-0000-00008C950000}"/>
    <cellStyle name="40% - Accent6 5 2 2 3 2 2 2" xfId="11782" xr:uid="{00000000-0005-0000-0000-00008D950000}"/>
    <cellStyle name="40% - Accent6 5 2 2 3 2 2 2 2" xfId="23083" xr:uid="{00000000-0005-0000-0000-00008E950000}"/>
    <cellStyle name="40% - Accent6 5 2 2 3 2 2 2 2 2" xfId="45685" xr:uid="{00000000-0005-0000-0000-00008F950000}"/>
    <cellStyle name="40% - Accent6 5 2 2 3 2 2 2 3" xfId="34384" xr:uid="{00000000-0005-0000-0000-000090950000}"/>
    <cellStyle name="40% - Accent6 5 2 2 3 2 2 3" xfId="17433" xr:uid="{00000000-0005-0000-0000-000091950000}"/>
    <cellStyle name="40% - Accent6 5 2 2 3 2 2 3 2" xfId="40035" xr:uid="{00000000-0005-0000-0000-000092950000}"/>
    <cellStyle name="40% - Accent6 5 2 2 3 2 2 4" xfId="28734" xr:uid="{00000000-0005-0000-0000-000093950000}"/>
    <cellStyle name="40% - Accent6 5 2 2 3 2 3" xfId="8950" xr:uid="{00000000-0005-0000-0000-000094950000}"/>
    <cellStyle name="40% - Accent6 5 2 2 3 2 3 2" xfId="20251" xr:uid="{00000000-0005-0000-0000-000095950000}"/>
    <cellStyle name="40% - Accent6 5 2 2 3 2 3 2 2" xfId="42853" xr:uid="{00000000-0005-0000-0000-000096950000}"/>
    <cellStyle name="40% - Accent6 5 2 2 3 2 3 3" xfId="31552" xr:uid="{00000000-0005-0000-0000-000097950000}"/>
    <cellStyle name="40% - Accent6 5 2 2 3 2 4" xfId="14601" xr:uid="{00000000-0005-0000-0000-000098950000}"/>
    <cellStyle name="40% - Accent6 5 2 2 3 2 4 2" xfId="37203" xr:uid="{00000000-0005-0000-0000-000099950000}"/>
    <cellStyle name="40% - Accent6 5 2 2 3 2 5" xfId="25902" xr:uid="{00000000-0005-0000-0000-00009A950000}"/>
    <cellStyle name="40% - Accent6 5 2 2 3 3" xfId="4898" xr:uid="{00000000-0005-0000-0000-00009B950000}"/>
    <cellStyle name="40% - Accent6 5 2 2 3 3 2" xfId="10548" xr:uid="{00000000-0005-0000-0000-00009C950000}"/>
    <cellStyle name="40% - Accent6 5 2 2 3 3 2 2" xfId="21849" xr:uid="{00000000-0005-0000-0000-00009D950000}"/>
    <cellStyle name="40% - Accent6 5 2 2 3 3 2 2 2" xfId="44451" xr:uid="{00000000-0005-0000-0000-00009E950000}"/>
    <cellStyle name="40% - Accent6 5 2 2 3 3 2 3" xfId="33150" xr:uid="{00000000-0005-0000-0000-00009F950000}"/>
    <cellStyle name="40% - Accent6 5 2 2 3 3 3" xfId="16199" xr:uid="{00000000-0005-0000-0000-0000A0950000}"/>
    <cellStyle name="40% - Accent6 5 2 2 3 3 3 2" xfId="38801" xr:uid="{00000000-0005-0000-0000-0000A1950000}"/>
    <cellStyle name="40% - Accent6 5 2 2 3 3 4" xfId="27500" xr:uid="{00000000-0005-0000-0000-0000A2950000}"/>
    <cellStyle name="40% - Accent6 5 2 2 3 4" xfId="7085" xr:uid="{00000000-0005-0000-0000-0000A3950000}"/>
    <cellStyle name="40% - Accent6 5 2 2 3 4 2" xfId="18386" xr:uid="{00000000-0005-0000-0000-0000A4950000}"/>
    <cellStyle name="40% - Accent6 5 2 2 3 4 2 2" xfId="40988" xr:uid="{00000000-0005-0000-0000-0000A5950000}"/>
    <cellStyle name="40% - Accent6 5 2 2 3 4 3" xfId="29687" xr:uid="{00000000-0005-0000-0000-0000A6950000}"/>
    <cellStyle name="40% - Accent6 5 2 2 3 5" xfId="12736" xr:uid="{00000000-0005-0000-0000-0000A7950000}"/>
    <cellStyle name="40% - Accent6 5 2 2 3 5 2" xfId="35338" xr:uid="{00000000-0005-0000-0000-0000A8950000}"/>
    <cellStyle name="40% - Accent6 5 2 2 3 6" xfId="24037" xr:uid="{00000000-0005-0000-0000-0000A9950000}"/>
    <cellStyle name="40% - Accent6 5 2 2 4" xfId="2067" xr:uid="{00000000-0005-0000-0000-0000AA950000}"/>
    <cellStyle name="40% - Accent6 5 2 2 4 2" xfId="3840" xr:uid="{00000000-0005-0000-0000-0000AB950000}"/>
    <cellStyle name="40% - Accent6 5 2 2 4 2 2" xfId="9548" xr:uid="{00000000-0005-0000-0000-0000AC950000}"/>
    <cellStyle name="40% - Accent6 5 2 2 4 2 2 2" xfId="20849" xr:uid="{00000000-0005-0000-0000-0000AD950000}"/>
    <cellStyle name="40% - Accent6 5 2 2 4 2 2 2 2" xfId="43451" xr:uid="{00000000-0005-0000-0000-0000AE950000}"/>
    <cellStyle name="40% - Accent6 5 2 2 4 2 2 3" xfId="32150" xr:uid="{00000000-0005-0000-0000-0000AF950000}"/>
    <cellStyle name="40% - Accent6 5 2 2 4 2 3" xfId="15199" xr:uid="{00000000-0005-0000-0000-0000B0950000}"/>
    <cellStyle name="40% - Accent6 5 2 2 4 2 3 2" xfId="37801" xr:uid="{00000000-0005-0000-0000-0000B1950000}"/>
    <cellStyle name="40% - Accent6 5 2 2 4 2 4" xfId="26500" xr:uid="{00000000-0005-0000-0000-0000B2950000}"/>
    <cellStyle name="40% - Accent6 5 2 2 4 3" xfId="5508" xr:uid="{00000000-0005-0000-0000-0000B3950000}"/>
    <cellStyle name="40% - Accent6 5 2 2 4 3 2" xfId="11158" xr:uid="{00000000-0005-0000-0000-0000B4950000}"/>
    <cellStyle name="40% - Accent6 5 2 2 4 3 2 2" xfId="22459" xr:uid="{00000000-0005-0000-0000-0000B5950000}"/>
    <cellStyle name="40% - Accent6 5 2 2 4 3 2 2 2" xfId="45061" xr:uid="{00000000-0005-0000-0000-0000B6950000}"/>
    <cellStyle name="40% - Accent6 5 2 2 4 3 2 3" xfId="33760" xr:uid="{00000000-0005-0000-0000-0000B7950000}"/>
    <cellStyle name="40% - Accent6 5 2 2 4 3 3" xfId="16809" xr:uid="{00000000-0005-0000-0000-0000B8950000}"/>
    <cellStyle name="40% - Accent6 5 2 2 4 3 3 2" xfId="39411" xr:uid="{00000000-0005-0000-0000-0000B9950000}"/>
    <cellStyle name="40% - Accent6 5 2 2 4 3 4" xfId="28110" xr:uid="{00000000-0005-0000-0000-0000BA950000}"/>
    <cellStyle name="40% - Accent6 5 2 2 4 4" xfId="7923" xr:uid="{00000000-0005-0000-0000-0000BB950000}"/>
    <cellStyle name="40% - Accent6 5 2 2 4 4 2" xfId="19224" xr:uid="{00000000-0005-0000-0000-0000BC950000}"/>
    <cellStyle name="40% - Accent6 5 2 2 4 4 2 2" xfId="41826" xr:uid="{00000000-0005-0000-0000-0000BD950000}"/>
    <cellStyle name="40% - Accent6 5 2 2 4 4 3" xfId="30525" xr:uid="{00000000-0005-0000-0000-0000BE950000}"/>
    <cellStyle name="40% - Accent6 5 2 2 4 5" xfId="13574" xr:uid="{00000000-0005-0000-0000-0000BF950000}"/>
    <cellStyle name="40% - Accent6 5 2 2 4 5 2" xfId="36176" xr:uid="{00000000-0005-0000-0000-0000C0950000}"/>
    <cellStyle name="40% - Accent6 5 2 2 4 6" xfId="24875" xr:uid="{00000000-0005-0000-0000-0000C1950000}"/>
    <cellStyle name="40% - Accent6 5 2 2 5" xfId="2489" xr:uid="{00000000-0005-0000-0000-0000C2950000}"/>
    <cellStyle name="40% - Accent6 5 2 2 5 2" xfId="8325" xr:uid="{00000000-0005-0000-0000-0000C3950000}"/>
    <cellStyle name="40% - Accent6 5 2 2 5 2 2" xfId="19626" xr:uid="{00000000-0005-0000-0000-0000C4950000}"/>
    <cellStyle name="40% - Accent6 5 2 2 5 2 2 2" xfId="42228" xr:uid="{00000000-0005-0000-0000-0000C5950000}"/>
    <cellStyle name="40% - Accent6 5 2 2 5 2 3" xfId="30927" xr:uid="{00000000-0005-0000-0000-0000C6950000}"/>
    <cellStyle name="40% - Accent6 5 2 2 5 3" xfId="13976" xr:uid="{00000000-0005-0000-0000-0000C7950000}"/>
    <cellStyle name="40% - Accent6 5 2 2 5 3 2" xfId="36578" xr:uid="{00000000-0005-0000-0000-0000C8950000}"/>
    <cellStyle name="40% - Accent6 5 2 2 5 4" xfId="25277" xr:uid="{00000000-0005-0000-0000-0000C9950000}"/>
    <cellStyle name="40% - Accent6 5 2 2 6" xfId="4274" xr:uid="{00000000-0005-0000-0000-0000CA950000}"/>
    <cellStyle name="40% - Accent6 5 2 2 6 2" xfId="9924" xr:uid="{00000000-0005-0000-0000-0000CB950000}"/>
    <cellStyle name="40% - Accent6 5 2 2 6 2 2" xfId="21225" xr:uid="{00000000-0005-0000-0000-0000CC950000}"/>
    <cellStyle name="40% - Accent6 5 2 2 6 2 2 2" xfId="43827" xr:uid="{00000000-0005-0000-0000-0000CD950000}"/>
    <cellStyle name="40% - Accent6 5 2 2 6 2 3" xfId="32526" xr:uid="{00000000-0005-0000-0000-0000CE950000}"/>
    <cellStyle name="40% - Accent6 5 2 2 6 3" xfId="15575" xr:uid="{00000000-0005-0000-0000-0000CF950000}"/>
    <cellStyle name="40% - Accent6 5 2 2 6 3 2" xfId="38177" xr:uid="{00000000-0005-0000-0000-0000D0950000}"/>
    <cellStyle name="40% - Accent6 5 2 2 6 4" xfId="26876" xr:uid="{00000000-0005-0000-0000-0000D1950000}"/>
    <cellStyle name="40% - Accent6 5 2 2 7" xfId="6754" xr:uid="{00000000-0005-0000-0000-0000D2950000}"/>
    <cellStyle name="40% - Accent6 5 2 2 7 2" xfId="18055" xr:uid="{00000000-0005-0000-0000-0000D3950000}"/>
    <cellStyle name="40% - Accent6 5 2 2 7 2 2" xfId="40657" xr:uid="{00000000-0005-0000-0000-0000D4950000}"/>
    <cellStyle name="40% - Accent6 5 2 2 7 3" xfId="29356" xr:uid="{00000000-0005-0000-0000-0000D5950000}"/>
    <cellStyle name="40% - Accent6 5 2 2 8" xfId="12405" xr:uid="{00000000-0005-0000-0000-0000D6950000}"/>
    <cellStyle name="40% - Accent6 5 2 2 8 2" xfId="35007" xr:uid="{00000000-0005-0000-0000-0000D7950000}"/>
    <cellStyle name="40% - Accent6 5 2 2 9" xfId="23706" xr:uid="{00000000-0005-0000-0000-0000D8950000}"/>
    <cellStyle name="40% - Accent6 5 2 3" xfId="1261" xr:uid="{00000000-0005-0000-0000-0000D9950000}"/>
    <cellStyle name="40% - Accent6 5 2 3 2" xfId="2069" xr:uid="{00000000-0005-0000-0000-0000DA950000}"/>
    <cellStyle name="40% - Accent6 5 2 3 2 2" xfId="3329" xr:uid="{00000000-0005-0000-0000-0000DB950000}"/>
    <cellStyle name="40% - Accent6 5 2 3 2 2 2" xfId="6301" xr:uid="{00000000-0005-0000-0000-0000DC950000}"/>
    <cellStyle name="40% - Accent6 5 2 3 2 2 2 2" xfId="11951" xr:uid="{00000000-0005-0000-0000-0000DD950000}"/>
    <cellStyle name="40% - Accent6 5 2 3 2 2 2 2 2" xfId="23252" xr:uid="{00000000-0005-0000-0000-0000DE950000}"/>
    <cellStyle name="40% - Accent6 5 2 3 2 2 2 2 2 2" xfId="45854" xr:uid="{00000000-0005-0000-0000-0000DF950000}"/>
    <cellStyle name="40% - Accent6 5 2 3 2 2 2 2 3" xfId="34553" xr:uid="{00000000-0005-0000-0000-0000E0950000}"/>
    <cellStyle name="40% - Accent6 5 2 3 2 2 2 3" xfId="17602" xr:uid="{00000000-0005-0000-0000-0000E1950000}"/>
    <cellStyle name="40% - Accent6 5 2 3 2 2 2 3 2" xfId="40204" xr:uid="{00000000-0005-0000-0000-0000E2950000}"/>
    <cellStyle name="40% - Accent6 5 2 3 2 2 2 4" xfId="28903" xr:uid="{00000000-0005-0000-0000-0000E3950000}"/>
    <cellStyle name="40% - Accent6 5 2 3 2 2 3" xfId="9119" xr:uid="{00000000-0005-0000-0000-0000E4950000}"/>
    <cellStyle name="40% - Accent6 5 2 3 2 2 3 2" xfId="20420" xr:uid="{00000000-0005-0000-0000-0000E5950000}"/>
    <cellStyle name="40% - Accent6 5 2 3 2 2 3 2 2" xfId="43022" xr:uid="{00000000-0005-0000-0000-0000E6950000}"/>
    <cellStyle name="40% - Accent6 5 2 3 2 2 3 3" xfId="31721" xr:uid="{00000000-0005-0000-0000-0000E7950000}"/>
    <cellStyle name="40% - Accent6 5 2 3 2 2 4" xfId="14770" xr:uid="{00000000-0005-0000-0000-0000E8950000}"/>
    <cellStyle name="40% - Accent6 5 2 3 2 2 4 2" xfId="37372" xr:uid="{00000000-0005-0000-0000-0000E9950000}"/>
    <cellStyle name="40% - Accent6 5 2 3 2 2 5" xfId="26071" xr:uid="{00000000-0005-0000-0000-0000EA950000}"/>
    <cellStyle name="40% - Accent6 5 2 3 2 3" xfId="5067" xr:uid="{00000000-0005-0000-0000-0000EB950000}"/>
    <cellStyle name="40% - Accent6 5 2 3 2 3 2" xfId="10717" xr:uid="{00000000-0005-0000-0000-0000EC950000}"/>
    <cellStyle name="40% - Accent6 5 2 3 2 3 2 2" xfId="22018" xr:uid="{00000000-0005-0000-0000-0000ED950000}"/>
    <cellStyle name="40% - Accent6 5 2 3 2 3 2 2 2" xfId="44620" xr:uid="{00000000-0005-0000-0000-0000EE950000}"/>
    <cellStyle name="40% - Accent6 5 2 3 2 3 2 3" xfId="33319" xr:uid="{00000000-0005-0000-0000-0000EF950000}"/>
    <cellStyle name="40% - Accent6 5 2 3 2 3 3" xfId="16368" xr:uid="{00000000-0005-0000-0000-0000F0950000}"/>
    <cellStyle name="40% - Accent6 5 2 3 2 3 3 2" xfId="38970" xr:uid="{00000000-0005-0000-0000-0000F1950000}"/>
    <cellStyle name="40% - Accent6 5 2 3 2 3 4" xfId="27669" xr:uid="{00000000-0005-0000-0000-0000F2950000}"/>
    <cellStyle name="40% - Accent6 5 2 3 2 4" xfId="7925" xr:uid="{00000000-0005-0000-0000-0000F3950000}"/>
    <cellStyle name="40% - Accent6 5 2 3 2 4 2" xfId="19226" xr:uid="{00000000-0005-0000-0000-0000F4950000}"/>
    <cellStyle name="40% - Accent6 5 2 3 2 4 2 2" xfId="41828" xr:uid="{00000000-0005-0000-0000-0000F5950000}"/>
    <cellStyle name="40% - Accent6 5 2 3 2 4 3" xfId="30527" xr:uid="{00000000-0005-0000-0000-0000F6950000}"/>
    <cellStyle name="40% - Accent6 5 2 3 2 5" xfId="13576" xr:uid="{00000000-0005-0000-0000-0000F7950000}"/>
    <cellStyle name="40% - Accent6 5 2 3 2 5 2" xfId="36178" xr:uid="{00000000-0005-0000-0000-0000F8950000}"/>
    <cellStyle name="40% - Accent6 5 2 3 2 6" xfId="24877" xr:uid="{00000000-0005-0000-0000-0000F9950000}"/>
    <cellStyle name="40% - Accent6 5 2 3 3" xfId="2658" xr:uid="{00000000-0005-0000-0000-0000FA950000}"/>
    <cellStyle name="40% - Accent6 5 2 3 3 2" xfId="5677" xr:uid="{00000000-0005-0000-0000-0000FB950000}"/>
    <cellStyle name="40% - Accent6 5 2 3 3 2 2" xfId="11327" xr:uid="{00000000-0005-0000-0000-0000FC950000}"/>
    <cellStyle name="40% - Accent6 5 2 3 3 2 2 2" xfId="22628" xr:uid="{00000000-0005-0000-0000-0000FD950000}"/>
    <cellStyle name="40% - Accent6 5 2 3 3 2 2 2 2" xfId="45230" xr:uid="{00000000-0005-0000-0000-0000FE950000}"/>
    <cellStyle name="40% - Accent6 5 2 3 3 2 2 3" xfId="33929" xr:uid="{00000000-0005-0000-0000-0000FF950000}"/>
    <cellStyle name="40% - Accent6 5 2 3 3 2 3" xfId="16978" xr:uid="{00000000-0005-0000-0000-000000960000}"/>
    <cellStyle name="40% - Accent6 5 2 3 3 2 3 2" xfId="39580" xr:uid="{00000000-0005-0000-0000-000001960000}"/>
    <cellStyle name="40% - Accent6 5 2 3 3 2 4" xfId="28279" xr:uid="{00000000-0005-0000-0000-000002960000}"/>
    <cellStyle name="40% - Accent6 5 2 3 3 3" xfId="8494" xr:uid="{00000000-0005-0000-0000-000003960000}"/>
    <cellStyle name="40% - Accent6 5 2 3 3 3 2" xfId="19795" xr:uid="{00000000-0005-0000-0000-000004960000}"/>
    <cellStyle name="40% - Accent6 5 2 3 3 3 2 2" xfId="42397" xr:uid="{00000000-0005-0000-0000-000005960000}"/>
    <cellStyle name="40% - Accent6 5 2 3 3 3 3" xfId="31096" xr:uid="{00000000-0005-0000-0000-000006960000}"/>
    <cellStyle name="40% - Accent6 5 2 3 3 4" xfId="14145" xr:uid="{00000000-0005-0000-0000-000007960000}"/>
    <cellStyle name="40% - Accent6 5 2 3 3 4 2" xfId="36747" xr:uid="{00000000-0005-0000-0000-000008960000}"/>
    <cellStyle name="40% - Accent6 5 2 3 3 5" xfId="25446" xr:uid="{00000000-0005-0000-0000-000009960000}"/>
    <cellStyle name="40% - Accent6 5 2 3 4" xfId="4443" xr:uid="{00000000-0005-0000-0000-00000A960000}"/>
    <cellStyle name="40% - Accent6 5 2 3 4 2" xfId="10093" xr:uid="{00000000-0005-0000-0000-00000B960000}"/>
    <cellStyle name="40% - Accent6 5 2 3 4 2 2" xfId="21394" xr:uid="{00000000-0005-0000-0000-00000C960000}"/>
    <cellStyle name="40% - Accent6 5 2 3 4 2 2 2" xfId="43996" xr:uid="{00000000-0005-0000-0000-00000D960000}"/>
    <cellStyle name="40% - Accent6 5 2 3 4 2 3" xfId="32695" xr:uid="{00000000-0005-0000-0000-00000E960000}"/>
    <cellStyle name="40% - Accent6 5 2 3 4 3" xfId="15744" xr:uid="{00000000-0005-0000-0000-00000F960000}"/>
    <cellStyle name="40% - Accent6 5 2 3 4 3 2" xfId="38346" xr:uid="{00000000-0005-0000-0000-000010960000}"/>
    <cellStyle name="40% - Accent6 5 2 3 4 4" xfId="27045" xr:uid="{00000000-0005-0000-0000-000011960000}"/>
    <cellStyle name="40% - Accent6 5 2 3 5" xfId="7240" xr:uid="{00000000-0005-0000-0000-000012960000}"/>
    <cellStyle name="40% - Accent6 5 2 3 5 2" xfId="18541" xr:uid="{00000000-0005-0000-0000-000013960000}"/>
    <cellStyle name="40% - Accent6 5 2 3 5 2 2" xfId="41143" xr:uid="{00000000-0005-0000-0000-000014960000}"/>
    <cellStyle name="40% - Accent6 5 2 3 5 3" xfId="29842" xr:uid="{00000000-0005-0000-0000-000015960000}"/>
    <cellStyle name="40% - Accent6 5 2 3 6" xfId="12891" xr:uid="{00000000-0005-0000-0000-000016960000}"/>
    <cellStyle name="40% - Accent6 5 2 3 6 2" xfId="35493" xr:uid="{00000000-0005-0000-0000-000017960000}"/>
    <cellStyle name="40% - Accent6 5 2 3 7" xfId="24192" xr:uid="{00000000-0005-0000-0000-000018960000}"/>
    <cellStyle name="40% - Accent6 5 2 4" xfId="952" xr:uid="{00000000-0005-0000-0000-000019960000}"/>
    <cellStyle name="40% - Accent6 5 2 4 2" xfId="3022" xr:uid="{00000000-0005-0000-0000-00001A960000}"/>
    <cellStyle name="40% - Accent6 5 2 4 2 2" xfId="5994" xr:uid="{00000000-0005-0000-0000-00001B960000}"/>
    <cellStyle name="40% - Accent6 5 2 4 2 2 2" xfId="11644" xr:uid="{00000000-0005-0000-0000-00001C960000}"/>
    <cellStyle name="40% - Accent6 5 2 4 2 2 2 2" xfId="22945" xr:uid="{00000000-0005-0000-0000-00001D960000}"/>
    <cellStyle name="40% - Accent6 5 2 4 2 2 2 2 2" xfId="45547" xr:uid="{00000000-0005-0000-0000-00001E960000}"/>
    <cellStyle name="40% - Accent6 5 2 4 2 2 2 3" xfId="34246" xr:uid="{00000000-0005-0000-0000-00001F960000}"/>
    <cellStyle name="40% - Accent6 5 2 4 2 2 3" xfId="17295" xr:uid="{00000000-0005-0000-0000-000020960000}"/>
    <cellStyle name="40% - Accent6 5 2 4 2 2 3 2" xfId="39897" xr:uid="{00000000-0005-0000-0000-000021960000}"/>
    <cellStyle name="40% - Accent6 5 2 4 2 2 4" xfId="28596" xr:uid="{00000000-0005-0000-0000-000022960000}"/>
    <cellStyle name="40% - Accent6 5 2 4 2 3" xfId="8812" xr:uid="{00000000-0005-0000-0000-000023960000}"/>
    <cellStyle name="40% - Accent6 5 2 4 2 3 2" xfId="20113" xr:uid="{00000000-0005-0000-0000-000024960000}"/>
    <cellStyle name="40% - Accent6 5 2 4 2 3 2 2" xfId="42715" xr:uid="{00000000-0005-0000-0000-000025960000}"/>
    <cellStyle name="40% - Accent6 5 2 4 2 3 3" xfId="31414" xr:uid="{00000000-0005-0000-0000-000026960000}"/>
    <cellStyle name="40% - Accent6 5 2 4 2 4" xfId="14463" xr:uid="{00000000-0005-0000-0000-000027960000}"/>
    <cellStyle name="40% - Accent6 5 2 4 2 4 2" xfId="37065" xr:uid="{00000000-0005-0000-0000-000028960000}"/>
    <cellStyle name="40% - Accent6 5 2 4 2 5" xfId="25764" xr:uid="{00000000-0005-0000-0000-000029960000}"/>
    <cellStyle name="40% - Accent6 5 2 4 3" xfId="4760" xr:uid="{00000000-0005-0000-0000-00002A960000}"/>
    <cellStyle name="40% - Accent6 5 2 4 3 2" xfId="10410" xr:uid="{00000000-0005-0000-0000-00002B960000}"/>
    <cellStyle name="40% - Accent6 5 2 4 3 2 2" xfId="21711" xr:uid="{00000000-0005-0000-0000-00002C960000}"/>
    <cellStyle name="40% - Accent6 5 2 4 3 2 2 2" xfId="44313" xr:uid="{00000000-0005-0000-0000-00002D960000}"/>
    <cellStyle name="40% - Accent6 5 2 4 3 2 3" xfId="33012" xr:uid="{00000000-0005-0000-0000-00002E960000}"/>
    <cellStyle name="40% - Accent6 5 2 4 3 3" xfId="16061" xr:uid="{00000000-0005-0000-0000-00002F960000}"/>
    <cellStyle name="40% - Accent6 5 2 4 3 3 2" xfId="38663" xr:uid="{00000000-0005-0000-0000-000030960000}"/>
    <cellStyle name="40% - Accent6 5 2 4 3 4" xfId="27362" xr:uid="{00000000-0005-0000-0000-000031960000}"/>
    <cellStyle name="40% - Accent6 5 2 4 4" xfId="6947" xr:uid="{00000000-0005-0000-0000-000032960000}"/>
    <cellStyle name="40% - Accent6 5 2 4 4 2" xfId="18248" xr:uid="{00000000-0005-0000-0000-000033960000}"/>
    <cellStyle name="40% - Accent6 5 2 4 4 2 2" xfId="40850" xr:uid="{00000000-0005-0000-0000-000034960000}"/>
    <cellStyle name="40% - Accent6 5 2 4 4 3" xfId="29549" xr:uid="{00000000-0005-0000-0000-000035960000}"/>
    <cellStyle name="40% - Accent6 5 2 4 5" xfId="12598" xr:uid="{00000000-0005-0000-0000-000036960000}"/>
    <cellStyle name="40% - Accent6 5 2 4 5 2" xfId="35200" xr:uid="{00000000-0005-0000-0000-000037960000}"/>
    <cellStyle name="40% - Accent6 5 2 4 6" xfId="23899" xr:uid="{00000000-0005-0000-0000-000038960000}"/>
    <cellStyle name="40% - Accent6 5 2 5" xfId="2066" xr:uid="{00000000-0005-0000-0000-000039960000}"/>
    <cellStyle name="40% - Accent6 5 2 5 2" xfId="3839" xr:uid="{00000000-0005-0000-0000-00003A960000}"/>
    <cellStyle name="40% - Accent6 5 2 5 2 2" xfId="9547" xr:uid="{00000000-0005-0000-0000-00003B960000}"/>
    <cellStyle name="40% - Accent6 5 2 5 2 2 2" xfId="20848" xr:uid="{00000000-0005-0000-0000-00003C960000}"/>
    <cellStyle name="40% - Accent6 5 2 5 2 2 2 2" xfId="43450" xr:uid="{00000000-0005-0000-0000-00003D960000}"/>
    <cellStyle name="40% - Accent6 5 2 5 2 2 3" xfId="32149" xr:uid="{00000000-0005-0000-0000-00003E960000}"/>
    <cellStyle name="40% - Accent6 5 2 5 2 3" xfId="15198" xr:uid="{00000000-0005-0000-0000-00003F960000}"/>
    <cellStyle name="40% - Accent6 5 2 5 2 3 2" xfId="37800" xr:uid="{00000000-0005-0000-0000-000040960000}"/>
    <cellStyle name="40% - Accent6 5 2 5 2 4" xfId="26499" xr:uid="{00000000-0005-0000-0000-000041960000}"/>
    <cellStyle name="40% - Accent6 5 2 5 3" xfId="5370" xr:uid="{00000000-0005-0000-0000-000042960000}"/>
    <cellStyle name="40% - Accent6 5 2 5 3 2" xfId="11020" xr:uid="{00000000-0005-0000-0000-000043960000}"/>
    <cellStyle name="40% - Accent6 5 2 5 3 2 2" xfId="22321" xr:uid="{00000000-0005-0000-0000-000044960000}"/>
    <cellStyle name="40% - Accent6 5 2 5 3 2 2 2" xfId="44923" xr:uid="{00000000-0005-0000-0000-000045960000}"/>
    <cellStyle name="40% - Accent6 5 2 5 3 2 3" xfId="33622" xr:uid="{00000000-0005-0000-0000-000046960000}"/>
    <cellStyle name="40% - Accent6 5 2 5 3 3" xfId="16671" xr:uid="{00000000-0005-0000-0000-000047960000}"/>
    <cellStyle name="40% - Accent6 5 2 5 3 3 2" xfId="39273" xr:uid="{00000000-0005-0000-0000-000048960000}"/>
    <cellStyle name="40% - Accent6 5 2 5 3 4" xfId="27972" xr:uid="{00000000-0005-0000-0000-000049960000}"/>
    <cellStyle name="40% - Accent6 5 2 5 4" xfId="7922" xr:uid="{00000000-0005-0000-0000-00004A960000}"/>
    <cellStyle name="40% - Accent6 5 2 5 4 2" xfId="19223" xr:uid="{00000000-0005-0000-0000-00004B960000}"/>
    <cellStyle name="40% - Accent6 5 2 5 4 2 2" xfId="41825" xr:uid="{00000000-0005-0000-0000-00004C960000}"/>
    <cellStyle name="40% - Accent6 5 2 5 4 3" xfId="30524" xr:uid="{00000000-0005-0000-0000-00004D960000}"/>
    <cellStyle name="40% - Accent6 5 2 5 5" xfId="13573" xr:uid="{00000000-0005-0000-0000-00004E960000}"/>
    <cellStyle name="40% - Accent6 5 2 5 5 2" xfId="36175" xr:uid="{00000000-0005-0000-0000-00004F960000}"/>
    <cellStyle name="40% - Accent6 5 2 5 6" xfId="24874" xr:uid="{00000000-0005-0000-0000-000050960000}"/>
    <cellStyle name="40% - Accent6 5 2 6" xfId="2349" xr:uid="{00000000-0005-0000-0000-000051960000}"/>
    <cellStyle name="40% - Accent6 5 2 6 2" xfId="8185" xr:uid="{00000000-0005-0000-0000-000052960000}"/>
    <cellStyle name="40% - Accent6 5 2 6 2 2" xfId="19486" xr:uid="{00000000-0005-0000-0000-000053960000}"/>
    <cellStyle name="40% - Accent6 5 2 6 2 2 2" xfId="42088" xr:uid="{00000000-0005-0000-0000-000054960000}"/>
    <cellStyle name="40% - Accent6 5 2 6 2 3" xfId="30787" xr:uid="{00000000-0005-0000-0000-000055960000}"/>
    <cellStyle name="40% - Accent6 5 2 6 3" xfId="13836" xr:uid="{00000000-0005-0000-0000-000056960000}"/>
    <cellStyle name="40% - Accent6 5 2 6 3 2" xfId="36438" xr:uid="{00000000-0005-0000-0000-000057960000}"/>
    <cellStyle name="40% - Accent6 5 2 6 4" xfId="25137" xr:uid="{00000000-0005-0000-0000-000058960000}"/>
    <cellStyle name="40% - Accent6 5 2 7" xfId="4136" xr:uid="{00000000-0005-0000-0000-000059960000}"/>
    <cellStyle name="40% - Accent6 5 2 7 2" xfId="9786" xr:uid="{00000000-0005-0000-0000-00005A960000}"/>
    <cellStyle name="40% - Accent6 5 2 7 2 2" xfId="21087" xr:uid="{00000000-0005-0000-0000-00005B960000}"/>
    <cellStyle name="40% - Accent6 5 2 7 2 2 2" xfId="43689" xr:uid="{00000000-0005-0000-0000-00005C960000}"/>
    <cellStyle name="40% - Accent6 5 2 7 2 3" xfId="32388" xr:uid="{00000000-0005-0000-0000-00005D960000}"/>
    <cellStyle name="40% - Accent6 5 2 7 3" xfId="15437" xr:uid="{00000000-0005-0000-0000-00005E960000}"/>
    <cellStyle name="40% - Accent6 5 2 7 3 2" xfId="38039" xr:uid="{00000000-0005-0000-0000-00005F960000}"/>
    <cellStyle name="40% - Accent6 5 2 7 4" xfId="26738" xr:uid="{00000000-0005-0000-0000-000060960000}"/>
    <cellStyle name="40% - Accent6 5 2 8" xfId="6587" xr:uid="{00000000-0005-0000-0000-000061960000}"/>
    <cellStyle name="40% - Accent6 5 2 8 2" xfId="17888" xr:uid="{00000000-0005-0000-0000-000062960000}"/>
    <cellStyle name="40% - Accent6 5 2 8 2 2" xfId="40490" xr:uid="{00000000-0005-0000-0000-000063960000}"/>
    <cellStyle name="40% - Accent6 5 2 8 3" xfId="29189" xr:uid="{00000000-0005-0000-0000-000064960000}"/>
    <cellStyle name="40% - Accent6 5 2 9" xfId="12238" xr:uid="{00000000-0005-0000-0000-000065960000}"/>
    <cellStyle name="40% - Accent6 5 2 9 2" xfId="34840" xr:uid="{00000000-0005-0000-0000-000066960000}"/>
    <cellStyle name="40% - Accent6 5 3" xfId="593" xr:uid="{00000000-0005-0000-0000-000067960000}"/>
    <cellStyle name="40% - Accent6 5 3 2" xfId="1306" xr:uid="{00000000-0005-0000-0000-000068960000}"/>
    <cellStyle name="40% - Accent6 5 3 2 2" xfId="2071" xr:uid="{00000000-0005-0000-0000-000069960000}"/>
    <cellStyle name="40% - Accent6 5 3 2 2 2" xfId="3375" xr:uid="{00000000-0005-0000-0000-00006A960000}"/>
    <cellStyle name="40% - Accent6 5 3 2 2 2 2" xfId="6347" xr:uid="{00000000-0005-0000-0000-00006B960000}"/>
    <cellStyle name="40% - Accent6 5 3 2 2 2 2 2" xfId="11997" xr:uid="{00000000-0005-0000-0000-00006C960000}"/>
    <cellStyle name="40% - Accent6 5 3 2 2 2 2 2 2" xfId="23298" xr:uid="{00000000-0005-0000-0000-00006D960000}"/>
    <cellStyle name="40% - Accent6 5 3 2 2 2 2 2 2 2" xfId="45900" xr:uid="{00000000-0005-0000-0000-00006E960000}"/>
    <cellStyle name="40% - Accent6 5 3 2 2 2 2 2 3" xfId="34599" xr:uid="{00000000-0005-0000-0000-00006F960000}"/>
    <cellStyle name="40% - Accent6 5 3 2 2 2 2 3" xfId="17648" xr:uid="{00000000-0005-0000-0000-000070960000}"/>
    <cellStyle name="40% - Accent6 5 3 2 2 2 2 3 2" xfId="40250" xr:uid="{00000000-0005-0000-0000-000071960000}"/>
    <cellStyle name="40% - Accent6 5 3 2 2 2 2 4" xfId="28949" xr:uid="{00000000-0005-0000-0000-000072960000}"/>
    <cellStyle name="40% - Accent6 5 3 2 2 2 3" xfId="9165" xr:uid="{00000000-0005-0000-0000-000073960000}"/>
    <cellStyle name="40% - Accent6 5 3 2 2 2 3 2" xfId="20466" xr:uid="{00000000-0005-0000-0000-000074960000}"/>
    <cellStyle name="40% - Accent6 5 3 2 2 2 3 2 2" xfId="43068" xr:uid="{00000000-0005-0000-0000-000075960000}"/>
    <cellStyle name="40% - Accent6 5 3 2 2 2 3 3" xfId="31767" xr:uid="{00000000-0005-0000-0000-000076960000}"/>
    <cellStyle name="40% - Accent6 5 3 2 2 2 4" xfId="14816" xr:uid="{00000000-0005-0000-0000-000077960000}"/>
    <cellStyle name="40% - Accent6 5 3 2 2 2 4 2" xfId="37418" xr:uid="{00000000-0005-0000-0000-000078960000}"/>
    <cellStyle name="40% - Accent6 5 3 2 2 2 5" xfId="26117" xr:uid="{00000000-0005-0000-0000-000079960000}"/>
    <cellStyle name="40% - Accent6 5 3 2 2 3" xfId="5113" xr:uid="{00000000-0005-0000-0000-00007A960000}"/>
    <cellStyle name="40% - Accent6 5 3 2 2 3 2" xfId="10763" xr:uid="{00000000-0005-0000-0000-00007B960000}"/>
    <cellStyle name="40% - Accent6 5 3 2 2 3 2 2" xfId="22064" xr:uid="{00000000-0005-0000-0000-00007C960000}"/>
    <cellStyle name="40% - Accent6 5 3 2 2 3 2 2 2" xfId="44666" xr:uid="{00000000-0005-0000-0000-00007D960000}"/>
    <cellStyle name="40% - Accent6 5 3 2 2 3 2 3" xfId="33365" xr:uid="{00000000-0005-0000-0000-00007E960000}"/>
    <cellStyle name="40% - Accent6 5 3 2 2 3 3" xfId="16414" xr:uid="{00000000-0005-0000-0000-00007F960000}"/>
    <cellStyle name="40% - Accent6 5 3 2 2 3 3 2" xfId="39016" xr:uid="{00000000-0005-0000-0000-000080960000}"/>
    <cellStyle name="40% - Accent6 5 3 2 2 3 4" xfId="27715" xr:uid="{00000000-0005-0000-0000-000081960000}"/>
    <cellStyle name="40% - Accent6 5 3 2 2 4" xfId="7927" xr:uid="{00000000-0005-0000-0000-000082960000}"/>
    <cellStyle name="40% - Accent6 5 3 2 2 4 2" xfId="19228" xr:uid="{00000000-0005-0000-0000-000083960000}"/>
    <cellStyle name="40% - Accent6 5 3 2 2 4 2 2" xfId="41830" xr:uid="{00000000-0005-0000-0000-000084960000}"/>
    <cellStyle name="40% - Accent6 5 3 2 2 4 3" xfId="30529" xr:uid="{00000000-0005-0000-0000-000085960000}"/>
    <cellStyle name="40% - Accent6 5 3 2 2 5" xfId="13578" xr:uid="{00000000-0005-0000-0000-000086960000}"/>
    <cellStyle name="40% - Accent6 5 3 2 2 5 2" xfId="36180" xr:uid="{00000000-0005-0000-0000-000087960000}"/>
    <cellStyle name="40% - Accent6 5 3 2 2 6" xfId="24879" xr:uid="{00000000-0005-0000-0000-000088960000}"/>
    <cellStyle name="40% - Accent6 5 3 2 3" xfId="2704" xr:uid="{00000000-0005-0000-0000-000089960000}"/>
    <cellStyle name="40% - Accent6 5 3 2 3 2" xfId="5723" xr:uid="{00000000-0005-0000-0000-00008A960000}"/>
    <cellStyle name="40% - Accent6 5 3 2 3 2 2" xfId="11373" xr:uid="{00000000-0005-0000-0000-00008B960000}"/>
    <cellStyle name="40% - Accent6 5 3 2 3 2 2 2" xfId="22674" xr:uid="{00000000-0005-0000-0000-00008C960000}"/>
    <cellStyle name="40% - Accent6 5 3 2 3 2 2 2 2" xfId="45276" xr:uid="{00000000-0005-0000-0000-00008D960000}"/>
    <cellStyle name="40% - Accent6 5 3 2 3 2 2 3" xfId="33975" xr:uid="{00000000-0005-0000-0000-00008E960000}"/>
    <cellStyle name="40% - Accent6 5 3 2 3 2 3" xfId="17024" xr:uid="{00000000-0005-0000-0000-00008F960000}"/>
    <cellStyle name="40% - Accent6 5 3 2 3 2 3 2" xfId="39626" xr:uid="{00000000-0005-0000-0000-000090960000}"/>
    <cellStyle name="40% - Accent6 5 3 2 3 2 4" xfId="28325" xr:uid="{00000000-0005-0000-0000-000091960000}"/>
    <cellStyle name="40% - Accent6 5 3 2 3 3" xfId="8540" xr:uid="{00000000-0005-0000-0000-000092960000}"/>
    <cellStyle name="40% - Accent6 5 3 2 3 3 2" xfId="19841" xr:uid="{00000000-0005-0000-0000-000093960000}"/>
    <cellStyle name="40% - Accent6 5 3 2 3 3 2 2" xfId="42443" xr:uid="{00000000-0005-0000-0000-000094960000}"/>
    <cellStyle name="40% - Accent6 5 3 2 3 3 3" xfId="31142" xr:uid="{00000000-0005-0000-0000-000095960000}"/>
    <cellStyle name="40% - Accent6 5 3 2 3 4" xfId="14191" xr:uid="{00000000-0005-0000-0000-000096960000}"/>
    <cellStyle name="40% - Accent6 5 3 2 3 4 2" xfId="36793" xr:uid="{00000000-0005-0000-0000-000097960000}"/>
    <cellStyle name="40% - Accent6 5 3 2 3 5" xfId="25492" xr:uid="{00000000-0005-0000-0000-000098960000}"/>
    <cellStyle name="40% - Accent6 5 3 2 4" xfId="4489" xr:uid="{00000000-0005-0000-0000-000099960000}"/>
    <cellStyle name="40% - Accent6 5 3 2 4 2" xfId="10139" xr:uid="{00000000-0005-0000-0000-00009A960000}"/>
    <cellStyle name="40% - Accent6 5 3 2 4 2 2" xfId="21440" xr:uid="{00000000-0005-0000-0000-00009B960000}"/>
    <cellStyle name="40% - Accent6 5 3 2 4 2 2 2" xfId="44042" xr:uid="{00000000-0005-0000-0000-00009C960000}"/>
    <cellStyle name="40% - Accent6 5 3 2 4 2 3" xfId="32741" xr:uid="{00000000-0005-0000-0000-00009D960000}"/>
    <cellStyle name="40% - Accent6 5 3 2 4 3" xfId="15790" xr:uid="{00000000-0005-0000-0000-00009E960000}"/>
    <cellStyle name="40% - Accent6 5 3 2 4 3 2" xfId="38392" xr:uid="{00000000-0005-0000-0000-00009F960000}"/>
    <cellStyle name="40% - Accent6 5 3 2 4 4" xfId="27091" xr:uid="{00000000-0005-0000-0000-0000A0960000}"/>
    <cellStyle name="40% - Accent6 5 3 2 5" xfId="7285" xr:uid="{00000000-0005-0000-0000-0000A1960000}"/>
    <cellStyle name="40% - Accent6 5 3 2 5 2" xfId="18586" xr:uid="{00000000-0005-0000-0000-0000A2960000}"/>
    <cellStyle name="40% - Accent6 5 3 2 5 2 2" xfId="41188" xr:uid="{00000000-0005-0000-0000-0000A3960000}"/>
    <cellStyle name="40% - Accent6 5 3 2 5 3" xfId="29887" xr:uid="{00000000-0005-0000-0000-0000A4960000}"/>
    <cellStyle name="40% - Accent6 5 3 2 6" xfId="12936" xr:uid="{00000000-0005-0000-0000-0000A5960000}"/>
    <cellStyle name="40% - Accent6 5 3 2 6 2" xfId="35538" xr:uid="{00000000-0005-0000-0000-0000A6960000}"/>
    <cellStyle name="40% - Accent6 5 3 2 7" xfId="24237" xr:uid="{00000000-0005-0000-0000-0000A7960000}"/>
    <cellStyle name="40% - Accent6 5 3 3" xfId="1004" xr:uid="{00000000-0005-0000-0000-0000A8960000}"/>
    <cellStyle name="40% - Accent6 5 3 3 2" xfId="3067" xr:uid="{00000000-0005-0000-0000-0000A9960000}"/>
    <cellStyle name="40% - Accent6 5 3 3 2 2" xfId="6039" xr:uid="{00000000-0005-0000-0000-0000AA960000}"/>
    <cellStyle name="40% - Accent6 5 3 3 2 2 2" xfId="11689" xr:uid="{00000000-0005-0000-0000-0000AB960000}"/>
    <cellStyle name="40% - Accent6 5 3 3 2 2 2 2" xfId="22990" xr:uid="{00000000-0005-0000-0000-0000AC960000}"/>
    <cellStyle name="40% - Accent6 5 3 3 2 2 2 2 2" xfId="45592" xr:uid="{00000000-0005-0000-0000-0000AD960000}"/>
    <cellStyle name="40% - Accent6 5 3 3 2 2 2 3" xfId="34291" xr:uid="{00000000-0005-0000-0000-0000AE960000}"/>
    <cellStyle name="40% - Accent6 5 3 3 2 2 3" xfId="17340" xr:uid="{00000000-0005-0000-0000-0000AF960000}"/>
    <cellStyle name="40% - Accent6 5 3 3 2 2 3 2" xfId="39942" xr:uid="{00000000-0005-0000-0000-0000B0960000}"/>
    <cellStyle name="40% - Accent6 5 3 3 2 2 4" xfId="28641" xr:uid="{00000000-0005-0000-0000-0000B1960000}"/>
    <cellStyle name="40% - Accent6 5 3 3 2 3" xfId="8857" xr:uid="{00000000-0005-0000-0000-0000B2960000}"/>
    <cellStyle name="40% - Accent6 5 3 3 2 3 2" xfId="20158" xr:uid="{00000000-0005-0000-0000-0000B3960000}"/>
    <cellStyle name="40% - Accent6 5 3 3 2 3 2 2" xfId="42760" xr:uid="{00000000-0005-0000-0000-0000B4960000}"/>
    <cellStyle name="40% - Accent6 5 3 3 2 3 3" xfId="31459" xr:uid="{00000000-0005-0000-0000-0000B5960000}"/>
    <cellStyle name="40% - Accent6 5 3 3 2 4" xfId="14508" xr:uid="{00000000-0005-0000-0000-0000B6960000}"/>
    <cellStyle name="40% - Accent6 5 3 3 2 4 2" xfId="37110" xr:uid="{00000000-0005-0000-0000-0000B7960000}"/>
    <cellStyle name="40% - Accent6 5 3 3 2 5" xfId="25809" xr:uid="{00000000-0005-0000-0000-0000B8960000}"/>
    <cellStyle name="40% - Accent6 5 3 3 3" xfId="4805" xr:uid="{00000000-0005-0000-0000-0000B9960000}"/>
    <cellStyle name="40% - Accent6 5 3 3 3 2" xfId="10455" xr:uid="{00000000-0005-0000-0000-0000BA960000}"/>
    <cellStyle name="40% - Accent6 5 3 3 3 2 2" xfId="21756" xr:uid="{00000000-0005-0000-0000-0000BB960000}"/>
    <cellStyle name="40% - Accent6 5 3 3 3 2 2 2" xfId="44358" xr:uid="{00000000-0005-0000-0000-0000BC960000}"/>
    <cellStyle name="40% - Accent6 5 3 3 3 2 3" xfId="33057" xr:uid="{00000000-0005-0000-0000-0000BD960000}"/>
    <cellStyle name="40% - Accent6 5 3 3 3 3" xfId="16106" xr:uid="{00000000-0005-0000-0000-0000BE960000}"/>
    <cellStyle name="40% - Accent6 5 3 3 3 3 2" xfId="38708" xr:uid="{00000000-0005-0000-0000-0000BF960000}"/>
    <cellStyle name="40% - Accent6 5 3 3 3 4" xfId="27407" xr:uid="{00000000-0005-0000-0000-0000C0960000}"/>
    <cellStyle name="40% - Accent6 5 3 3 4" xfId="6992" xr:uid="{00000000-0005-0000-0000-0000C1960000}"/>
    <cellStyle name="40% - Accent6 5 3 3 4 2" xfId="18293" xr:uid="{00000000-0005-0000-0000-0000C2960000}"/>
    <cellStyle name="40% - Accent6 5 3 3 4 2 2" xfId="40895" xr:uid="{00000000-0005-0000-0000-0000C3960000}"/>
    <cellStyle name="40% - Accent6 5 3 3 4 3" xfId="29594" xr:uid="{00000000-0005-0000-0000-0000C4960000}"/>
    <cellStyle name="40% - Accent6 5 3 3 5" xfId="12643" xr:uid="{00000000-0005-0000-0000-0000C5960000}"/>
    <cellStyle name="40% - Accent6 5 3 3 5 2" xfId="35245" xr:uid="{00000000-0005-0000-0000-0000C6960000}"/>
    <cellStyle name="40% - Accent6 5 3 3 6" xfId="23944" xr:uid="{00000000-0005-0000-0000-0000C7960000}"/>
    <cellStyle name="40% - Accent6 5 3 4" xfId="2070" xr:uid="{00000000-0005-0000-0000-0000C8960000}"/>
    <cellStyle name="40% - Accent6 5 3 4 2" xfId="3841" xr:uid="{00000000-0005-0000-0000-0000C9960000}"/>
    <cellStyle name="40% - Accent6 5 3 4 2 2" xfId="9549" xr:uid="{00000000-0005-0000-0000-0000CA960000}"/>
    <cellStyle name="40% - Accent6 5 3 4 2 2 2" xfId="20850" xr:uid="{00000000-0005-0000-0000-0000CB960000}"/>
    <cellStyle name="40% - Accent6 5 3 4 2 2 2 2" xfId="43452" xr:uid="{00000000-0005-0000-0000-0000CC960000}"/>
    <cellStyle name="40% - Accent6 5 3 4 2 2 3" xfId="32151" xr:uid="{00000000-0005-0000-0000-0000CD960000}"/>
    <cellStyle name="40% - Accent6 5 3 4 2 3" xfId="15200" xr:uid="{00000000-0005-0000-0000-0000CE960000}"/>
    <cellStyle name="40% - Accent6 5 3 4 2 3 2" xfId="37802" xr:uid="{00000000-0005-0000-0000-0000CF960000}"/>
    <cellStyle name="40% - Accent6 5 3 4 2 4" xfId="26501" xr:uid="{00000000-0005-0000-0000-0000D0960000}"/>
    <cellStyle name="40% - Accent6 5 3 4 3" xfId="5415" xr:uid="{00000000-0005-0000-0000-0000D1960000}"/>
    <cellStyle name="40% - Accent6 5 3 4 3 2" xfId="11065" xr:uid="{00000000-0005-0000-0000-0000D2960000}"/>
    <cellStyle name="40% - Accent6 5 3 4 3 2 2" xfId="22366" xr:uid="{00000000-0005-0000-0000-0000D3960000}"/>
    <cellStyle name="40% - Accent6 5 3 4 3 2 2 2" xfId="44968" xr:uid="{00000000-0005-0000-0000-0000D4960000}"/>
    <cellStyle name="40% - Accent6 5 3 4 3 2 3" xfId="33667" xr:uid="{00000000-0005-0000-0000-0000D5960000}"/>
    <cellStyle name="40% - Accent6 5 3 4 3 3" xfId="16716" xr:uid="{00000000-0005-0000-0000-0000D6960000}"/>
    <cellStyle name="40% - Accent6 5 3 4 3 3 2" xfId="39318" xr:uid="{00000000-0005-0000-0000-0000D7960000}"/>
    <cellStyle name="40% - Accent6 5 3 4 3 4" xfId="28017" xr:uid="{00000000-0005-0000-0000-0000D8960000}"/>
    <cellStyle name="40% - Accent6 5 3 4 4" xfId="7926" xr:uid="{00000000-0005-0000-0000-0000D9960000}"/>
    <cellStyle name="40% - Accent6 5 3 4 4 2" xfId="19227" xr:uid="{00000000-0005-0000-0000-0000DA960000}"/>
    <cellStyle name="40% - Accent6 5 3 4 4 2 2" xfId="41829" xr:uid="{00000000-0005-0000-0000-0000DB960000}"/>
    <cellStyle name="40% - Accent6 5 3 4 4 3" xfId="30528" xr:uid="{00000000-0005-0000-0000-0000DC960000}"/>
    <cellStyle name="40% - Accent6 5 3 4 5" xfId="13577" xr:uid="{00000000-0005-0000-0000-0000DD960000}"/>
    <cellStyle name="40% - Accent6 5 3 4 5 2" xfId="36179" xr:uid="{00000000-0005-0000-0000-0000DE960000}"/>
    <cellStyle name="40% - Accent6 5 3 4 6" xfId="24878" xr:uid="{00000000-0005-0000-0000-0000DF960000}"/>
    <cellStyle name="40% - Accent6 5 3 5" xfId="2396" xr:uid="{00000000-0005-0000-0000-0000E0960000}"/>
    <cellStyle name="40% - Accent6 5 3 5 2" xfId="8232" xr:uid="{00000000-0005-0000-0000-0000E1960000}"/>
    <cellStyle name="40% - Accent6 5 3 5 2 2" xfId="19533" xr:uid="{00000000-0005-0000-0000-0000E2960000}"/>
    <cellStyle name="40% - Accent6 5 3 5 2 2 2" xfId="42135" xr:uid="{00000000-0005-0000-0000-0000E3960000}"/>
    <cellStyle name="40% - Accent6 5 3 5 2 3" xfId="30834" xr:uid="{00000000-0005-0000-0000-0000E4960000}"/>
    <cellStyle name="40% - Accent6 5 3 5 3" xfId="13883" xr:uid="{00000000-0005-0000-0000-0000E5960000}"/>
    <cellStyle name="40% - Accent6 5 3 5 3 2" xfId="36485" xr:uid="{00000000-0005-0000-0000-0000E6960000}"/>
    <cellStyle name="40% - Accent6 5 3 5 4" xfId="25184" xr:uid="{00000000-0005-0000-0000-0000E7960000}"/>
    <cellStyle name="40% - Accent6 5 3 6" xfId="4181" xr:uid="{00000000-0005-0000-0000-0000E8960000}"/>
    <cellStyle name="40% - Accent6 5 3 6 2" xfId="9831" xr:uid="{00000000-0005-0000-0000-0000E9960000}"/>
    <cellStyle name="40% - Accent6 5 3 6 2 2" xfId="21132" xr:uid="{00000000-0005-0000-0000-0000EA960000}"/>
    <cellStyle name="40% - Accent6 5 3 6 2 2 2" xfId="43734" xr:uid="{00000000-0005-0000-0000-0000EB960000}"/>
    <cellStyle name="40% - Accent6 5 3 6 2 3" xfId="32433" xr:uid="{00000000-0005-0000-0000-0000EC960000}"/>
    <cellStyle name="40% - Accent6 5 3 6 3" xfId="15482" xr:uid="{00000000-0005-0000-0000-0000ED960000}"/>
    <cellStyle name="40% - Accent6 5 3 6 3 2" xfId="38084" xr:uid="{00000000-0005-0000-0000-0000EE960000}"/>
    <cellStyle name="40% - Accent6 5 3 6 4" xfId="26783" xr:uid="{00000000-0005-0000-0000-0000EF960000}"/>
    <cellStyle name="40% - Accent6 5 3 7" xfId="6659" xr:uid="{00000000-0005-0000-0000-0000F0960000}"/>
    <cellStyle name="40% - Accent6 5 3 7 2" xfId="17960" xr:uid="{00000000-0005-0000-0000-0000F1960000}"/>
    <cellStyle name="40% - Accent6 5 3 7 2 2" xfId="40562" xr:uid="{00000000-0005-0000-0000-0000F2960000}"/>
    <cellStyle name="40% - Accent6 5 3 7 3" xfId="29261" xr:uid="{00000000-0005-0000-0000-0000F3960000}"/>
    <cellStyle name="40% - Accent6 5 3 8" xfId="12310" xr:uid="{00000000-0005-0000-0000-0000F4960000}"/>
    <cellStyle name="40% - Accent6 5 3 8 2" xfId="34912" xr:uid="{00000000-0005-0000-0000-0000F5960000}"/>
    <cellStyle name="40% - Accent6 5 3 9" xfId="23611" xr:uid="{00000000-0005-0000-0000-0000F6960000}"/>
    <cellStyle name="40% - Accent6 5 4" xfId="1166" xr:uid="{00000000-0005-0000-0000-0000F7960000}"/>
    <cellStyle name="40% - Accent6 5 4 2" xfId="2072" xr:uid="{00000000-0005-0000-0000-0000F8960000}"/>
    <cellStyle name="40% - Accent6 5 4 2 2" xfId="3234" xr:uid="{00000000-0005-0000-0000-0000F9960000}"/>
    <cellStyle name="40% - Accent6 5 4 2 2 2" xfId="6206" xr:uid="{00000000-0005-0000-0000-0000FA960000}"/>
    <cellStyle name="40% - Accent6 5 4 2 2 2 2" xfId="11856" xr:uid="{00000000-0005-0000-0000-0000FB960000}"/>
    <cellStyle name="40% - Accent6 5 4 2 2 2 2 2" xfId="23157" xr:uid="{00000000-0005-0000-0000-0000FC960000}"/>
    <cellStyle name="40% - Accent6 5 4 2 2 2 2 2 2" xfId="45759" xr:uid="{00000000-0005-0000-0000-0000FD960000}"/>
    <cellStyle name="40% - Accent6 5 4 2 2 2 2 3" xfId="34458" xr:uid="{00000000-0005-0000-0000-0000FE960000}"/>
    <cellStyle name="40% - Accent6 5 4 2 2 2 3" xfId="17507" xr:uid="{00000000-0005-0000-0000-0000FF960000}"/>
    <cellStyle name="40% - Accent6 5 4 2 2 2 3 2" xfId="40109" xr:uid="{00000000-0005-0000-0000-000000970000}"/>
    <cellStyle name="40% - Accent6 5 4 2 2 2 4" xfId="28808" xr:uid="{00000000-0005-0000-0000-000001970000}"/>
    <cellStyle name="40% - Accent6 5 4 2 2 3" xfId="9024" xr:uid="{00000000-0005-0000-0000-000002970000}"/>
    <cellStyle name="40% - Accent6 5 4 2 2 3 2" xfId="20325" xr:uid="{00000000-0005-0000-0000-000003970000}"/>
    <cellStyle name="40% - Accent6 5 4 2 2 3 2 2" xfId="42927" xr:uid="{00000000-0005-0000-0000-000004970000}"/>
    <cellStyle name="40% - Accent6 5 4 2 2 3 3" xfId="31626" xr:uid="{00000000-0005-0000-0000-000005970000}"/>
    <cellStyle name="40% - Accent6 5 4 2 2 4" xfId="14675" xr:uid="{00000000-0005-0000-0000-000006970000}"/>
    <cellStyle name="40% - Accent6 5 4 2 2 4 2" xfId="37277" xr:uid="{00000000-0005-0000-0000-000007970000}"/>
    <cellStyle name="40% - Accent6 5 4 2 2 5" xfId="25976" xr:uid="{00000000-0005-0000-0000-000008970000}"/>
    <cellStyle name="40% - Accent6 5 4 2 3" xfId="4972" xr:uid="{00000000-0005-0000-0000-000009970000}"/>
    <cellStyle name="40% - Accent6 5 4 2 3 2" xfId="10622" xr:uid="{00000000-0005-0000-0000-00000A970000}"/>
    <cellStyle name="40% - Accent6 5 4 2 3 2 2" xfId="21923" xr:uid="{00000000-0005-0000-0000-00000B970000}"/>
    <cellStyle name="40% - Accent6 5 4 2 3 2 2 2" xfId="44525" xr:uid="{00000000-0005-0000-0000-00000C970000}"/>
    <cellStyle name="40% - Accent6 5 4 2 3 2 3" xfId="33224" xr:uid="{00000000-0005-0000-0000-00000D970000}"/>
    <cellStyle name="40% - Accent6 5 4 2 3 3" xfId="16273" xr:uid="{00000000-0005-0000-0000-00000E970000}"/>
    <cellStyle name="40% - Accent6 5 4 2 3 3 2" xfId="38875" xr:uid="{00000000-0005-0000-0000-00000F970000}"/>
    <cellStyle name="40% - Accent6 5 4 2 3 4" xfId="27574" xr:uid="{00000000-0005-0000-0000-000010970000}"/>
    <cellStyle name="40% - Accent6 5 4 2 4" xfId="7928" xr:uid="{00000000-0005-0000-0000-000011970000}"/>
    <cellStyle name="40% - Accent6 5 4 2 4 2" xfId="19229" xr:uid="{00000000-0005-0000-0000-000012970000}"/>
    <cellStyle name="40% - Accent6 5 4 2 4 2 2" xfId="41831" xr:uid="{00000000-0005-0000-0000-000013970000}"/>
    <cellStyle name="40% - Accent6 5 4 2 4 3" xfId="30530" xr:uid="{00000000-0005-0000-0000-000014970000}"/>
    <cellStyle name="40% - Accent6 5 4 2 5" xfId="13579" xr:uid="{00000000-0005-0000-0000-000015970000}"/>
    <cellStyle name="40% - Accent6 5 4 2 5 2" xfId="36181" xr:uid="{00000000-0005-0000-0000-000016970000}"/>
    <cellStyle name="40% - Accent6 5 4 2 6" xfId="24880" xr:uid="{00000000-0005-0000-0000-000017970000}"/>
    <cellStyle name="40% - Accent6 5 4 3" xfId="2563" xr:uid="{00000000-0005-0000-0000-000018970000}"/>
    <cellStyle name="40% - Accent6 5 4 3 2" xfId="5582" xr:uid="{00000000-0005-0000-0000-000019970000}"/>
    <cellStyle name="40% - Accent6 5 4 3 2 2" xfId="11232" xr:uid="{00000000-0005-0000-0000-00001A970000}"/>
    <cellStyle name="40% - Accent6 5 4 3 2 2 2" xfId="22533" xr:uid="{00000000-0005-0000-0000-00001B970000}"/>
    <cellStyle name="40% - Accent6 5 4 3 2 2 2 2" xfId="45135" xr:uid="{00000000-0005-0000-0000-00001C970000}"/>
    <cellStyle name="40% - Accent6 5 4 3 2 2 3" xfId="33834" xr:uid="{00000000-0005-0000-0000-00001D970000}"/>
    <cellStyle name="40% - Accent6 5 4 3 2 3" xfId="16883" xr:uid="{00000000-0005-0000-0000-00001E970000}"/>
    <cellStyle name="40% - Accent6 5 4 3 2 3 2" xfId="39485" xr:uid="{00000000-0005-0000-0000-00001F970000}"/>
    <cellStyle name="40% - Accent6 5 4 3 2 4" xfId="28184" xr:uid="{00000000-0005-0000-0000-000020970000}"/>
    <cellStyle name="40% - Accent6 5 4 3 3" xfId="8399" xr:uid="{00000000-0005-0000-0000-000021970000}"/>
    <cellStyle name="40% - Accent6 5 4 3 3 2" xfId="19700" xr:uid="{00000000-0005-0000-0000-000022970000}"/>
    <cellStyle name="40% - Accent6 5 4 3 3 2 2" xfId="42302" xr:uid="{00000000-0005-0000-0000-000023970000}"/>
    <cellStyle name="40% - Accent6 5 4 3 3 3" xfId="31001" xr:uid="{00000000-0005-0000-0000-000024970000}"/>
    <cellStyle name="40% - Accent6 5 4 3 4" xfId="14050" xr:uid="{00000000-0005-0000-0000-000025970000}"/>
    <cellStyle name="40% - Accent6 5 4 3 4 2" xfId="36652" xr:uid="{00000000-0005-0000-0000-000026970000}"/>
    <cellStyle name="40% - Accent6 5 4 3 5" xfId="25351" xr:uid="{00000000-0005-0000-0000-000027970000}"/>
    <cellStyle name="40% - Accent6 5 4 4" xfId="4348" xr:uid="{00000000-0005-0000-0000-000028970000}"/>
    <cellStyle name="40% - Accent6 5 4 4 2" xfId="9998" xr:uid="{00000000-0005-0000-0000-000029970000}"/>
    <cellStyle name="40% - Accent6 5 4 4 2 2" xfId="21299" xr:uid="{00000000-0005-0000-0000-00002A970000}"/>
    <cellStyle name="40% - Accent6 5 4 4 2 2 2" xfId="43901" xr:uid="{00000000-0005-0000-0000-00002B970000}"/>
    <cellStyle name="40% - Accent6 5 4 4 2 3" xfId="32600" xr:uid="{00000000-0005-0000-0000-00002C970000}"/>
    <cellStyle name="40% - Accent6 5 4 4 3" xfId="15649" xr:uid="{00000000-0005-0000-0000-00002D970000}"/>
    <cellStyle name="40% - Accent6 5 4 4 3 2" xfId="38251" xr:uid="{00000000-0005-0000-0000-00002E970000}"/>
    <cellStyle name="40% - Accent6 5 4 4 4" xfId="26950" xr:uid="{00000000-0005-0000-0000-00002F970000}"/>
    <cellStyle name="40% - Accent6 5 4 5" xfId="7145" xr:uid="{00000000-0005-0000-0000-000030970000}"/>
    <cellStyle name="40% - Accent6 5 4 5 2" xfId="18446" xr:uid="{00000000-0005-0000-0000-000031970000}"/>
    <cellStyle name="40% - Accent6 5 4 5 2 2" xfId="41048" xr:uid="{00000000-0005-0000-0000-000032970000}"/>
    <cellStyle name="40% - Accent6 5 4 5 3" xfId="29747" xr:uid="{00000000-0005-0000-0000-000033970000}"/>
    <cellStyle name="40% - Accent6 5 4 6" xfId="12796" xr:uid="{00000000-0005-0000-0000-000034970000}"/>
    <cellStyle name="40% - Accent6 5 4 6 2" xfId="35398" xr:uid="{00000000-0005-0000-0000-000035970000}"/>
    <cellStyle name="40% - Accent6 5 4 7" xfId="24097" xr:uid="{00000000-0005-0000-0000-000036970000}"/>
    <cellStyle name="40% - Accent6 5 5" xfId="846" xr:uid="{00000000-0005-0000-0000-000037970000}"/>
    <cellStyle name="40% - Accent6 5 5 2" xfId="2927" xr:uid="{00000000-0005-0000-0000-000038970000}"/>
    <cellStyle name="40% - Accent6 5 5 2 2" xfId="5899" xr:uid="{00000000-0005-0000-0000-000039970000}"/>
    <cellStyle name="40% - Accent6 5 5 2 2 2" xfId="11549" xr:uid="{00000000-0005-0000-0000-00003A970000}"/>
    <cellStyle name="40% - Accent6 5 5 2 2 2 2" xfId="22850" xr:uid="{00000000-0005-0000-0000-00003B970000}"/>
    <cellStyle name="40% - Accent6 5 5 2 2 2 2 2" xfId="45452" xr:uid="{00000000-0005-0000-0000-00003C970000}"/>
    <cellStyle name="40% - Accent6 5 5 2 2 2 3" xfId="34151" xr:uid="{00000000-0005-0000-0000-00003D970000}"/>
    <cellStyle name="40% - Accent6 5 5 2 2 3" xfId="17200" xr:uid="{00000000-0005-0000-0000-00003E970000}"/>
    <cellStyle name="40% - Accent6 5 5 2 2 3 2" xfId="39802" xr:uid="{00000000-0005-0000-0000-00003F970000}"/>
    <cellStyle name="40% - Accent6 5 5 2 2 4" xfId="28501" xr:uid="{00000000-0005-0000-0000-000040970000}"/>
    <cellStyle name="40% - Accent6 5 5 2 3" xfId="8717" xr:uid="{00000000-0005-0000-0000-000041970000}"/>
    <cellStyle name="40% - Accent6 5 5 2 3 2" xfId="20018" xr:uid="{00000000-0005-0000-0000-000042970000}"/>
    <cellStyle name="40% - Accent6 5 5 2 3 2 2" xfId="42620" xr:uid="{00000000-0005-0000-0000-000043970000}"/>
    <cellStyle name="40% - Accent6 5 5 2 3 3" xfId="31319" xr:uid="{00000000-0005-0000-0000-000044970000}"/>
    <cellStyle name="40% - Accent6 5 5 2 4" xfId="14368" xr:uid="{00000000-0005-0000-0000-000045970000}"/>
    <cellStyle name="40% - Accent6 5 5 2 4 2" xfId="36970" xr:uid="{00000000-0005-0000-0000-000046970000}"/>
    <cellStyle name="40% - Accent6 5 5 2 5" xfId="25669" xr:uid="{00000000-0005-0000-0000-000047970000}"/>
    <cellStyle name="40% - Accent6 5 5 3" xfId="4665" xr:uid="{00000000-0005-0000-0000-000048970000}"/>
    <cellStyle name="40% - Accent6 5 5 3 2" xfId="10315" xr:uid="{00000000-0005-0000-0000-000049970000}"/>
    <cellStyle name="40% - Accent6 5 5 3 2 2" xfId="21616" xr:uid="{00000000-0005-0000-0000-00004A970000}"/>
    <cellStyle name="40% - Accent6 5 5 3 2 2 2" xfId="44218" xr:uid="{00000000-0005-0000-0000-00004B970000}"/>
    <cellStyle name="40% - Accent6 5 5 3 2 3" xfId="32917" xr:uid="{00000000-0005-0000-0000-00004C970000}"/>
    <cellStyle name="40% - Accent6 5 5 3 3" xfId="15966" xr:uid="{00000000-0005-0000-0000-00004D970000}"/>
    <cellStyle name="40% - Accent6 5 5 3 3 2" xfId="38568" xr:uid="{00000000-0005-0000-0000-00004E970000}"/>
    <cellStyle name="40% - Accent6 5 5 3 4" xfId="27267" xr:uid="{00000000-0005-0000-0000-00004F970000}"/>
    <cellStyle name="40% - Accent6 5 5 4" xfId="6851" xr:uid="{00000000-0005-0000-0000-000050970000}"/>
    <cellStyle name="40% - Accent6 5 5 4 2" xfId="18152" xr:uid="{00000000-0005-0000-0000-000051970000}"/>
    <cellStyle name="40% - Accent6 5 5 4 2 2" xfId="40754" xr:uid="{00000000-0005-0000-0000-000052970000}"/>
    <cellStyle name="40% - Accent6 5 5 4 3" xfId="29453" xr:uid="{00000000-0005-0000-0000-000053970000}"/>
    <cellStyle name="40% - Accent6 5 5 5" xfId="12502" xr:uid="{00000000-0005-0000-0000-000054970000}"/>
    <cellStyle name="40% - Accent6 5 5 5 2" xfId="35104" xr:uid="{00000000-0005-0000-0000-000055970000}"/>
    <cellStyle name="40% - Accent6 5 5 6" xfId="23803" xr:uid="{00000000-0005-0000-0000-000056970000}"/>
    <cellStyle name="40% - Accent6 5 6" xfId="2065" xr:uid="{00000000-0005-0000-0000-000057970000}"/>
    <cellStyle name="40% - Accent6 5 6 2" xfId="3838" xr:uid="{00000000-0005-0000-0000-000058970000}"/>
    <cellStyle name="40% - Accent6 5 6 2 2" xfId="9546" xr:uid="{00000000-0005-0000-0000-000059970000}"/>
    <cellStyle name="40% - Accent6 5 6 2 2 2" xfId="20847" xr:uid="{00000000-0005-0000-0000-00005A970000}"/>
    <cellStyle name="40% - Accent6 5 6 2 2 2 2" xfId="43449" xr:uid="{00000000-0005-0000-0000-00005B970000}"/>
    <cellStyle name="40% - Accent6 5 6 2 2 3" xfId="32148" xr:uid="{00000000-0005-0000-0000-00005C970000}"/>
    <cellStyle name="40% - Accent6 5 6 2 3" xfId="15197" xr:uid="{00000000-0005-0000-0000-00005D970000}"/>
    <cellStyle name="40% - Accent6 5 6 2 3 2" xfId="37799" xr:uid="{00000000-0005-0000-0000-00005E970000}"/>
    <cellStyle name="40% - Accent6 5 6 2 4" xfId="26498" xr:uid="{00000000-0005-0000-0000-00005F970000}"/>
    <cellStyle name="40% - Accent6 5 6 3" xfId="5275" xr:uid="{00000000-0005-0000-0000-000060970000}"/>
    <cellStyle name="40% - Accent6 5 6 3 2" xfId="10925" xr:uid="{00000000-0005-0000-0000-000061970000}"/>
    <cellStyle name="40% - Accent6 5 6 3 2 2" xfId="22226" xr:uid="{00000000-0005-0000-0000-000062970000}"/>
    <cellStyle name="40% - Accent6 5 6 3 2 2 2" xfId="44828" xr:uid="{00000000-0005-0000-0000-000063970000}"/>
    <cellStyle name="40% - Accent6 5 6 3 2 3" xfId="33527" xr:uid="{00000000-0005-0000-0000-000064970000}"/>
    <cellStyle name="40% - Accent6 5 6 3 3" xfId="16576" xr:uid="{00000000-0005-0000-0000-000065970000}"/>
    <cellStyle name="40% - Accent6 5 6 3 3 2" xfId="39178" xr:uid="{00000000-0005-0000-0000-000066970000}"/>
    <cellStyle name="40% - Accent6 5 6 3 4" xfId="27877" xr:uid="{00000000-0005-0000-0000-000067970000}"/>
    <cellStyle name="40% - Accent6 5 6 4" xfId="7921" xr:uid="{00000000-0005-0000-0000-000068970000}"/>
    <cellStyle name="40% - Accent6 5 6 4 2" xfId="19222" xr:uid="{00000000-0005-0000-0000-000069970000}"/>
    <cellStyle name="40% - Accent6 5 6 4 2 2" xfId="41824" xr:uid="{00000000-0005-0000-0000-00006A970000}"/>
    <cellStyle name="40% - Accent6 5 6 4 3" xfId="30523" xr:uid="{00000000-0005-0000-0000-00006B970000}"/>
    <cellStyle name="40% - Accent6 5 6 5" xfId="13572" xr:uid="{00000000-0005-0000-0000-00006C970000}"/>
    <cellStyle name="40% - Accent6 5 6 5 2" xfId="36174" xr:uid="{00000000-0005-0000-0000-00006D970000}"/>
    <cellStyle name="40% - Accent6 5 6 6" xfId="24873" xr:uid="{00000000-0005-0000-0000-00006E970000}"/>
    <cellStyle name="40% - Accent6 5 7" xfId="2248" xr:uid="{00000000-0005-0000-0000-00006F970000}"/>
    <cellStyle name="40% - Accent6 5 7 2" xfId="8089" xr:uid="{00000000-0005-0000-0000-000070970000}"/>
    <cellStyle name="40% - Accent6 5 7 2 2" xfId="19390" xr:uid="{00000000-0005-0000-0000-000071970000}"/>
    <cellStyle name="40% - Accent6 5 7 2 2 2" xfId="41992" xr:uid="{00000000-0005-0000-0000-000072970000}"/>
    <cellStyle name="40% - Accent6 5 7 2 3" xfId="30691" xr:uid="{00000000-0005-0000-0000-000073970000}"/>
    <cellStyle name="40% - Accent6 5 7 3" xfId="13740" xr:uid="{00000000-0005-0000-0000-000074970000}"/>
    <cellStyle name="40% - Accent6 5 7 3 2" xfId="36342" xr:uid="{00000000-0005-0000-0000-000075970000}"/>
    <cellStyle name="40% - Accent6 5 7 4" xfId="25041" xr:uid="{00000000-0005-0000-0000-000076970000}"/>
    <cellStyle name="40% - Accent6 5 8" xfId="4041" xr:uid="{00000000-0005-0000-0000-000077970000}"/>
    <cellStyle name="40% - Accent6 5 8 2" xfId="9691" xr:uid="{00000000-0005-0000-0000-000078970000}"/>
    <cellStyle name="40% - Accent6 5 8 2 2" xfId="20992" xr:uid="{00000000-0005-0000-0000-000079970000}"/>
    <cellStyle name="40% - Accent6 5 8 2 2 2" xfId="43594" xr:uid="{00000000-0005-0000-0000-00007A970000}"/>
    <cellStyle name="40% - Accent6 5 8 2 3" xfId="32293" xr:uid="{00000000-0005-0000-0000-00007B970000}"/>
    <cellStyle name="40% - Accent6 5 8 3" xfId="15342" xr:uid="{00000000-0005-0000-0000-00007C970000}"/>
    <cellStyle name="40% - Accent6 5 8 3 2" xfId="37944" xr:uid="{00000000-0005-0000-0000-00007D970000}"/>
    <cellStyle name="40% - Accent6 5 8 4" xfId="26643" xr:uid="{00000000-0005-0000-0000-00007E970000}"/>
    <cellStyle name="40% - Accent6 5 9" xfId="6492" xr:uid="{00000000-0005-0000-0000-00007F970000}"/>
    <cellStyle name="40% - Accent6 5 9 2" xfId="17793" xr:uid="{00000000-0005-0000-0000-000080970000}"/>
    <cellStyle name="40% - Accent6 5 9 2 2" xfId="40395" xr:uid="{00000000-0005-0000-0000-000081970000}"/>
    <cellStyle name="40% - Accent6 5 9 3" xfId="29094" xr:uid="{00000000-0005-0000-0000-000082970000}"/>
    <cellStyle name="40% - Accent6 6" xfId="299" xr:uid="{00000000-0005-0000-0000-000083970000}"/>
    <cellStyle name="40% - Accent6 7" xfId="402" xr:uid="{00000000-0005-0000-0000-000084970000}"/>
    <cellStyle name="40% - Accent6 7 10" xfId="23497" xr:uid="{00000000-0005-0000-0000-000085970000}"/>
    <cellStyle name="40% - Accent6 7 2" xfId="647" xr:uid="{00000000-0005-0000-0000-000086970000}"/>
    <cellStyle name="40% - Accent6 7 2 2" xfId="1357" xr:uid="{00000000-0005-0000-0000-000087970000}"/>
    <cellStyle name="40% - Accent6 7 2 2 2" xfId="2075" xr:uid="{00000000-0005-0000-0000-000088970000}"/>
    <cellStyle name="40% - Accent6 7 2 2 2 2" xfId="3426" xr:uid="{00000000-0005-0000-0000-000089970000}"/>
    <cellStyle name="40% - Accent6 7 2 2 2 2 2" xfId="6398" xr:uid="{00000000-0005-0000-0000-00008A970000}"/>
    <cellStyle name="40% - Accent6 7 2 2 2 2 2 2" xfId="12048" xr:uid="{00000000-0005-0000-0000-00008B970000}"/>
    <cellStyle name="40% - Accent6 7 2 2 2 2 2 2 2" xfId="23349" xr:uid="{00000000-0005-0000-0000-00008C970000}"/>
    <cellStyle name="40% - Accent6 7 2 2 2 2 2 2 2 2" xfId="45951" xr:uid="{00000000-0005-0000-0000-00008D970000}"/>
    <cellStyle name="40% - Accent6 7 2 2 2 2 2 2 3" xfId="34650" xr:uid="{00000000-0005-0000-0000-00008E970000}"/>
    <cellStyle name="40% - Accent6 7 2 2 2 2 2 3" xfId="17699" xr:uid="{00000000-0005-0000-0000-00008F970000}"/>
    <cellStyle name="40% - Accent6 7 2 2 2 2 2 3 2" xfId="40301" xr:uid="{00000000-0005-0000-0000-000090970000}"/>
    <cellStyle name="40% - Accent6 7 2 2 2 2 2 4" xfId="29000" xr:uid="{00000000-0005-0000-0000-000091970000}"/>
    <cellStyle name="40% - Accent6 7 2 2 2 2 3" xfId="9216" xr:uid="{00000000-0005-0000-0000-000092970000}"/>
    <cellStyle name="40% - Accent6 7 2 2 2 2 3 2" xfId="20517" xr:uid="{00000000-0005-0000-0000-000093970000}"/>
    <cellStyle name="40% - Accent6 7 2 2 2 2 3 2 2" xfId="43119" xr:uid="{00000000-0005-0000-0000-000094970000}"/>
    <cellStyle name="40% - Accent6 7 2 2 2 2 3 3" xfId="31818" xr:uid="{00000000-0005-0000-0000-000095970000}"/>
    <cellStyle name="40% - Accent6 7 2 2 2 2 4" xfId="14867" xr:uid="{00000000-0005-0000-0000-000096970000}"/>
    <cellStyle name="40% - Accent6 7 2 2 2 2 4 2" xfId="37469" xr:uid="{00000000-0005-0000-0000-000097970000}"/>
    <cellStyle name="40% - Accent6 7 2 2 2 2 5" xfId="26168" xr:uid="{00000000-0005-0000-0000-000098970000}"/>
    <cellStyle name="40% - Accent6 7 2 2 2 3" xfId="5164" xr:uid="{00000000-0005-0000-0000-000099970000}"/>
    <cellStyle name="40% - Accent6 7 2 2 2 3 2" xfId="10814" xr:uid="{00000000-0005-0000-0000-00009A970000}"/>
    <cellStyle name="40% - Accent6 7 2 2 2 3 2 2" xfId="22115" xr:uid="{00000000-0005-0000-0000-00009B970000}"/>
    <cellStyle name="40% - Accent6 7 2 2 2 3 2 2 2" xfId="44717" xr:uid="{00000000-0005-0000-0000-00009C970000}"/>
    <cellStyle name="40% - Accent6 7 2 2 2 3 2 3" xfId="33416" xr:uid="{00000000-0005-0000-0000-00009D970000}"/>
    <cellStyle name="40% - Accent6 7 2 2 2 3 3" xfId="16465" xr:uid="{00000000-0005-0000-0000-00009E970000}"/>
    <cellStyle name="40% - Accent6 7 2 2 2 3 3 2" xfId="39067" xr:uid="{00000000-0005-0000-0000-00009F970000}"/>
    <cellStyle name="40% - Accent6 7 2 2 2 3 4" xfId="27766" xr:uid="{00000000-0005-0000-0000-0000A0970000}"/>
    <cellStyle name="40% - Accent6 7 2 2 2 4" xfId="7931" xr:uid="{00000000-0005-0000-0000-0000A1970000}"/>
    <cellStyle name="40% - Accent6 7 2 2 2 4 2" xfId="19232" xr:uid="{00000000-0005-0000-0000-0000A2970000}"/>
    <cellStyle name="40% - Accent6 7 2 2 2 4 2 2" xfId="41834" xr:uid="{00000000-0005-0000-0000-0000A3970000}"/>
    <cellStyle name="40% - Accent6 7 2 2 2 4 3" xfId="30533" xr:uid="{00000000-0005-0000-0000-0000A4970000}"/>
    <cellStyle name="40% - Accent6 7 2 2 2 5" xfId="13582" xr:uid="{00000000-0005-0000-0000-0000A5970000}"/>
    <cellStyle name="40% - Accent6 7 2 2 2 5 2" xfId="36184" xr:uid="{00000000-0005-0000-0000-0000A6970000}"/>
    <cellStyle name="40% - Accent6 7 2 2 2 6" xfId="24883" xr:uid="{00000000-0005-0000-0000-0000A7970000}"/>
    <cellStyle name="40% - Accent6 7 2 2 3" xfId="2755" xr:uid="{00000000-0005-0000-0000-0000A8970000}"/>
    <cellStyle name="40% - Accent6 7 2 2 3 2" xfId="5774" xr:uid="{00000000-0005-0000-0000-0000A9970000}"/>
    <cellStyle name="40% - Accent6 7 2 2 3 2 2" xfId="11424" xr:uid="{00000000-0005-0000-0000-0000AA970000}"/>
    <cellStyle name="40% - Accent6 7 2 2 3 2 2 2" xfId="22725" xr:uid="{00000000-0005-0000-0000-0000AB970000}"/>
    <cellStyle name="40% - Accent6 7 2 2 3 2 2 2 2" xfId="45327" xr:uid="{00000000-0005-0000-0000-0000AC970000}"/>
    <cellStyle name="40% - Accent6 7 2 2 3 2 2 3" xfId="34026" xr:uid="{00000000-0005-0000-0000-0000AD970000}"/>
    <cellStyle name="40% - Accent6 7 2 2 3 2 3" xfId="17075" xr:uid="{00000000-0005-0000-0000-0000AE970000}"/>
    <cellStyle name="40% - Accent6 7 2 2 3 2 3 2" xfId="39677" xr:uid="{00000000-0005-0000-0000-0000AF970000}"/>
    <cellStyle name="40% - Accent6 7 2 2 3 2 4" xfId="28376" xr:uid="{00000000-0005-0000-0000-0000B0970000}"/>
    <cellStyle name="40% - Accent6 7 2 2 3 3" xfId="8591" xr:uid="{00000000-0005-0000-0000-0000B1970000}"/>
    <cellStyle name="40% - Accent6 7 2 2 3 3 2" xfId="19892" xr:uid="{00000000-0005-0000-0000-0000B2970000}"/>
    <cellStyle name="40% - Accent6 7 2 2 3 3 2 2" xfId="42494" xr:uid="{00000000-0005-0000-0000-0000B3970000}"/>
    <cellStyle name="40% - Accent6 7 2 2 3 3 3" xfId="31193" xr:uid="{00000000-0005-0000-0000-0000B4970000}"/>
    <cellStyle name="40% - Accent6 7 2 2 3 4" xfId="14242" xr:uid="{00000000-0005-0000-0000-0000B5970000}"/>
    <cellStyle name="40% - Accent6 7 2 2 3 4 2" xfId="36844" xr:uid="{00000000-0005-0000-0000-0000B6970000}"/>
    <cellStyle name="40% - Accent6 7 2 2 3 5" xfId="25543" xr:uid="{00000000-0005-0000-0000-0000B7970000}"/>
    <cellStyle name="40% - Accent6 7 2 2 4" xfId="4540" xr:uid="{00000000-0005-0000-0000-0000B8970000}"/>
    <cellStyle name="40% - Accent6 7 2 2 4 2" xfId="10190" xr:uid="{00000000-0005-0000-0000-0000B9970000}"/>
    <cellStyle name="40% - Accent6 7 2 2 4 2 2" xfId="21491" xr:uid="{00000000-0005-0000-0000-0000BA970000}"/>
    <cellStyle name="40% - Accent6 7 2 2 4 2 2 2" xfId="44093" xr:uid="{00000000-0005-0000-0000-0000BB970000}"/>
    <cellStyle name="40% - Accent6 7 2 2 4 2 3" xfId="32792" xr:uid="{00000000-0005-0000-0000-0000BC970000}"/>
    <cellStyle name="40% - Accent6 7 2 2 4 3" xfId="15841" xr:uid="{00000000-0005-0000-0000-0000BD970000}"/>
    <cellStyle name="40% - Accent6 7 2 2 4 3 2" xfId="38443" xr:uid="{00000000-0005-0000-0000-0000BE970000}"/>
    <cellStyle name="40% - Accent6 7 2 2 4 4" xfId="27142" xr:uid="{00000000-0005-0000-0000-0000BF970000}"/>
    <cellStyle name="40% - Accent6 7 2 2 5" xfId="7336" xr:uid="{00000000-0005-0000-0000-0000C0970000}"/>
    <cellStyle name="40% - Accent6 7 2 2 5 2" xfId="18637" xr:uid="{00000000-0005-0000-0000-0000C1970000}"/>
    <cellStyle name="40% - Accent6 7 2 2 5 2 2" xfId="41239" xr:uid="{00000000-0005-0000-0000-0000C2970000}"/>
    <cellStyle name="40% - Accent6 7 2 2 5 3" xfId="29938" xr:uid="{00000000-0005-0000-0000-0000C3970000}"/>
    <cellStyle name="40% - Accent6 7 2 2 6" xfId="12987" xr:uid="{00000000-0005-0000-0000-0000C4970000}"/>
    <cellStyle name="40% - Accent6 7 2 2 6 2" xfId="35589" xr:uid="{00000000-0005-0000-0000-0000C5970000}"/>
    <cellStyle name="40% - Accent6 7 2 2 7" xfId="24288" xr:uid="{00000000-0005-0000-0000-0000C6970000}"/>
    <cellStyle name="40% - Accent6 7 2 3" xfId="1055" xr:uid="{00000000-0005-0000-0000-0000C7970000}"/>
    <cellStyle name="40% - Accent6 7 2 3 2" xfId="3118" xr:uid="{00000000-0005-0000-0000-0000C8970000}"/>
    <cellStyle name="40% - Accent6 7 2 3 2 2" xfId="6090" xr:uid="{00000000-0005-0000-0000-0000C9970000}"/>
    <cellStyle name="40% - Accent6 7 2 3 2 2 2" xfId="11740" xr:uid="{00000000-0005-0000-0000-0000CA970000}"/>
    <cellStyle name="40% - Accent6 7 2 3 2 2 2 2" xfId="23041" xr:uid="{00000000-0005-0000-0000-0000CB970000}"/>
    <cellStyle name="40% - Accent6 7 2 3 2 2 2 2 2" xfId="45643" xr:uid="{00000000-0005-0000-0000-0000CC970000}"/>
    <cellStyle name="40% - Accent6 7 2 3 2 2 2 3" xfId="34342" xr:uid="{00000000-0005-0000-0000-0000CD970000}"/>
    <cellStyle name="40% - Accent6 7 2 3 2 2 3" xfId="17391" xr:uid="{00000000-0005-0000-0000-0000CE970000}"/>
    <cellStyle name="40% - Accent6 7 2 3 2 2 3 2" xfId="39993" xr:uid="{00000000-0005-0000-0000-0000CF970000}"/>
    <cellStyle name="40% - Accent6 7 2 3 2 2 4" xfId="28692" xr:uid="{00000000-0005-0000-0000-0000D0970000}"/>
    <cellStyle name="40% - Accent6 7 2 3 2 3" xfId="8908" xr:uid="{00000000-0005-0000-0000-0000D1970000}"/>
    <cellStyle name="40% - Accent6 7 2 3 2 3 2" xfId="20209" xr:uid="{00000000-0005-0000-0000-0000D2970000}"/>
    <cellStyle name="40% - Accent6 7 2 3 2 3 2 2" xfId="42811" xr:uid="{00000000-0005-0000-0000-0000D3970000}"/>
    <cellStyle name="40% - Accent6 7 2 3 2 3 3" xfId="31510" xr:uid="{00000000-0005-0000-0000-0000D4970000}"/>
    <cellStyle name="40% - Accent6 7 2 3 2 4" xfId="14559" xr:uid="{00000000-0005-0000-0000-0000D5970000}"/>
    <cellStyle name="40% - Accent6 7 2 3 2 4 2" xfId="37161" xr:uid="{00000000-0005-0000-0000-0000D6970000}"/>
    <cellStyle name="40% - Accent6 7 2 3 2 5" xfId="25860" xr:uid="{00000000-0005-0000-0000-0000D7970000}"/>
    <cellStyle name="40% - Accent6 7 2 3 3" xfId="4856" xr:uid="{00000000-0005-0000-0000-0000D8970000}"/>
    <cellStyle name="40% - Accent6 7 2 3 3 2" xfId="10506" xr:uid="{00000000-0005-0000-0000-0000D9970000}"/>
    <cellStyle name="40% - Accent6 7 2 3 3 2 2" xfId="21807" xr:uid="{00000000-0005-0000-0000-0000DA970000}"/>
    <cellStyle name="40% - Accent6 7 2 3 3 2 2 2" xfId="44409" xr:uid="{00000000-0005-0000-0000-0000DB970000}"/>
    <cellStyle name="40% - Accent6 7 2 3 3 2 3" xfId="33108" xr:uid="{00000000-0005-0000-0000-0000DC970000}"/>
    <cellStyle name="40% - Accent6 7 2 3 3 3" xfId="16157" xr:uid="{00000000-0005-0000-0000-0000DD970000}"/>
    <cellStyle name="40% - Accent6 7 2 3 3 3 2" xfId="38759" xr:uid="{00000000-0005-0000-0000-0000DE970000}"/>
    <cellStyle name="40% - Accent6 7 2 3 3 4" xfId="27458" xr:uid="{00000000-0005-0000-0000-0000DF970000}"/>
    <cellStyle name="40% - Accent6 7 2 3 4" xfId="7043" xr:uid="{00000000-0005-0000-0000-0000E0970000}"/>
    <cellStyle name="40% - Accent6 7 2 3 4 2" xfId="18344" xr:uid="{00000000-0005-0000-0000-0000E1970000}"/>
    <cellStyle name="40% - Accent6 7 2 3 4 2 2" xfId="40946" xr:uid="{00000000-0005-0000-0000-0000E2970000}"/>
    <cellStyle name="40% - Accent6 7 2 3 4 3" xfId="29645" xr:uid="{00000000-0005-0000-0000-0000E3970000}"/>
    <cellStyle name="40% - Accent6 7 2 3 5" xfId="12694" xr:uid="{00000000-0005-0000-0000-0000E4970000}"/>
    <cellStyle name="40% - Accent6 7 2 3 5 2" xfId="35296" xr:uid="{00000000-0005-0000-0000-0000E5970000}"/>
    <cellStyle name="40% - Accent6 7 2 3 6" xfId="23995" xr:uid="{00000000-0005-0000-0000-0000E6970000}"/>
    <cellStyle name="40% - Accent6 7 2 4" xfId="2074" xr:uid="{00000000-0005-0000-0000-0000E7970000}"/>
    <cellStyle name="40% - Accent6 7 2 4 2" xfId="3843" xr:uid="{00000000-0005-0000-0000-0000E8970000}"/>
    <cellStyle name="40% - Accent6 7 2 4 2 2" xfId="9551" xr:uid="{00000000-0005-0000-0000-0000E9970000}"/>
    <cellStyle name="40% - Accent6 7 2 4 2 2 2" xfId="20852" xr:uid="{00000000-0005-0000-0000-0000EA970000}"/>
    <cellStyle name="40% - Accent6 7 2 4 2 2 2 2" xfId="43454" xr:uid="{00000000-0005-0000-0000-0000EB970000}"/>
    <cellStyle name="40% - Accent6 7 2 4 2 2 3" xfId="32153" xr:uid="{00000000-0005-0000-0000-0000EC970000}"/>
    <cellStyle name="40% - Accent6 7 2 4 2 3" xfId="15202" xr:uid="{00000000-0005-0000-0000-0000ED970000}"/>
    <cellStyle name="40% - Accent6 7 2 4 2 3 2" xfId="37804" xr:uid="{00000000-0005-0000-0000-0000EE970000}"/>
    <cellStyle name="40% - Accent6 7 2 4 2 4" xfId="26503" xr:uid="{00000000-0005-0000-0000-0000EF970000}"/>
    <cellStyle name="40% - Accent6 7 2 4 3" xfId="5466" xr:uid="{00000000-0005-0000-0000-0000F0970000}"/>
    <cellStyle name="40% - Accent6 7 2 4 3 2" xfId="11116" xr:uid="{00000000-0005-0000-0000-0000F1970000}"/>
    <cellStyle name="40% - Accent6 7 2 4 3 2 2" xfId="22417" xr:uid="{00000000-0005-0000-0000-0000F2970000}"/>
    <cellStyle name="40% - Accent6 7 2 4 3 2 2 2" xfId="45019" xr:uid="{00000000-0005-0000-0000-0000F3970000}"/>
    <cellStyle name="40% - Accent6 7 2 4 3 2 3" xfId="33718" xr:uid="{00000000-0005-0000-0000-0000F4970000}"/>
    <cellStyle name="40% - Accent6 7 2 4 3 3" xfId="16767" xr:uid="{00000000-0005-0000-0000-0000F5970000}"/>
    <cellStyle name="40% - Accent6 7 2 4 3 3 2" xfId="39369" xr:uid="{00000000-0005-0000-0000-0000F6970000}"/>
    <cellStyle name="40% - Accent6 7 2 4 3 4" xfId="28068" xr:uid="{00000000-0005-0000-0000-0000F7970000}"/>
    <cellStyle name="40% - Accent6 7 2 4 4" xfId="7930" xr:uid="{00000000-0005-0000-0000-0000F8970000}"/>
    <cellStyle name="40% - Accent6 7 2 4 4 2" xfId="19231" xr:uid="{00000000-0005-0000-0000-0000F9970000}"/>
    <cellStyle name="40% - Accent6 7 2 4 4 2 2" xfId="41833" xr:uid="{00000000-0005-0000-0000-0000FA970000}"/>
    <cellStyle name="40% - Accent6 7 2 4 4 3" xfId="30532" xr:uid="{00000000-0005-0000-0000-0000FB970000}"/>
    <cellStyle name="40% - Accent6 7 2 4 5" xfId="13581" xr:uid="{00000000-0005-0000-0000-0000FC970000}"/>
    <cellStyle name="40% - Accent6 7 2 4 5 2" xfId="36183" xr:uid="{00000000-0005-0000-0000-0000FD970000}"/>
    <cellStyle name="40% - Accent6 7 2 4 6" xfId="24882" xr:uid="{00000000-0005-0000-0000-0000FE970000}"/>
    <cellStyle name="40% - Accent6 7 2 5" xfId="2447" xr:uid="{00000000-0005-0000-0000-0000FF970000}"/>
    <cellStyle name="40% - Accent6 7 2 5 2" xfId="8283" xr:uid="{00000000-0005-0000-0000-000000980000}"/>
    <cellStyle name="40% - Accent6 7 2 5 2 2" xfId="19584" xr:uid="{00000000-0005-0000-0000-000001980000}"/>
    <cellStyle name="40% - Accent6 7 2 5 2 2 2" xfId="42186" xr:uid="{00000000-0005-0000-0000-000002980000}"/>
    <cellStyle name="40% - Accent6 7 2 5 2 3" xfId="30885" xr:uid="{00000000-0005-0000-0000-000003980000}"/>
    <cellStyle name="40% - Accent6 7 2 5 3" xfId="13934" xr:uid="{00000000-0005-0000-0000-000004980000}"/>
    <cellStyle name="40% - Accent6 7 2 5 3 2" xfId="36536" xr:uid="{00000000-0005-0000-0000-000005980000}"/>
    <cellStyle name="40% - Accent6 7 2 5 4" xfId="25235" xr:uid="{00000000-0005-0000-0000-000006980000}"/>
    <cellStyle name="40% - Accent6 7 2 6" xfId="4232" xr:uid="{00000000-0005-0000-0000-000007980000}"/>
    <cellStyle name="40% - Accent6 7 2 6 2" xfId="9882" xr:uid="{00000000-0005-0000-0000-000008980000}"/>
    <cellStyle name="40% - Accent6 7 2 6 2 2" xfId="21183" xr:uid="{00000000-0005-0000-0000-000009980000}"/>
    <cellStyle name="40% - Accent6 7 2 6 2 2 2" xfId="43785" xr:uid="{00000000-0005-0000-0000-00000A980000}"/>
    <cellStyle name="40% - Accent6 7 2 6 2 3" xfId="32484" xr:uid="{00000000-0005-0000-0000-00000B980000}"/>
    <cellStyle name="40% - Accent6 7 2 6 3" xfId="15533" xr:uid="{00000000-0005-0000-0000-00000C980000}"/>
    <cellStyle name="40% - Accent6 7 2 6 3 2" xfId="38135" xr:uid="{00000000-0005-0000-0000-00000D980000}"/>
    <cellStyle name="40% - Accent6 7 2 6 4" xfId="26834" xr:uid="{00000000-0005-0000-0000-00000E980000}"/>
    <cellStyle name="40% - Accent6 7 2 7" xfId="6712" xr:uid="{00000000-0005-0000-0000-00000F980000}"/>
    <cellStyle name="40% - Accent6 7 2 7 2" xfId="18013" xr:uid="{00000000-0005-0000-0000-000010980000}"/>
    <cellStyle name="40% - Accent6 7 2 7 2 2" xfId="40615" xr:uid="{00000000-0005-0000-0000-000011980000}"/>
    <cellStyle name="40% - Accent6 7 2 7 3" xfId="29314" xr:uid="{00000000-0005-0000-0000-000012980000}"/>
    <cellStyle name="40% - Accent6 7 2 8" xfId="12363" xr:uid="{00000000-0005-0000-0000-000013980000}"/>
    <cellStyle name="40% - Accent6 7 2 8 2" xfId="34965" xr:uid="{00000000-0005-0000-0000-000014980000}"/>
    <cellStyle name="40% - Accent6 7 2 9" xfId="23664" xr:uid="{00000000-0005-0000-0000-000015980000}"/>
    <cellStyle name="40% - Accent6 7 3" xfId="1219" xr:uid="{00000000-0005-0000-0000-000016980000}"/>
    <cellStyle name="40% - Accent6 7 3 2" xfId="2076" xr:uid="{00000000-0005-0000-0000-000017980000}"/>
    <cellStyle name="40% - Accent6 7 3 2 2" xfId="3287" xr:uid="{00000000-0005-0000-0000-000018980000}"/>
    <cellStyle name="40% - Accent6 7 3 2 2 2" xfId="6259" xr:uid="{00000000-0005-0000-0000-000019980000}"/>
    <cellStyle name="40% - Accent6 7 3 2 2 2 2" xfId="11909" xr:uid="{00000000-0005-0000-0000-00001A980000}"/>
    <cellStyle name="40% - Accent6 7 3 2 2 2 2 2" xfId="23210" xr:uid="{00000000-0005-0000-0000-00001B980000}"/>
    <cellStyle name="40% - Accent6 7 3 2 2 2 2 2 2" xfId="45812" xr:uid="{00000000-0005-0000-0000-00001C980000}"/>
    <cellStyle name="40% - Accent6 7 3 2 2 2 2 3" xfId="34511" xr:uid="{00000000-0005-0000-0000-00001D980000}"/>
    <cellStyle name="40% - Accent6 7 3 2 2 2 3" xfId="17560" xr:uid="{00000000-0005-0000-0000-00001E980000}"/>
    <cellStyle name="40% - Accent6 7 3 2 2 2 3 2" xfId="40162" xr:uid="{00000000-0005-0000-0000-00001F980000}"/>
    <cellStyle name="40% - Accent6 7 3 2 2 2 4" xfId="28861" xr:uid="{00000000-0005-0000-0000-000020980000}"/>
    <cellStyle name="40% - Accent6 7 3 2 2 3" xfId="9077" xr:uid="{00000000-0005-0000-0000-000021980000}"/>
    <cellStyle name="40% - Accent6 7 3 2 2 3 2" xfId="20378" xr:uid="{00000000-0005-0000-0000-000022980000}"/>
    <cellStyle name="40% - Accent6 7 3 2 2 3 2 2" xfId="42980" xr:uid="{00000000-0005-0000-0000-000023980000}"/>
    <cellStyle name="40% - Accent6 7 3 2 2 3 3" xfId="31679" xr:uid="{00000000-0005-0000-0000-000024980000}"/>
    <cellStyle name="40% - Accent6 7 3 2 2 4" xfId="14728" xr:uid="{00000000-0005-0000-0000-000025980000}"/>
    <cellStyle name="40% - Accent6 7 3 2 2 4 2" xfId="37330" xr:uid="{00000000-0005-0000-0000-000026980000}"/>
    <cellStyle name="40% - Accent6 7 3 2 2 5" xfId="26029" xr:uid="{00000000-0005-0000-0000-000027980000}"/>
    <cellStyle name="40% - Accent6 7 3 2 3" xfId="5025" xr:uid="{00000000-0005-0000-0000-000028980000}"/>
    <cellStyle name="40% - Accent6 7 3 2 3 2" xfId="10675" xr:uid="{00000000-0005-0000-0000-000029980000}"/>
    <cellStyle name="40% - Accent6 7 3 2 3 2 2" xfId="21976" xr:uid="{00000000-0005-0000-0000-00002A980000}"/>
    <cellStyle name="40% - Accent6 7 3 2 3 2 2 2" xfId="44578" xr:uid="{00000000-0005-0000-0000-00002B980000}"/>
    <cellStyle name="40% - Accent6 7 3 2 3 2 3" xfId="33277" xr:uid="{00000000-0005-0000-0000-00002C980000}"/>
    <cellStyle name="40% - Accent6 7 3 2 3 3" xfId="16326" xr:uid="{00000000-0005-0000-0000-00002D980000}"/>
    <cellStyle name="40% - Accent6 7 3 2 3 3 2" xfId="38928" xr:uid="{00000000-0005-0000-0000-00002E980000}"/>
    <cellStyle name="40% - Accent6 7 3 2 3 4" xfId="27627" xr:uid="{00000000-0005-0000-0000-00002F980000}"/>
    <cellStyle name="40% - Accent6 7 3 2 4" xfId="7932" xr:uid="{00000000-0005-0000-0000-000030980000}"/>
    <cellStyle name="40% - Accent6 7 3 2 4 2" xfId="19233" xr:uid="{00000000-0005-0000-0000-000031980000}"/>
    <cellStyle name="40% - Accent6 7 3 2 4 2 2" xfId="41835" xr:uid="{00000000-0005-0000-0000-000032980000}"/>
    <cellStyle name="40% - Accent6 7 3 2 4 3" xfId="30534" xr:uid="{00000000-0005-0000-0000-000033980000}"/>
    <cellStyle name="40% - Accent6 7 3 2 5" xfId="13583" xr:uid="{00000000-0005-0000-0000-000034980000}"/>
    <cellStyle name="40% - Accent6 7 3 2 5 2" xfId="36185" xr:uid="{00000000-0005-0000-0000-000035980000}"/>
    <cellStyle name="40% - Accent6 7 3 2 6" xfId="24884" xr:uid="{00000000-0005-0000-0000-000036980000}"/>
    <cellStyle name="40% - Accent6 7 3 3" xfId="2616" xr:uid="{00000000-0005-0000-0000-000037980000}"/>
    <cellStyle name="40% - Accent6 7 3 3 2" xfId="5635" xr:uid="{00000000-0005-0000-0000-000038980000}"/>
    <cellStyle name="40% - Accent6 7 3 3 2 2" xfId="11285" xr:uid="{00000000-0005-0000-0000-000039980000}"/>
    <cellStyle name="40% - Accent6 7 3 3 2 2 2" xfId="22586" xr:uid="{00000000-0005-0000-0000-00003A980000}"/>
    <cellStyle name="40% - Accent6 7 3 3 2 2 2 2" xfId="45188" xr:uid="{00000000-0005-0000-0000-00003B980000}"/>
    <cellStyle name="40% - Accent6 7 3 3 2 2 3" xfId="33887" xr:uid="{00000000-0005-0000-0000-00003C980000}"/>
    <cellStyle name="40% - Accent6 7 3 3 2 3" xfId="16936" xr:uid="{00000000-0005-0000-0000-00003D980000}"/>
    <cellStyle name="40% - Accent6 7 3 3 2 3 2" xfId="39538" xr:uid="{00000000-0005-0000-0000-00003E980000}"/>
    <cellStyle name="40% - Accent6 7 3 3 2 4" xfId="28237" xr:uid="{00000000-0005-0000-0000-00003F980000}"/>
    <cellStyle name="40% - Accent6 7 3 3 3" xfId="8452" xr:uid="{00000000-0005-0000-0000-000040980000}"/>
    <cellStyle name="40% - Accent6 7 3 3 3 2" xfId="19753" xr:uid="{00000000-0005-0000-0000-000041980000}"/>
    <cellStyle name="40% - Accent6 7 3 3 3 2 2" xfId="42355" xr:uid="{00000000-0005-0000-0000-000042980000}"/>
    <cellStyle name="40% - Accent6 7 3 3 3 3" xfId="31054" xr:uid="{00000000-0005-0000-0000-000043980000}"/>
    <cellStyle name="40% - Accent6 7 3 3 4" xfId="14103" xr:uid="{00000000-0005-0000-0000-000044980000}"/>
    <cellStyle name="40% - Accent6 7 3 3 4 2" xfId="36705" xr:uid="{00000000-0005-0000-0000-000045980000}"/>
    <cellStyle name="40% - Accent6 7 3 3 5" xfId="25404" xr:uid="{00000000-0005-0000-0000-000046980000}"/>
    <cellStyle name="40% - Accent6 7 3 4" xfId="4401" xr:uid="{00000000-0005-0000-0000-000047980000}"/>
    <cellStyle name="40% - Accent6 7 3 4 2" xfId="10051" xr:uid="{00000000-0005-0000-0000-000048980000}"/>
    <cellStyle name="40% - Accent6 7 3 4 2 2" xfId="21352" xr:uid="{00000000-0005-0000-0000-000049980000}"/>
    <cellStyle name="40% - Accent6 7 3 4 2 2 2" xfId="43954" xr:uid="{00000000-0005-0000-0000-00004A980000}"/>
    <cellStyle name="40% - Accent6 7 3 4 2 3" xfId="32653" xr:uid="{00000000-0005-0000-0000-00004B980000}"/>
    <cellStyle name="40% - Accent6 7 3 4 3" xfId="15702" xr:uid="{00000000-0005-0000-0000-00004C980000}"/>
    <cellStyle name="40% - Accent6 7 3 4 3 2" xfId="38304" xr:uid="{00000000-0005-0000-0000-00004D980000}"/>
    <cellStyle name="40% - Accent6 7 3 4 4" xfId="27003" xr:uid="{00000000-0005-0000-0000-00004E980000}"/>
    <cellStyle name="40% - Accent6 7 3 5" xfId="7198" xr:uid="{00000000-0005-0000-0000-00004F980000}"/>
    <cellStyle name="40% - Accent6 7 3 5 2" xfId="18499" xr:uid="{00000000-0005-0000-0000-000050980000}"/>
    <cellStyle name="40% - Accent6 7 3 5 2 2" xfId="41101" xr:uid="{00000000-0005-0000-0000-000051980000}"/>
    <cellStyle name="40% - Accent6 7 3 5 3" xfId="29800" xr:uid="{00000000-0005-0000-0000-000052980000}"/>
    <cellStyle name="40% - Accent6 7 3 6" xfId="12849" xr:uid="{00000000-0005-0000-0000-000053980000}"/>
    <cellStyle name="40% - Accent6 7 3 6 2" xfId="35451" xr:uid="{00000000-0005-0000-0000-000054980000}"/>
    <cellStyle name="40% - Accent6 7 3 7" xfId="24150" xr:uid="{00000000-0005-0000-0000-000055980000}"/>
    <cellStyle name="40% - Accent6 7 4" xfId="910" xr:uid="{00000000-0005-0000-0000-000056980000}"/>
    <cellStyle name="40% - Accent6 7 4 2" xfId="2980" xr:uid="{00000000-0005-0000-0000-000057980000}"/>
    <cellStyle name="40% - Accent6 7 4 2 2" xfId="5952" xr:uid="{00000000-0005-0000-0000-000058980000}"/>
    <cellStyle name="40% - Accent6 7 4 2 2 2" xfId="11602" xr:uid="{00000000-0005-0000-0000-000059980000}"/>
    <cellStyle name="40% - Accent6 7 4 2 2 2 2" xfId="22903" xr:uid="{00000000-0005-0000-0000-00005A980000}"/>
    <cellStyle name="40% - Accent6 7 4 2 2 2 2 2" xfId="45505" xr:uid="{00000000-0005-0000-0000-00005B980000}"/>
    <cellStyle name="40% - Accent6 7 4 2 2 2 3" xfId="34204" xr:uid="{00000000-0005-0000-0000-00005C980000}"/>
    <cellStyle name="40% - Accent6 7 4 2 2 3" xfId="17253" xr:uid="{00000000-0005-0000-0000-00005D980000}"/>
    <cellStyle name="40% - Accent6 7 4 2 2 3 2" xfId="39855" xr:uid="{00000000-0005-0000-0000-00005E980000}"/>
    <cellStyle name="40% - Accent6 7 4 2 2 4" xfId="28554" xr:uid="{00000000-0005-0000-0000-00005F980000}"/>
    <cellStyle name="40% - Accent6 7 4 2 3" xfId="8770" xr:uid="{00000000-0005-0000-0000-000060980000}"/>
    <cellStyle name="40% - Accent6 7 4 2 3 2" xfId="20071" xr:uid="{00000000-0005-0000-0000-000061980000}"/>
    <cellStyle name="40% - Accent6 7 4 2 3 2 2" xfId="42673" xr:uid="{00000000-0005-0000-0000-000062980000}"/>
    <cellStyle name="40% - Accent6 7 4 2 3 3" xfId="31372" xr:uid="{00000000-0005-0000-0000-000063980000}"/>
    <cellStyle name="40% - Accent6 7 4 2 4" xfId="14421" xr:uid="{00000000-0005-0000-0000-000064980000}"/>
    <cellStyle name="40% - Accent6 7 4 2 4 2" xfId="37023" xr:uid="{00000000-0005-0000-0000-000065980000}"/>
    <cellStyle name="40% - Accent6 7 4 2 5" xfId="25722" xr:uid="{00000000-0005-0000-0000-000066980000}"/>
    <cellStyle name="40% - Accent6 7 4 3" xfId="4718" xr:uid="{00000000-0005-0000-0000-000067980000}"/>
    <cellStyle name="40% - Accent6 7 4 3 2" xfId="10368" xr:uid="{00000000-0005-0000-0000-000068980000}"/>
    <cellStyle name="40% - Accent6 7 4 3 2 2" xfId="21669" xr:uid="{00000000-0005-0000-0000-000069980000}"/>
    <cellStyle name="40% - Accent6 7 4 3 2 2 2" xfId="44271" xr:uid="{00000000-0005-0000-0000-00006A980000}"/>
    <cellStyle name="40% - Accent6 7 4 3 2 3" xfId="32970" xr:uid="{00000000-0005-0000-0000-00006B980000}"/>
    <cellStyle name="40% - Accent6 7 4 3 3" xfId="16019" xr:uid="{00000000-0005-0000-0000-00006C980000}"/>
    <cellStyle name="40% - Accent6 7 4 3 3 2" xfId="38621" xr:uid="{00000000-0005-0000-0000-00006D980000}"/>
    <cellStyle name="40% - Accent6 7 4 3 4" xfId="27320" xr:uid="{00000000-0005-0000-0000-00006E980000}"/>
    <cellStyle name="40% - Accent6 7 4 4" xfId="6905" xr:uid="{00000000-0005-0000-0000-00006F980000}"/>
    <cellStyle name="40% - Accent6 7 4 4 2" xfId="18206" xr:uid="{00000000-0005-0000-0000-000070980000}"/>
    <cellStyle name="40% - Accent6 7 4 4 2 2" xfId="40808" xr:uid="{00000000-0005-0000-0000-000071980000}"/>
    <cellStyle name="40% - Accent6 7 4 4 3" xfId="29507" xr:uid="{00000000-0005-0000-0000-000072980000}"/>
    <cellStyle name="40% - Accent6 7 4 5" xfId="12556" xr:uid="{00000000-0005-0000-0000-000073980000}"/>
    <cellStyle name="40% - Accent6 7 4 5 2" xfId="35158" xr:uid="{00000000-0005-0000-0000-000074980000}"/>
    <cellStyle name="40% - Accent6 7 4 6" xfId="23857" xr:uid="{00000000-0005-0000-0000-000075980000}"/>
    <cellStyle name="40% - Accent6 7 5" xfId="2073" xr:uid="{00000000-0005-0000-0000-000076980000}"/>
    <cellStyle name="40% - Accent6 7 5 2" xfId="3842" xr:uid="{00000000-0005-0000-0000-000077980000}"/>
    <cellStyle name="40% - Accent6 7 5 2 2" xfId="9550" xr:uid="{00000000-0005-0000-0000-000078980000}"/>
    <cellStyle name="40% - Accent6 7 5 2 2 2" xfId="20851" xr:uid="{00000000-0005-0000-0000-000079980000}"/>
    <cellStyle name="40% - Accent6 7 5 2 2 2 2" xfId="43453" xr:uid="{00000000-0005-0000-0000-00007A980000}"/>
    <cellStyle name="40% - Accent6 7 5 2 2 3" xfId="32152" xr:uid="{00000000-0005-0000-0000-00007B980000}"/>
    <cellStyle name="40% - Accent6 7 5 2 3" xfId="15201" xr:uid="{00000000-0005-0000-0000-00007C980000}"/>
    <cellStyle name="40% - Accent6 7 5 2 3 2" xfId="37803" xr:uid="{00000000-0005-0000-0000-00007D980000}"/>
    <cellStyle name="40% - Accent6 7 5 2 4" xfId="26502" xr:uid="{00000000-0005-0000-0000-00007E980000}"/>
    <cellStyle name="40% - Accent6 7 5 3" xfId="5328" xr:uid="{00000000-0005-0000-0000-00007F980000}"/>
    <cellStyle name="40% - Accent6 7 5 3 2" xfId="10978" xr:uid="{00000000-0005-0000-0000-000080980000}"/>
    <cellStyle name="40% - Accent6 7 5 3 2 2" xfId="22279" xr:uid="{00000000-0005-0000-0000-000081980000}"/>
    <cellStyle name="40% - Accent6 7 5 3 2 2 2" xfId="44881" xr:uid="{00000000-0005-0000-0000-000082980000}"/>
    <cellStyle name="40% - Accent6 7 5 3 2 3" xfId="33580" xr:uid="{00000000-0005-0000-0000-000083980000}"/>
    <cellStyle name="40% - Accent6 7 5 3 3" xfId="16629" xr:uid="{00000000-0005-0000-0000-000084980000}"/>
    <cellStyle name="40% - Accent6 7 5 3 3 2" xfId="39231" xr:uid="{00000000-0005-0000-0000-000085980000}"/>
    <cellStyle name="40% - Accent6 7 5 3 4" xfId="27930" xr:uid="{00000000-0005-0000-0000-000086980000}"/>
    <cellStyle name="40% - Accent6 7 5 4" xfId="7929" xr:uid="{00000000-0005-0000-0000-000087980000}"/>
    <cellStyle name="40% - Accent6 7 5 4 2" xfId="19230" xr:uid="{00000000-0005-0000-0000-000088980000}"/>
    <cellStyle name="40% - Accent6 7 5 4 2 2" xfId="41832" xr:uid="{00000000-0005-0000-0000-000089980000}"/>
    <cellStyle name="40% - Accent6 7 5 4 3" xfId="30531" xr:uid="{00000000-0005-0000-0000-00008A980000}"/>
    <cellStyle name="40% - Accent6 7 5 5" xfId="13580" xr:uid="{00000000-0005-0000-0000-00008B980000}"/>
    <cellStyle name="40% - Accent6 7 5 5 2" xfId="36182" xr:uid="{00000000-0005-0000-0000-00008C980000}"/>
    <cellStyle name="40% - Accent6 7 5 6" xfId="24881" xr:uid="{00000000-0005-0000-0000-00008D980000}"/>
    <cellStyle name="40% - Accent6 7 6" xfId="2307" xr:uid="{00000000-0005-0000-0000-00008E980000}"/>
    <cellStyle name="40% - Accent6 7 6 2" xfId="8143" xr:uid="{00000000-0005-0000-0000-00008F980000}"/>
    <cellStyle name="40% - Accent6 7 6 2 2" xfId="19444" xr:uid="{00000000-0005-0000-0000-000090980000}"/>
    <cellStyle name="40% - Accent6 7 6 2 2 2" xfId="42046" xr:uid="{00000000-0005-0000-0000-000091980000}"/>
    <cellStyle name="40% - Accent6 7 6 2 3" xfId="30745" xr:uid="{00000000-0005-0000-0000-000092980000}"/>
    <cellStyle name="40% - Accent6 7 6 3" xfId="13794" xr:uid="{00000000-0005-0000-0000-000093980000}"/>
    <cellStyle name="40% - Accent6 7 6 3 2" xfId="36396" xr:uid="{00000000-0005-0000-0000-000094980000}"/>
    <cellStyle name="40% - Accent6 7 6 4" xfId="25095" xr:uid="{00000000-0005-0000-0000-000095980000}"/>
    <cellStyle name="40% - Accent6 7 7" xfId="4094" xr:uid="{00000000-0005-0000-0000-000096980000}"/>
    <cellStyle name="40% - Accent6 7 7 2" xfId="9744" xr:uid="{00000000-0005-0000-0000-000097980000}"/>
    <cellStyle name="40% - Accent6 7 7 2 2" xfId="21045" xr:uid="{00000000-0005-0000-0000-000098980000}"/>
    <cellStyle name="40% - Accent6 7 7 2 2 2" xfId="43647" xr:uid="{00000000-0005-0000-0000-000099980000}"/>
    <cellStyle name="40% - Accent6 7 7 2 3" xfId="32346" xr:uid="{00000000-0005-0000-0000-00009A980000}"/>
    <cellStyle name="40% - Accent6 7 7 3" xfId="15395" xr:uid="{00000000-0005-0000-0000-00009B980000}"/>
    <cellStyle name="40% - Accent6 7 7 3 2" xfId="37997" xr:uid="{00000000-0005-0000-0000-00009C980000}"/>
    <cellStyle name="40% - Accent6 7 7 4" xfId="26696" xr:uid="{00000000-0005-0000-0000-00009D980000}"/>
    <cellStyle name="40% - Accent6 7 8" xfId="6545" xr:uid="{00000000-0005-0000-0000-00009E980000}"/>
    <cellStyle name="40% - Accent6 7 8 2" xfId="17846" xr:uid="{00000000-0005-0000-0000-00009F980000}"/>
    <cellStyle name="40% - Accent6 7 8 2 2" xfId="40448" xr:uid="{00000000-0005-0000-0000-0000A0980000}"/>
    <cellStyle name="40% - Accent6 7 8 3" xfId="29147" xr:uid="{00000000-0005-0000-0000-0000A1980000}"/>
    <cellStyle name="40% - Accent6 7 9" xfId="12196" xr:uid="{00000000-0005-0000-0000-0000A2980000}"/>
    <cellStyle name="40% - Accent6 7 9 2" xfId="34798" xr:uid="{00000000-0005-0000-0000-0000A3980000}"/>
    <cellStyle name="40% - Accent6 8" xfId="505" xr:uid="{00000000-0005-0000-0000-0000A4980000}"/>
    <cellStyle name="40% - Accent6 8 2" xfId="1276" xr:uid="{00000000-0005-0000-0000-0000A5980000}"/>
    <cellStyle name="40% - Accent6 8 2 2" xfId="2078" xr:uid="{00000000-0005-0000-0000-0000A6980000}"/>
    <cellStyle name="40% - Accent6 8 2 2 2" xfId="3345" xr:uid="{00000000-0005-0000-0000-0000A7980000}"/>
    <cellStyle name="40% - Accent6 8 2 2 2 2" xfId="6317" xr:uid="{00000000-0005-0000-0000-0000A8980000}"/>
    <cellStyle name="40% - Accent6 8 2 2 2 2 2" xfId="11967" xr:uid="{00000000-0005-0000-0000-0000A9980000}"/>
    <cellStyle name="40% - Accent6 8 2 2 2 2 2 2" xfId="23268" xr:uid="{00000000-0005-0000-0000-0000AA980000}"/>
    <cellStyle name="40% - Accent6 8 2 2 2 2 2 2 2" xfId="45870" xr:uid="{00000000-0005-0000-0000-0000AB980000}"/>
    <cellStyle name="40% - Accent6 8 2 2 2 2 2 3" xfId="34569" xr:uid="{00000000-0005-0000-0000-0000AC980000}"/>
    <cellStyle name="40% - Accent6 8 2 2 2 2 3" xfId="17618" xr:uid="{00000000-0005-0000-0000-0000AD980000}"/>
    <cellStyle name="40% - Accent6 8 2 2 2 2 3 2" xfId="40220" xr:uid="{00000000-0005-0000-0000-0000AE980000}"/>
    <cellStyle name="40% - Accent6 8 2 2 2 2 4" xfId="28919" xr:uid="{00000000-0005-0000-0000-0000AF980000}"/>
    <cellStyle name="40% - Accent6 8 2 2 2 3" xfId="9135" xr:uid="{00000000-0005-0000-0000-0000B0980000}"/>
    <cellStyle name="40% - Accent6 8 2 2 2 3 2" xfId="20436" xr:uid="{00000000-0005-0000-0000-0000B1980000}"/>
    <cellStyle name="40% - Accent6 8 2 2 2 3 2 2" xfId="43038" xr:uid="{00000000-0005-0000-0000-0000B2980000}"/>
    <cellStyle name="40% - Accent6 8 2 2 2 3 3" xfId="31737" xr:uid="{00000000-0005-0000-0000-0000B3980000}"/>
    <cellStyle name="40% - Accent6 8 2 2 2 4" xfId="14786" xr:uid="{00000000-0005-0000-0000-0000B4980000}"/>
    <cellStyle name="40% - Accent6 8 2 2 2 4 2" xfId="37388" xr:uid="{00000000-0005-0000-0000-0000B5980000}"/>
    <cellStyle name="40% - Accent6 8 2 2 2 5" xfId="26087" xr:uid="{00000000-0005-0000-0000-0000B6980000}"/>
    <cellStyle name="40% - Accent6 8 2 2 3" xfId="5083" xr:uid="{00000000-0005-0000-0000-0000B7980000}"/>
    <cellStyle name="40% - Accent6 8 2 2 3 2" xfId="10733" xr:uid="{00000000-0005-0000-0000-0000B8980000}"/>
    <cellStyle name="40% - Accent6 8 2 2 3 2 2" xfId="22034" xr:uid="{00000000-0005-0000-0000-0000B9980000}"/>
    <cellStyle name="40% - Accent6 8 2 2 3 2 2 2" xfId="44636" xr:uid="{00000000-0005-0000-0000-0000BA980000}"/>
    <cellStyle name="40% - Accent6 8 2 2 3 2 3" xfId="33335" xr:uid="{00000000-0005-0000-0000-0000BB980000}"/>
    <cellStyle name="40% - Accent6 8 2 2 3 3" xfId="16384" xr:uid="{00000000-0005-0000-0000-0000BC980000}"/>
    <cellStyle name="40% - Accent6 8 2 2 3 3 2" xfId="38986" xr:uid="{00000000-0005-0000-0000-0000BD980000}"/>
    <cellStyle name="40% - Accent6 8 2 2 3 4" xfId="27685" xr:uid="{00000000-0005-0000-0000-0000BE980000}"/>
    <cellStyle name="40% - Accent6 8 2 2 4" xfId="7934" xr:uid="{00000000-0005-0000-0000-0000BF980000}"/>
    <cellStyle name="40% - Accent6 8 2 2 4 2" xfId="19235" xr:uid="{00000000-0005-0000-0000-0000C0980000}"/>
    <cellStyle name="40% - Accent6 8 2 2 4 2 2" xfId="41837" xr:uid="{00000000-0005-0000-0000-0000C1980000}"/>
    <cellStyle name="40% - Accent6 8 2 2 4 3" xfId="30536" xr:uid="{00000000-0005-0000-0000-0000C2980000}"/>
    <cellStyle name="40% - Accent6 8 2 2 5" xfId="13585" xr:uid="{00000000-0005-0000-0000-0000C3980000}"/>
    <cellStyle name="40% - Accent6 8 2 2 5 2" xfId="36187" xr:uid="{00000000-0005-0000-0000-0000C4980000}"/>
    <cellStyle name="40% - Accent6 8 2 2 6" xfId="24886" xr:uid="{00000000-0005-0000-0000-0000C5980000}"/>
    <cellStyle name="40% - Accent6 8 2 3" xfId="2674" xr:uid="{00000000-0005-0000-0000-0000C6980000}"/>
    <cellStyle name="40% - Accent6 8 2 3 2" xfId="5693" xr:uid="{00000000-0005-0000-0000-0000C7980000}"/>
    <cellStyle name="40% - Accent6 8 2 3 2 2" xfId="11343" xr:uid="{00000000-0005-0000-0000-0000C8980000}"/>
    <cellStyle name="40% - Accent6 8 2 3 2 2 2" xfId="22644" xr:uid="{00000000-0005-0000-0000-0000C9980000}"/>
    <cellStyle name="40% - Accent6 8 2 3 2 2 2 2" xfId="45246" xr:uid="{00000000-0005-0000-0000-0000CA980000}"/>
    <cellStyle name="40% - Accent6 8 2 3 2 2 3" xfId="33945" xr:uid="{00000000-0005-0000-0000-0000CB980000}"/>
    <cellStyle name="40% - Accent6 8 2 3 2 3" xfId="16994" xr:uid="{00000000-0005-0000-0000-0000CC980000}"/>
    <cellStyle name="40% - Accent6 8 2 3 2 3 2" xfId="39596" xr:uid="{00000000-0005-0000-0000-0000CD980000}"/>
    <cellStyle name="40% - Accent6 8 2 3 2 4" xfId="28295" xr:uid="{00000000-0005-0000-0000-0000CE980000}"/>
    <cellStyle name="40% - Accent6 8 2 3 3" xfId="8510" xr:uid="{00000000-0005-0000-0000-0000CF980000}"/>
    <cellStyle name="40% - Accent6 8 2 3 3 2" xfId="19811" xr:uid="{00000000-0005-0000-0000-0000D0980000}"/>
    <cellStyle name="40% - Accent6 8 2 3 3 2 2" xfId="42413" xr:uid="{00000000-0005-0000-0000-0000D1980000}"/>
    <cellStyle name="40% - Accent6 8 2 3 3 3" xfId="31112" xr:uid="{00000000-0005-0000-0000-0000D2980000}"/>
    <cellStyle name="40% - Accent6 8 2 3 4" xfId="14161" xr:uid="{00000000-0005-0000-0000-0000D3980000}"/>
    <cellStyle name="40% - Accent6 8 2 3 4 2" xfId="36763" xr:uid="{00000000-0005-0000-0000-0000D4980000}"/>
    <cellStyle name="40% - Accent6 8 2 3 5" xfId="25462" xr:uid="{00000000-0005-0000-0000-0000D5980000}"/>
    <cellStyle name="40% - Accent6 8 2 4" xfId="4459" xr:uid="{00000000-0005-0000-0000-0000D6980000}"/>
    <cellStyle name="40% - Accent6 8 2 4 2" xfId="10109" xr:uid="{00000000-0005-0000-0000-0000D7980000}"/>
    <cellStyle name="40% - Accent6 8 2 4 2 2" xfId="21410" xr:uid="{00000000-0005-0000-0000-0000D8980000}"/>
    <cellStyle name="40% - Accent6 8 2 4 2 2 2" xfId="44012" xr:uid="{00000000-0005-0000-0000-0000D9980000}"/>
    <cellStyle name="40% - Accent6 8 2 4 2 3" xfId="32711" xr:uid="{00000000-0005-0000-0000-0000DA980000}"/>
    <cellStyle name="40% - Accent6 8 2 4 3" xfId="15760" xr:uid="{00000000-0005-0000-0000-0000DB980000}"/>
    <cellStyle name="40% - Accent6 8 2 4 3 2" xfId="38362" xr:uid="{00000000-0005-0000-0000-0000DC980000}"/>
    <cellStyle name="40% - Accent6 8 2 4 4" xfId="27061" xr:uid="{00000000-0005-0000-0000-0000DD980000}"/>
    <cellStyle name="40% - Accent6 8 2 5" xfId="7255" xr:uid="{00000000-0005-0000-0000-0000DE980000}"/>
    <cellStyle name="40% - Accent6 8 2 5 2" xfId="18556" xr:uid="{00000000-0005-0000-0000-0000DF980000}"/>
    <cellStyle name="40% - Accent6 8 2 5 2 2" xfId="41158" xr:uid="{00000000-0005-0000-0000-0000E0980000}"/>
    <cellStyle name="40% - Accent6 8 2 5 3" xfId="29857" xr:uid="{00000000-0005-0000-0000-0000E1980000}"/>
    <cellStyle name="40% - Accent6 8 2 6" xfId="12906" xr:uid="{00000000-0005-0000-0000-0000E2980000}"/>
    <cellStyle name="40% - Accent6 8 2 6 2" xfId="35508" xr:uid="{00000000-0005-0000-0000-0000E3980000}"/>
    <cellStyle name="40% - Accent6 8 2 7" xfId="24207" xr:uid="{00000000-0005-0000-0000-0000E4980000}"/>
    <cellStyle name="40% - Accent6 8 3" xfId="973" xr:uid="{00000000-0005-0000-0000-0000E5980000}"/>
    <cellStyle name="40% - Accent6 8 3 2" xfId="3037" xr:uid="{00000000-0005-0000-0000-0000E6980000}"/>
    <cellStyle name="40% - Accent6 8 3 2 2" xfId="6009" xr:uid="{00000000-0005-0000-0000-0000E7980000}"/>
    <cellStyle name="40% - Accent6 8 3 2 2 2" xfId="11659" xr:uid="{00000000-0005-0000-0000-0000E8980000}"/>
    <cellStyle name="40% - Accent6 8 3 2 2 2 2" xfId="22960" xr:uid="{00000000-0005-0000-0000-0000E9980000}"/>
    <cellStyle name="40% - Accent6 8 3 2 2 2 2 2" xfId="45562" xr:uid="{00000000-0005-0000-0000-0000EA980000}"/>
    <cellStyle name="40% - Accent6 8 3 2 2 2 3" xfId="34261" xr:uid="{00000000-0005-0000-0000-0000EB980000}"/>
    <cellStyle name="40% - Accent6 8 3 2 2 3" xfId="17310" xr:uid="{00000000-0005-0000-0000-0000EC980000}"/>
    <cellStyle name="40% - Accent6 8 3 2 2 3 2" xfId="39912" xr:uid="{00000000-0005-0000-0000-0000ED980000}"/>
    <cellStyle name="40% - Accent6 8 3 2 2 4" xfId="28611" xr:uid="{00000000-0005-0000-0000-0000EE980000}"/>
    <cellStyle name="40% - Accent6 8 3 2 3" xfId="8827" xr:uid="{00000000-0005-0000-0000-0000EF980000}"/>
    <cellStyle name="40% - Accent6 8 3 2 3 2" xfId="20128" xr:uid="{00000000-0005-0000-0000-0000F0980000}"/>
    <cellStyle name="40% - Accent6 8 3 2 3 2 2" xfId="42730" xr:uid="{00000000-0005-0000-0000-0000F1980000}"/>
    <cellStyle name="40% - Accent6 8 3 2 3 3" xfId="31429" xr:uid="{00000000-0005-0000-0000-0000F2980000}"/>
    <cellStyle name="40% - Accent6 8 3 2 4" xfId="14478" xr:uid="{00000000-0005-0000-0000-0000F3980000}"/>
    <cellStyle name="40% - Accent6 8 3 2 4 2" xfId="37080" xr:uid="{00000000-0005-0000-0000-0000F4980000}"/>
    <cellStyle name="40% - Accent6 8 3 2 5" xfId="25779" xr:uid="{00000000-0005-0000-0000-0000F5980000}"/>
    <cellStyle name="40% - Accent6 8 3 3" xfId="4775" xr:uid="{00000000-0005-0000-0000-0000F6980000}"/>
    <cellStyle name="40% - Accent6 8 3 3 2" xfId="10425" xr:uid="{00000000-0005-0000-0000-0000F7980000}"/>
    <cellStyle name="40% - Accent6 8 3 3 2 2" xfId="21726" xr:uid="{00000000-0005-0000-0000-0000F8980000}"/>
    <cellStyle name="40% - Accent6 8 3 3 2 2 2" xfId="44328" xr:uid="{00000000-0005-0000-0000-0000F9980000}"/>
    <cellStyle name="40% - Accent6 8 3 3 2 3" xfId="33027" xr:uid="{00000000-0005-0000-0000-0000FA980000}"/>
    <cellStyle name="40% - Accent6 8 3 3 3" xfId="16076" xr:uid="{00000000-0005-0000-0000-0000FB980000}"/>
    <cellStyle name="40% - Accent6 8 3 3 3 2" xfId="38678" xr:uid="{00000000-0005-0000-0000-0000FC980000}"/>
    <cellStyle name="40% - Accent6 8 3 3 4" xfId="27377" xr:uid="{00000000-0005-0000-0000-0000FD980000}"/>
    <cellStyle name="40% - Accent6 8 3 4" xfId="6962" xr:uid="{00000000-0005-0000-0000-0000FE980000}"/>
    <cellStyle name="40% - Accent6 8 3 4 2" xfId="18263" xr:uid="{00000000-0005-0000-0000-0000FF980000}"/>
    <cellStyle name="40% - Accent6 8 3 4 2 2" xfId="40865" xr:uid="{00000000-0005-0000-0000-000000990000}"/>
    <cellStyle name="40% - Accent6 8 3 4 3" xfId="29564" xr:uid="{00000000-0005-0000-0000-000001990000}"/>
    <cellStyle name="40% - Accent6 8 3 5" xfId="12613" xr:uid="{00000000-0005-0000-0000-000002990000}"/>
    <cellStyle name="40% - Accent6 8 3 5 2" xfId="35215" xr:uid="{00000000-0005-0000-0000-000003990000}"/>
    <cellStyle name="40% - Accent6 8 3 6" xfId="23914" xr:uid="{00000000-0005-0000-0000-000004990000}"/>
    <cellStyle name="40% - Accent6 8 4" xfId="2077" xr:uid="{00000000-0005-0000-0000-000005990000}"/>
    <cellStyle name="40% - Accent6 8 4 2" xfId="3844" xr:uid="{00000000-0005-0000-0000-000006990000}"/>
    <cellStyle name="40% - Accent6 8 4 2 2" xfId="9552" xr:uid="{00000000-0005-0000-0000-000007990000}"/>
    <cellStyle name="40% - Accent6 8 4 2 2 2" xfId="20853" xr:uid="{00000000-0005-0000-0000-000008990000}"/>
    <cellStyle name="40% - Accent6 8 4 2 2 2 2" xfId="43455" xr:uid="{00000000-0005-0000-0000-000009990000}"/>
    <cellStyle name="40% - Accent6 8 4 2 2 3" xfId="32154" xr:uid="{00000000-0005-0000-0000-00000A990000}"/>
    <cellStyle name="40% - Accent6 8 4 2 3" xfId="15203" xr:uid="{00000000-0005-0000-0000-00000B990000}"/>
    <cellStyle name="40% - Accent6 8 4 2 3 2" xfId="37805" xr:uid="{00000000-0005-0000-0000-00000C990000}"/>
    <cellStyle name="40% - Accent6 8 4 2 4" xfId="26504" xr:uid="{00000000-0005-0000-0000-00000D990000}"/>
    <cellStyle name="40% - Accent6 8 4 3" xfId="5385" xr:uid="{00000000-0005-0000-0000-00000E990000}"/>
    <cellStyle name="40% - Accent6 8 4 3 2" xfId="11035" xr:uid="{00000000-0005-0000-0000-00000F990000}"/>
    <cellStyle name="40% - Accent6 8 4 3 2 2" xfId="22336" xr:uid="{00000000-0005-0000-0000-000010990000}"/>
    <cellStyle name="40% - Accent6 8 4 3 2 2 2" xfId="44938" xr:uid="{00000000-0005-0000-0000-000011990000}"/>
    <cellStyle name="40% - Accent6 8 4 3 2 3" xfId="33637" xr:uid="{00000000-0005-0000-0000-000012990000}"/>
    <cellStyle name="40% - Accent6 8 4 3 3" xfId="16686" xr:uid="{00000000-0005-0000-0000-000013990000}"/>
    <cellStyle name="40% - Accent6 8 4 3 3 2" xfId="39288" xr:uid="{00000000-0005-0000-0000-000014990000}"/>
    <cellStyle name="40% - Accent6 8 4 3 4" xfId="27987" xr:uid="{00000000-0005-0000-0000-000015990000}"/>
    <cellStyle name="40% - Accent6 8 4 4" xfId="7933" xr:uid="{00000000-0005-0000-0000-000016990000}"/>
    <cellStyle name="40% - Accent6 8 4 4 2" xfId="19234" xr:uid="{00000000-0005-0000-0000-000017990000}"/>
    <cellStyle name="40% - Accent6 8 4 4 2 2" xfId="41836" xr:uid="{00000000-0005-0000-0000-000018990000}"/>
    <cellStyle name="40% - Accent6 8 4 4 3" xfId="30535" xr:uid="{00000000-0005-0000-0000-000019990000}"/>
    <cellStyle name="40% - Accent6 8 4 5" xfId="13584" xr:uid="{00000000-0005-0000-0000-00001A990000}"/>
    <cellStyle name="40% - Accent6 8 4 5 2" xfId="36186" xr:uid="{00000000-0005-0000-0000-00001B990000}"/>
    <cellStyle name="40% - Accent6 8 4 6" xfId="24885" xr:uid="{00000000-0005-0000-0000-00001C990000}"/>
    <cellStyle name="40% - Accent6 8 5" xfId="2366" xr:uid="{00000000-0005-0000-0000-00001D990000}"/>
    <cellStyle name="40% - Accent6 8 5 2" xfId="8202" xr:uid="{00000000-0005-0000-0000-00001E990000}"/>
    <cellStyle name="40% - Accent6 8 5 2 2" xfId="19503" xr:uid="{00000000-0005-0000-0000-00001F990000}"/>
    <cellStyle name="40% - Accent6 8 5 2 2 2" xfId="42105" xr:uid="{00000000-0005-0000-0000-000020990000}"/>
    <cellStyle name="40% - Accent6 8 5 2 3" xfId="30804" xr:uid="{00000000-0005-0000-0000-000021990000}"/>
    <cellStyle name="40% - Accent6 8 5 3" xfId="13853" xr:uid="{00000000-0005-0000-0000-000022990000}"/>
    <cellStyle name="40% - Accent6 8 5 3 2" xfId="36455" xr:uid="{00000000-0005-0000-0000-000023990000}"/>
    <cellStyle name="40% - Accent6 8 5 4" xfId="25154" xr:uid="{00000000-0005-0000-0000-000024990000}"/>
    <cellStyle name="40% - Accent6 8 6" xfId="4151" xr:uid="{00000000-0005-0000-0000-000025990000}"/>
    <cellStyle name="40% - Accent6 8 6 2" xfId="9801" xr:uid="{00000000-0005-0000-0000-000026990000}"/>
    <cellStyle name="40% - Accent6 8 6 2 2" xfId="21102" xr:uid="{00000000-0005-0000-0000-000027990000}"/>
    <cellStyle name="40% - Accent6 8 6 2 2 2" xfId="43704" xr:uid="{00000000-0005-0000-0000-000028990000}"/>
    <cellStyle name="40% - Accent6 8 6 2 3" xfId="32403" xr:uid="{00000000-0005-0000-0000-000029990000}"/>
    <cellStyle name="40% - Accent6 8 6 3" xfId="15452" xr:uid="{00000000-0005-0000-0000-00002A990000}"/>
    <cellStyle name="40% - Accent6 8 6 3 2" xfId="38054" xr:uid="{00000000-0005-0000-0000-00002B990000}"/>
    <cellStyle name="40% - Accent6 8 6 4" xfId="26753" xr:uid="{00000000-0005-0000-0000-00002C990000}"/>
    <cellStyle name="40% - Accent6 8 7" xfId="6602" xr:uid="{00000000-0005-0000-0000-00002D990000}"/>
    <cellStyle name="40% - Accent6 8 7 2" xfId="17903" xr:uid="{00000000-0005-0000-0000-00002E990000}"/>
    <cellStyle name="40% - Accent6 8 7 2 2" xfId="40505" xr:uid="{00000000-0005-0000-0000-00002F990000}"/>
    <cellStyle name="40% - Accent6 8 7 3" xfId="29204" xr:uid="{00000000-0005-0000-0000-000030990000}"/>
    <cellStyle name="40% - Accent6 8 8" xfId="12253" xr:uid="{00000000-0005-0000-0000-000031990000}"/>
    <cellStyle name="40% - Accent6 8 8 2" xfId="34855" xr:uid="{00000000-0005-0000-0000-000032990000}"/>
    <cellStyle name="40% - Accent6 8 9" xfId="23554" xr:uid="{00000000-0005-0000-0000-000033990000}"/>
    <cellStyle name="40% - Accent6 9" xfId="707" xr:uid="{00000000-0005-0000-0000-000034990000}"/>
    <cellStyle name="40% - Accent6 9 2" xfId="772" xr:uid="{00000000-0005-0000-0000-000035990000}"/>
    <cellStyle name="40% - Accent6 9 2 2" xfId="3177" xr:uid="{00000000-0005-0000-0000-000036990000}"/>
    <cellStyle name="40% - Accent6 9 2 2 2" xfId="6149" xr:uid="{00000000-0005-0000-0000-000037990000}"/>
    <cellStyle name="40% - Accent6 9 2 2 2 2" xfId="11799" xr:uid="{00000000-0005-0000-0000-000038990000}"/>
    <cellStyle name="40% - Accent6 9 2 2 2 2 2" xfId="23100" xr:uid="{00000000-0005-0000-0000-000039990000}"/>
    <cellStyle name="40% - Accent6 9 2 2 2 2 2 2" xfId="45702" xr:uid="{00000000-0005-0000-0000-00003A990000}"/>
    <cellStyle name="40% - Accent6 9 2 2 2 2 3" xfId="34401" xr:uid="{00000000-0005-0000-0000-00003B990000}"/>
    <cellStyle name="40% - Accent6 9 2 2 2 3" xfId="17450" xr:uid="{00000000-0005-0000-0000-00003C990000}"/>
    <cellStyle name="40% - Accent6 9 2 2 2 3 2" xfId="40052" xr:uid="{00000000-0005-0000-0000-00003D990000}"/>
    <cellStyle name="40% - Accent6 9 2 2 2 4" xfId="28751" xr:uid="{00000000-0005-0000-0000-00003E990000}"/>
    <cellStyle name="40% - Accent6 9 2 2 3" xfId="8967" xr:uid="{00000000-0005-0000-0000-00003F990000}"/>
    <cellStyle name="40% - Accent6 9 2 2 3 2" xfId="20268" xr:uid="{00000000-0005-0000-0000-000040990000}"/>
    <cellStyle name="40% - Accent6 9 2 2 3 2 2" xfId="42870" xr:uid="{00000000-0005-0000-0000-000041990000}"/>
    <cellStyle name="40% - Accent6 9 2 2 3 3" xfId="31569" xr:uid="{00000000-0005-0000-0000-000042990000}"/>
    <cellStyle name="40% - Accent6 9 2 2 4" xfId="14618" xr:uid="{00000000-0005-0000-0000-000043990000}"/>
    <cellStyle name="40% - Accent6 9 2 2 4 2" xfId="37220" xr:uid="{00000000-0005-0000-0000-000044990000}"/>
    <cellStyle name="40% - Accent6 9 2 2 5" xfId="25919" xr:uid="{00000000-0005-0000-0000-000045990000}"/>
    <cellStyle name="40% - Accent6 9 2 3" xfId="4915" xr:uid="{00000000-0005-0000-0000-000046990000}"/>
    <cellStyle name="40% - Accent6 9 2 3 2" xfId="10565" xr:uid="{00000000-0005-0000-0000-000047990000}"/>
    <cellStyle name="40% - Accent6 9 2 3 2 2" xfId="21866" xr:uid="{00000000-0005-0000-0000-000048990000}"/>
    <cellStyle name="40% - Accent6 9 2 3 2 2 2" xfId="44468" xr:uid="{00000000-0005-0000-0000-000049990000}"/>
    <cellStyle name="40% - Accent6 9 2 3 2 3" xfId="33167" xr:uid="{00000000-0005-0000-0000-00004A990000}"/>
    <cellStyle name="40% - Accent6 9 2 3 3" xfId="16216" xr:uid="{00000000-0005-0000-0000-00004B990000}"/>
    <cellStyle name="40% - Accent6 9 2 3 3 2" xfId="38818" xr:uid="{00000000-0005-0000-0000-00004C990000}"/>
    <cellStyle name="40% - Accent6 9 2 3 4" xfId="27517" xr:uid="{00000000-0005-0000-0000-00004D990000}"/>
    <cellStyle name="40% - Accent6 9 2 4" xfId="6791" xr:uid="{00000000-0005-0000-0000-00004E990000}"/>
    <cellStyle name="40% - Accent6 9 2 4 2" xfId="18092" xr:uid="{00000000-0005-0000-0000-00004F990000}"/>
    <cellStyle name="40% - Accent6 9 2 4 2 2" xfId="40694" xr:uid="{00000000-0005-0000-0000-000050990000}"/>
    <cellStyle name="40% - Accent6 9 2 4 3" xfId="29393" xr:uid="{00000000-0005-0000-0000-000051990000}"/>
    <cellStyle name="40% - Accent6 9 2 5" xfId="12442" xr:uid="{00000000-0005-0000-0000-000052990000}"/>
    <cellStyle name="40% - Accent6 9 2 5 2" xfId="35044" xr:uid="{00000000-0005-0000-0000-000053990000}"/>
    <cellStyle name="40% - Accent6 9 2 6" xfId="23743" xr:uid="{00000000-0005-0000-0000-000054990000}"/>
    <cellStyle name="40% - Accent6 9 3" xfId="2079" xr:uid="{00000000-0005-0000-0000-000055990000}"/>
    <cellStyle name="40% - Accent6 9 3 2" xfId="3845" xr:uid="{00000000-0005-0000-0000-000056990000}"/>
    <cellStyle name="40% - Accent6 9 3 2 2" xfId="9553" xr:uid="{00000000-0005-0000-0000-000057990000}"/>
    <cellStyle name="40% - Accent6 9 3 2 2 2" xfId="20854" xr:uid="{00000000-0005-0000-0000-000058990000}"/>
    <cellStyle name="40% - Accent6 9 3 2 2 2 2" xfId="43456" xr:uid="{00000000-0005-0000-0000-000059990000}"/>
    <cellStyle name="40% - Accent6 9 3 2 2 3" xfId="32155" xr:uid="{00000000-0005-0000-0000-00005A990000}"/>
    <cellStyle name="40% - Accent6 9 3 2 3" xfId="15204" xr:uid="{00000000-0005-0000-0000-00005B990000}"/>
    <cellStyle name="40% - Accent6 9 3 2 3 2" xfId="37806" xr:uid="{00000000-0005-0000-0000-00005C990000}"/>
    <cellStyle name="40% - Accent6 9 3 2 4" xfId="26505" xr:uid="{00000000-0005-0000-0000-00005D990000}"/>
    <cellStyle name="40% - Accent6 9 3 3" xfId="5525" xr:uid="{00000000-0005-0000-0000-00005E990000}"/>
    <cellStyle name="40% - Accent6 9 3 3 2" xfId="11175" xr:uid="{00000000-0005-0000-0000-00005F990000}"/>
    <cellStyle name="40% - Accent6 9 3 3 2 2" xfId="22476" xr:uid="{00000000-0005-0000-0000-000060990000}"/>
    <cellStyle name="40% - Accent6 9 3 3 2 2 2" xfId="45078" xr:uid="{00000000-0005-0000-0000-000061990000}"/>
    <cellStyle name="40% - Accent6 9 3 3 2 3" xfId="33777" xr:uid="{00000000-0005-0000-0000-000062990000}"/>
    <cellStyle name="40% - Accent6 9 3 3 3" xfId="16826" xr:uid="{00000000-0005-0000-0000-000063990000}"/>
    <cellStyle name="40% - Accent6 9 3 3 3 2" xfId="39428" xr:uid="{00000000-0005-0000-0000-000064990000}"/>
    <cellStyle name="40% - Accent6 9 3 3 4" xfId="28127" xr:uid="{00000000-0005-0000-0000-000065990000}"/>
    <cellStyle name="40% - Accent6 9 3 4" xfId="7935" xr:uid="{00000000-0005-0000-0000-000066990000}"/>
    <cellStyle name="40% - Accent6 9 3 4 2" xfId="19236" xr:uid="{00000000-0005-0000-0000-000067990000}"/>
    <cellStyle name="40% - Accent6 9 3 4 2 2" xfId="41838" xr:uid="{00000000-0005-0000-0000-000068990000}"/>
    <cellStyle name="40% - Accent6 9 3 4 3" xfId="30537" xr:uid="{00000000-0005-0000-0000-000069990000}"/>
    <cellStyle name="40% - Accent6 9 3 5" xfId="13586" xr:uid="{00000000-0005-0000-0000-00006A990000}"/>
    <cellStyle name="40% - Accent6 9 3 5 2" xfId="36188" xr:uid="{00000000-0005-0000-0000-00006B990000}"/>
    <cellStyle name="40% - Accent6 9 3 6" xfId="24887" xr:uid="{00000000-0005-0000-0000-00006C990000}"/>
    <cellStyle name="40% - Accent6 9 4" xfId="2506" xr:uid="{00000000-0005-0000-0000-00006D990000}"/>
    <cellStyle name="40% - Accent6 9 4 2" xfId="8342" xr:uid="{00000000-0005-0000-0000-00006E990000}"/>
    <cellStyle name="40% - Accent6 9 4 2 2" xfId="19643" xr:uid="{00000000-0005-0000-0000-00006F990000}"/>
    <cellStyle name="40% - Accent6 9 4 2 2 2" xfId="42245" xr:uid="{00000000-0005-0000-0000-000070990000}"/>
    <cellStyle name="40% - Accent6 9 4 2 3" xfId="30944" xr:uid="{00000000-0005-0000-0000-000071990000}"/>
    <cellStyle name="40% - Accent6 9 4 3" xfId="13993" xr:uid="{00000000-0005-0000-0000-000072990000}"/>
    <cellStyle name="40% - Accent6 9 4 3 2" xfId="36595" xr:uid="{00000000-0005-0000-0000-000073990000}"/>
    <cellStyle name="40% - Accent6 9 4 4" xfId="25294" xr:uid="{00000000-0005-0000-0000-000074990000}"/>
    <cellStyle name="40% - Accent6 9 5" xfId="4291" xr:uid="{00000000-0005-0000-0000-000075990000}"/>
    <cellStyle name="40% - Accent6 9 5 2" xfId="9941" xr:uid="{00000000-0005-0000-0000-000076990000}"/>
    <cellStyle name="40% - Accent6 9 5 2 2" xfId="21242" xr:uid="{00000000-0005-0000-0000-000077990000}"/>
    <cellStyle name="40% - Accent6 9 5 2 2 2" xfId="43844" xr:uid="{00000000-0005-0000-0000-000078990000}"/>
    <cellStyle name="40% - Accent6 9 5 2 3" xfId="32543" xr:uid="{00000000-0005-0000-0000-000079990000}"/>
    <cellStyle name="40% - Accent6 9 5 3" xfId="15592" xr:uid="{00000000-0005-0000-0000-00007A990000}"/>
    <cellStyle name="40% - Accent6 9 5 3 2" xfId="38194" xr:uid="{00000000-0005-0000-0000-00007B990000}"/>
    <cellStyle name="40% - Accent6 9 5 4" xfId="26893" xr:uid="{00000000-0005-0000-0000-00007C990000}"/>
    <cellStyle name="40% - Accent6 9 6" xfId="6770" xr:uid="{00000000-0005-0000-0000-00007D990000}"/>
    <cellStyle name="40% - Accent6 9 6 2" xfId="18071" xr:uid="{00000000-0005-0000-0000-00007E990000}"/>
    <cellStyle name="40% - Accent6 9 6 2 2" xfId="40673" xr:uid="{00000000-0005-0000-0000-00007F990000}"/>
    <cellStyle name="40% - Accent6 9 6 3" xfId="29372" xr:uid="{00000000-0005-0000-0000-000080990000}"/>
    <cellStyle name="40% - Accent6 9 7" xfId="12421" xr:uid="{00000000-0005-0000-0000-000081990000}"/>
    <cellStyle name="40% - Accent6 9 7 2" xfId="35023" xr:uid="{00000000-0005-0000-0000-000082990000}"/>
    <cellStyle name="40% - Accent6 9 8" xfId="23722" xr:uid="{00000000-0005-0000-0000-000083990000}"/>
    <cellStyle name="60% - Accent1" xfId="21" builtinId="32" customBuiltin="1"/>
    <cellStyle name="60% - Accent1 10" xfId="118" xr:uid="{00000000-0005-0000-0000-000085990000}"/>
    <cellStyle name="60% - Accent1 2" xfId="161" xr:uid="{00000000-0005-0000-0000-000086990000}"/>
    <cellStyle name="60% - Accent1 2 2" xfId="387" xr:uid="{00000000-0005-0000-0000-000087990000}"/>
    <cellStyle name="60% - Accent1 2 3" xfId="2841" xr:uid="{00000000-0005-0000-0000-000088990000}"/>
    <cellStyle name="60% - Accent1 2 4" xfId="3898" xr:uid="{00000000-0005-0000-0000-000089990000}"/>
    <cellStyle name="60% - Accent1 3" xfId="212" xr:uid="{00000000-0005-0000-0000-00008A990000}"/>
    <cellStyle name="60% - Accent1 3 2" xfId="545" xr:uid="{00000000-0005-0000-0000-00008B990000}"/>
    <cellStyle name="60% - Accent1 3 3" xfId="461" xr:uid="{00000000-0005-0000-0000-00008C990000}"/>
    <cellStyle name="60% - Accent1 3 4" xfId="1437" xr:uid="{00000000-0005-0000-0000-00008D990000}"/>
    <cellStyle name="60% - Accent1 4" xfId="300" xr:uid="{00000000-0005-0000-0000-00008E990000}"/>
    <cellStyle name="60% - Accent1 5" xfId="753" xr:uid="{00000000-0005-0000-0000-00008F990000}"/>
    <cellStyle name="60% - Accent1 6" xfId="1476" xr:uid="{00000000-0005-0000-0000-000090990000}"/>
    <cellStyle name="60% - Accent1 7" xfId="1448" xr:uid="{00000000-0005-0000-0000-000091990000}"/>
    <cellStyle name="60% - Accent1 8" xfId="1436" xr:uid="{00000000-0005-0000-0000-000092990000}"/>
    <cellStyle name="60% - Accent1 8 2" xfId="3833" xr:uid="{00000000-0005-0000-0000-000093990000}"/>
    <cellStyle name="60% - Accent1 9" xfId="3542" xr:uid="{00000000-0005-0000-0000-000094990000}"/>
    <cellStyle name="60% - Accent2" xfId="25" builtinId="36" customBuiltin="1"/>
    <cellStyle name="60% - Accent2 10" xfId="119" xr:uid="{00000000-0005-0000-0000-000096990000}"/>
    <cellStyle name="60% - Accent2 2" xfId="162" xr:uid="{00000000-0005-0000-0000-000097990000}"/>
    <cellStyle name="60% - Accent2 2 2" xfId="285" xr:uid="{00000000-0005-0000-0000-000098990000}"/>
    <cellStyle name="60% - Accent2 2 3" xfId="2842" xr:uid="{00000000-0005-0000-0000-000099990000}"/>
    <cellStyle name="60% - Accent2 2 4" xfId="3932" xr:uid="{00000000-0005-0000-0000-00009A990000}"/>
    <cellStyle name="60% - Accent2 3" xfId="216" xr:uid="{00000000-0005-0000-0000-00009B990000}"/>
    <cellStyle name="60% - Accent2 3 2" xfId="549" xr:uid="{00000000-0005-0000-0000-00009C990000}"/>
    <cellStyle name="60% - Accent2 3 3" xfId="462" xr:uid="{00000000-0005-0000-0000-00009D990000}"/>
    <cellStyle name="60% - Accent2 3 4" xfId="1420" xr:uid="{00000000-0005-0000-0000-00009E990000}"/>
    <cellStyle name="60% - Accent2 4" xfId="301" xr:uid="{00000000-0005-0000-0000-00009F990000}"/>
    <cellStyle name="60% - Accent2 5" xfId="757" xr:uid="{00000000-0005-0000-0000-0000A0990000}"/>
    <cellStyle name="60% - Accent2 6" xfId="1454" xr:uid="{00000000-0005-0000-0000-0000A1990000}"/>
    <cellStyle name="60% - Accent2 7" xfId="1519" xr:uid="{00000000-0005-0000-0000-0000A2990000}"/>
    <cellStyle name="60% - Accent2 8" xfId="852" xr:uid="{00000000-0005-0000-0000-0000A3990000}"/>
    <cellStyle name="60% - Accent2 8 2" xfId="3953" xr:uid="{00000000-0005-0000-0000-0000A4990000}"/>
    <cellStyle name="60% - Accent2 9" xfId="3575" xr:uid="{00000000-0005-0000-0000-0000A5990000}"/>
    <cellStyle name="60% - Accent3" xfId="29" builtinId="40" customBuiltin="1"/>
    <cellStyle name="60% - Accent3 10" xfId="120" xr:uid="{00000000-0005-0000-0000-0000A7990000}"/>
    <cellStyle name="60% - Accent3 2" xfId="163" xr:uid="{00000000-0005-0000-0000-0000A8990000}"/>
    <cellStyle name="60% - Accent3 2 2" xfId="340" xr:uid="{00000000-0005-0000-0000-0000A9990000}"/>
    <cellStyle name="60% - Accent3 2 3" xfId="2843" xr:uid="{00000000-0005-0000-0000-0000AA990000}"/>
    <cellStyle name="60% - Accent3 2 4" xfId="3929" xr:uid="{00000000-0005-0000-0000-0000AB990000}"/>
    <cellStyle name="60% - Accent3 3" xfId="220" xr:uid="{00000000-0005-0000-0000-0000AC990000}"/>
    <cellStyle name="60% - Accent3 3 2" xfId="553" xr:uid="{00000000-0005-0000-0000-0000AD990000}"/>
    <cellStyle name="60% - Accent3 3 3" xfId="463" xr:uid="{00000000-0005-0000-0000-0000AE990000}"/>
    <cellStyle name="60% - Accent3 3 4" xfId="1510" xr:uid="{00000000-0005-0000-0000-0000AF990000}"/>
    <cellStyle name="60% - Accent3 4" xfId="302" xr:uid="{00000000-0005-0000-0000-0000B0990000}"/>
    <cellStyle name="60% - Accent3 5" xfId="761" xr:uid="{00000000-0005-0000-0000-0000B1990000}"/>
    <cellStyle name="60% - Accent3 6" xfId="1491" xr:uid="{00000000-0005-0000-0000-0000B2990000}"/>
    <cellStyle name="60% - Accent3 7" xfId="1527" xr:uid="{00000000-0005-0000-0000-0000B3990000}"/>
    <cellStyle name="60% - Accent3 8" xfId="1456" xr:uid="{00000000-0005-0000-0000-0000B4990000}"/>
    <cellStyle name="60% - Accent3 8 2" xfId="3895" xr:uid="{00000000-0005-0000-0000-0000B5990000}"/>
    <cellStyle name="60% - Accent3 9" xfId="2235" xr:uid="{00000000-0005-0000-0000-0000B6990000}"/>
    <cellStyle name="60% - Accent4" xfId="33" builtinId="44" customBuiltin="1"/>
    <cellStyle name="60% - Accent4 10" xfId="121" xr:uid="{00000000-0005-0000-0000-0000B8990000}"/>
    <cellStyle name="60% - Accent4 2" xfId="164" xr:uid="{00000000-0005-0000-0000-0000B9990000}"/>
    <cellStyle name="60% - Accent4 2 2" xfId="378" xr:uid="{00000000-0005-0000-0000-0000BA990000}"/>
    <cellStyle name="60% - Accent4 2 3" xfId="2844" xr:uid="{00000000-0005-0000-0000-0000BB990000}"/>
    <cellStyle name="60% - Accent4 2 4" xfId="3927" xr:uid="{00000000-0005-0000-0000-0000BC990000}"/>
    <cellStyle name="60% - Accent4 3" xfId="224" xr:uid="{00000000-0005-0000-0000-0000BD990000}"/>
    <cellStyle name="60% - Accent4 3 2" xfId="557" xr:uid="{00000000-0005-0000-0000-0000BE990000}"/>
    <cellStyle name="60% - Accent4 3 3" xfId="464" xr:uid="{00000000-0005-0000-0000-0000BF990000}"/>
    <cellStyle name="60% - Accent4 3 4" xfId="1485" xr:uid="{00000000-0005-0000-0000-0000C0990000}"/>
    <cellStyle name="60% - Accent4 4" xfId="303" xr:uid="{00000000-0005-0000-0000-0000C1990000}"/>
    <cellStyle name="60% - Accent4 5" xfId="765" xr:uid="{00000000-0005-0000-0000-0000C2990000}"/>
    <cellStyle name="60% - Accent4 6" xfId="791" xr:uid="{00000000-0005-0000-0000-0000C3990000}"/>
    <cellStyle name="60% - Accent4 7" xfId="1446" xr:uid="{00000000-0005-0000-0000-0000C4990000}"/>
    <cellStyle name="60% - Accent4 8" xfId="1412" xr:uid="{00000000-0005-0000-0000-0000C5990000}"/>
    <cellStyle name="60% - Accent4 8 2" xfId="3961" xr:uid="{00000000-0005-0000-0000-0000C6990000}"/>
    <cellStyle name="60% - Accent4 9" xfId="2255" xr:uid="{00000000-0005-0000-0000-0000C7990000}"/>
    <cellStyle name="60% - Accent5" xfId="37" builtinId="48" customBuiltin="1"/>
    <cellStyle name="60% - Accent5 10" xfId="122" xr:uid="{00000000-0005-0000-0000-0000C9990000}"/>
    <cellStyle name="60% - Accent5 2" xfId="165" xr:uid="{00000000-0005-0000-0000-0000CA990000}"/>
    <cellStyle name="60% - Accent5 2 2" xfId="374" xr:uid="{00000000-0005-0000-0000-0000CB990000}"/>
    <cellStyle name="60% - Accent5 2 3" xfId="2845" xr:uid="{00000000-0005-0000-0000-0000CC990000}"/>
    <cellStyle name="60% - Accent5 2 4" xfId="3528" xr:uid="{00000000-0005-0000-0000-0000CD990000}"/>
    <cellStyle name="60% - Accent5 3" xfId="228" xr:uid="{00000000-0005-0000-0000-0000CE990000}"/>
    <cellStyle name="60% - Accent5 3 2" xfId="561" xr:uid="{00000000-0005-0000-0000-0000CF990000}"/>
    <cellStyle name="60% - Accent5 3 3" xfId="465" xr:uid="{00000000-0005-0000-0000-0000D0990000}"/>
    <cellStyle name="60% - Accent5 3 4" xfId="1500" xr:uid="{00000000-0005-0000-0000-0000D1990000}"/>
    <cellStyle name="60% - Accent5 4" xfId="304" xr:uid="{00000000-0005-0000-0000-0000D2990000}"/>
    <cellStyle name="60% - Accent5 5" xfId="769" xr:uid="{00000000-0005-0000-0000-0000D3990000}"/>
    <cellStyle name="60% - Accent5 6" xfId="1422" xr:uid="{00000000-0005-0000-0000-0000D4990000}"/>
    <cellStyle name="60% - Accent5 7" xfId="1530" xr:uid="{00000000-0005-0000-0000-0000D5990000}"/>
    <cellStyle name="60% - Accent5 8" xfId="1458" xr:uid="{00000000-0005-0000-0000-0000D6990000}"/>
    <cellStyle name="60% - Accent5 8 2" xfId="3911" xr:uid="{00000000-0005-0000-0000-0000D7990000}"/>
    <cellStyle name="60% - Accent5 9" xfId="3551" xr:uid="{00000000-0005-0000-0000-0000D8990000}"/>
    <cellStyle name="60% - Accent6" xfId="41" builtinId="52" customBuiltin="1"/>
    <cellStyle name="60% - Accent6 10" xfId="123" xr:uid="{00000000-0005-0000-0000-0000DA990000}"/>
    <cellStyle name="60% - Accent6 2" xfId="166" xr:uid="{00000000-0005-0000-0000-0000DB990000}"/>
    <cellStyle name="60% - Accent6 2 2" xfId="282" xr:uid="{00000000-0005-0000-0000-0000DC990000}"/>
    <cellStyle name="60% - Accent6 2 3" xfId="2846" xr:uid="{00000000-0005-0000-0000-0000DD990000}"/>
    <cellStyle name="60% - Accent6 2 4" xfId="3913" xr:uid="{00000000-0005-0000-0000-0000DE990000}"/>
    <cellStyle name="60% - Accent6 3" xfId="232" xr:uid="{00000000-0005-0000-0000-0000DF990000}"/>
    <cellStyle name="60% - Accent6 3 2" xfId="565" xr:uid="{00000000-0005-0000-0000-0000E0990000}"/>
    <cellStyle name="60% - Accent6 3 3" xfId="466" xr:uid="{00000000-0005-0000-0000-0000E1990000}"/>
    <cellStyle name="60% - Accent6 3 4" xfId="1460" xr:uid="{00000000-0005-0000-0000-0000E2990000}"/>
    <cellStyle name="60% - Accent6 4" xfId="305" xr:uid="{00000000-0005-0000-0000-0000E3990000}"/>
    <cellStyle name="60% - Accent6 5" xfId="773" xr:uid="{00000000-0005-0000-0000-0000E4990000}"/>
    <cellStyle name="60% - Accent6 6" xfId="1455" xr:uid="{00000000-0005-0000-0000-0000E5990000}"/>
    <cellStyle name="60% - Accent6 7" xfId="1499" xr:uid="{00000000-0005-0000-0000-0000E6990000}"/>
    <cellStyle name="60% - Accent6 8" xfId="1447" xr:uid="{00000000-0005-0000-0000-0000E7990000}"/>
    <cellStyle name="60% - Accent6 8 2" xfId="3896" xr:uid="{00000000-0005-0000-0000-0000E8990000}"/>
    <cellStyle name="60% - Accent6 9" xfId="3587" xr:uid="{00000000-0005-0000-0000-0000E9990000}"/>
    <cellStyle name="Accent1" xfId="18" builtinId="29" customBuiltin="1"/>
    <cellStyle name="Accent1 10" xfId="124" xr:uid="{00000000-0005-0000-0000-0000EB990000}"/>
    <cellStyle name="Accent1 2" xfId="167" xr:uid="{00000000-0005-0000-0000-0000EC990000}"/>
    <cellStyle name="Accent1 2 2" xfId="379" xr:uid="{00000000-0005-0000-0000-0000ED990000}"/>
    <cellStyle name="Accent1 2 3" xfId="2847" xr:uid="{00000000-0005-0000-0000-0000EE990000}"/>
    <cellStyle name="Accent1 2 4" xfId="3906" xr:uid="{00000000-0005-0000-0000-0000EF990000}"/>
    <cellStyle name="Accent1 3" xfId="209" xr:uid="{00000000-0005-0000-0000-0000F0990000}"/>
    <cellStyle name="Accent1 3 2" xfId="542" xr:uid="{00000000-0005-0000-0000-0000F1990000}"/>
    <cellStyle name="Accent1 3 3" xfId="467" xr:uid="{00000000-0005-0000-0000-0000F2990000}"/>
    <cellStyle name="Accent1 3 4" xfId="861" xr:uid="{00000000-0005-0000-0000-0000F3990000}"/>
    <cellStyle name="Accent1 4" xfId="306" xr:uid="{00000000-0005-0000-0000-0000F4990000}"/>
    <cellStyle name="Accent1 5" xfId="750" xr:uid="{00000000-0005-0000-0000-0000F5990000}"/>
    <cellStyle name="Accent1 6" xfId="711" xr:uid="{00000000-0005-0000-0000-0000F6990000}"/>
    <cellStyle name="Accent1 7" xfId="958" xr:uid="{00000000-0005-0000-0000-0000F7990000}"/>
    <cellStyle name="Accent1 8" xfId="1452" xr:uid="{00000000-0005-0000-0000-0000F8990000}"/>
    <cellStyle name="Accent1 8 2" xfId="3544" xr:uid="{00000000-0005-0000-0000-0000F9990000}"/>
    <cellStyle name="Accent1 9" xfId="2800" xr:uid="{00000000-0005-0000-0000-0000FA990000}"/>
    <cellStyle name="Accent2" xfId="22" builtinId="33" customBuiltin="1"/>
    <cellStyle name="Accent2 10" xfId="125" xr:uid="{00000000-0005-0000-0000-0000FC990000}"/>
    <cellStyle name="Accent2 2" xfId="168" xr:uid="{00000000-0005-0000-0000-0000FD990000}"/>
    <cellStyle name="Accent2 2 2" xfId="389" xr:uid="{00000000-0005-0000-0000-0000FE990000}"/>
    <cellStyle name="Accent2 2 3" xfId="2848" xr:uid="{00000000-0005-0000-0000-0000FF990000}"/>
    <cellStyle name="Accent2 2 4" xfId="3946" xr:uid="{00000000-0005-0000-0000-0000009A0000}"/>
    <cellStyle name="Accent2 3" xfId="213" xr:uid="{00000000-0005-0000-0000-0000019A0000}"/>
    <cellStyle name="Accent2 3 2" xfId="546" xr:uid="{00000000-0005-0000-0000-0000029A0000}"/>
    <cellStyle name="Accent2 3 3" xfId="468" xr:uid="{00000000-0005-0000-0000-0000039A0000}"/>
    <cellStyle name="Accent2 3 4" xfId="1514" xr:uid="{00000000-0005-0000-0000-0000049A0000}"/>
    <cellStyle name="Accent2 4" xfId="307" xr:uid="{00000000-0005-0000-0000-0000059A0000}"/>
    <cellStyle name="Accent2 5" xfId="754" xr:uid="{00000000-0005-0000-0000-0000069A0000}"/>
    <cellStyle name="Accent2 6" xfId="1429" xr:uid="{00000000-0005-0000-0000-0000079A0000}"/>
    <cellStyle name="Accent2 7" xfId="1488" xr:uid="{00000000-0005-0000-0000-0000089A0000}"/>
    <cellStyle name="Accent2 8" xfId="1478" xr:uid="{00000000-0005-0000-0000-0000099A0000}"/>
    <cellStyle name="Accent2 8 2" xfId="3954" xr:uid="{00000000-0005-0000-0000-00000A9A0000}"/>
    <cellStyle name="Accent2 9" xfId="3495" xr:uid="{00000000-0005-0000-0000-00000B9A0000}"/>
    <cellStyle name="Accent3" xfId="26" builtinId="37" customBuiltin="1"/>
    <cellStyle name="Accent3 10" xfId="126" xr:uid="{00000000-0005-0000-0000-00000D9A0000}"/>
    <cellStyle name="Accent3 2" xfId="169" xr:uid="{00000000-0005-0000-0000-00000E9A0000}"/>
    <cellStyle name="Accent3 2 2" xfId="333" xr:uid="{00000000-0005-0000-0000-00000F9A0000}"/>
    <cellStyle name="Accent3 2 3" xfId="2849" xr:uid="{00000000-0005-0000-0000-0000109A0000}"/>
    <cellStyle name="Accent3 2 4" xfId="3581" xr:uid="{00000000-0005-0000-0000-0000119A0000}"/>
    <cellStyle name="Accent3 3" xfId="217" xr:uid="{00000000-0005-0000-0000-0000129A0000}"/>
    <cellStyle name="Accent3 3 2" xfId="550" xr:uid="{00000000-0005-0000-0000-0000139A0000}"/>
    <cellStyle name="Accent3 3 3" xfId="469" xr:uid="{00000000-0005-0000-0000-0000149A0000}"/>
    <cellStyle name="Accent3 3 4" xfId="1444" xr:uid="{00000000-0005-0000-0000-0000159A0000}"/>
    <cellStyle name="Accent3 4" xfId="308" xr:uid="{00000000-0005-0000-0000-0000169A0000}"/>
    <cellStyle name="Accent3 5" xfId="758" xr:uid="{00000000-0005-0000-0000-0000179A0000}"/>
    <cellStyle name="Accent3 6" xfId="792" xr:uid="{00000000-0005-0000-0000-0000189A0000}"/>
    <cellStyle name="Accent3 7" xfId="977" xr:uid="{00000000-0005-0000-0000-0000199A0000}"/>
    <cellStyle name="Accent3 8" xfId="1433" xr:uid="{00000000-0005-0000-0000-00001A9A0000}"/>
    <cellStyle name="Accent3 8 2" xfId="3599" xr:uid="{00000000-0005-0000-0000-00001B9A0000}"/>
    <cellStyle name="Accent3 9" xfId="3488" xr:uid="{00000000-0005-0000-0000-00001C9A0000}"/>
    <cellStyle name="Accent4" xfId="30" builtinId="41" customBuiltin="1"/>
    <cellStyle name="Accent4 10" xfId="127" xr:uid="{00000000-0005-0000-0000-00001E9A0000}"/>
    <cellStyle name="Accent4 2" xfId="170" xr:uid="{00000000-0005-0000-0000-00001F9A0000}"/>
    <cellStyle name="Accent4 2 2" xfId="332" xr:uid="{00000000-0005-0000-0000-0000209A0000}"/>
    <cellStyle name="Accent4 2 3" xfId="2850" xr:uid="{00000000-0005-0000-0000-0000219A0000}"/>
    <cellStyle name="Accent4 2 4" xfId="3663" xr:uid="{00000000-0005-0000-0000-0000229A0000}"/>
    <cellStyle name="Accent4 3" xfId="221" xr:uid="{00000000-0005-0000-0000-0000239A0000}"/>
    <cellStyle name="Accent4 3 2" xfId="554" xr:uid="{00000000-0005-0000-0000-0000249A0000}"/>
    <cellStyle name="Accent4 3 3" xfId="470" xr:uid="{00000000-0005-0000-0000-0000259A0000}"/>
    <cellStyle name="Accent4 3 4" xfId="955" xr:uid="{00000000-0005-0000-0000-0000269A0000}"/>
    <cellStyle name="Accent4 4" xfId="309" xr:uid="{00000000-0005-0000-0000-0000279A0000}"/>
    <cellStyle name="Accent4 5" xfId="762" xr:uid="{00000000-0005-0000-0000-0000289A0000}"/>
    <cellStyle name="Accent4 6" xfId="1421" xr:uid="{00000000-0005-0000-0000-0000299A0000}"/>
    <cellStyle name="Accent4 7" xfId="956" xr:uid="{00000000-0005-0000-0000-00002A9A0000}"/>
    <cellStyle name="Accent4 8" xfId="1440" xr:uid="{00000000-0005-0000-0000-00002B9A0000}"/>
    <cellStyle name="Accent4 8 2" xfId="2252" xr:uid="{00000000-0005-0000-0000-00002C9A0000}"/>
    <cellStyle name="Accent4 9" xfId="3491" xr:uid="{00000000-0005-0000-0000-00002D9A0000}"/>
    <cellStyle name="Accent5" xfId="34" builtinId="45" customBuiltin="1"/>
    <cellStyle name="Accent5 10" xfId="128" xr:uid="{00000000-0005-0000-0000-00002F9A0000}"/>
    <cellStyle name="Accent5 2" xfId="171" xr:uid="{00000000-0005-0000-0000-0000309A0000}"/>
    <cellStyle name="Accent5 2 2" xfId="356" xr:uid="{00000000-0005-0000-0000-0000319A0000}"/>
    <cellStyle name="Accent5 2 3" xfId="2851" xr:uid="{00000000-0005-0000-0000-0000329A0000}"/>
    <cellStyle name="Accent5 2 4" xfId="3572" xr:uid="{00000000-0005-0000-0000-0000339A0000}"/>
    <cellStyle name="Accent5 3" xfId="225" xr:uid="{00000000-0005-0000-0000-0000349A0000}"/>
    <cellStyle name="Accent5 3 2" xfId="558" xr:uid="{00000000-0005-0000-0000-0000359A0000}"/>
    <cellStyle name="Accent5 3 3" xfId="471" xr:uid="{00000000-0005-0000-0000-0000369A0000}"/>
    <cellStyle name="Accent5 3 4" xfId="724" xr:uid="{00000000-0005-0000-0000-0000379A0000}"/>
    <cellStyle name="Accent5 4" xfId="310" xr:uid="{00000000-0005-0000-0000-0000389A0000}"/>
    <cellStyle name="Accent5 5" xfId="766" xr:uid="{00000000-0005-0000-0000-0000399A0000}"/>
    <cellStyle name="Accent5 6" xfId="857" xr:uid="{00000000-0005-0000-0000-00003A9A0000}"/>
    <cellStyle name="Accent5 7" xfId="710" xr:uid="{00000000-0005-0000-0000-00003B9A0000}"/>
    <cellStyle name="Accent5 8" xfId="1512" xr:uid="{00000000-0005-0000-0000-00003C9A0000}"/>
    <cellStyle name="Accent5 8 2" xfId="3934" xr:uid="{00000000-0005-0000-0000-00003D9A0000}"/>
    <cellStyle name="Accent5 9" xfId="3526" xr:uid="{00000000-0005-0000-0000-00003E9A0000}"/>
    <cellStyle name="Accent6" xfId="38" builtinId="49" customBuiltin="1"/>
    <cellStyle name="Accent6 10" xfId="129" xr:uid="{00000000-0005-0000-0000-0000409A0000}"/>
    <cellStyle name="Accent6 2" xfId="172" xr:uid="{00000000-0005-0000-0000-0000419A0000}"/>
    <cellStyle name="Accent6 2 2" xfId="386" xr:uid="{00000000-0005-0000-0000-0000429A0000}"/>
    <cellStyle name="Accent6 2 3" xfId="2852" xr:uid="{00000000-0005-0000-0000-0000439A0000}"/>
    <cellStyle name="Accent6 2 4" xfId="3566" xr:uid="{00000000-0005-0000-0000-0000449A0000}"/>
    <cellStyle name="Accent6 3" xfId="229" xr:uid="{00000000-0005-0000-0000-0000459A0000}"/>
    <cellStyle name="Accent6 3 2" xfId="562" xr:uid="{00000000-0005-0000-0000-0000469A0000}"/>
    <cellStyle name="Accent6 3 3" xfId="472" xr:uid="{00000000-0005-0000-0000-0000479A0000}"/>
    <cellStyle name="Accent6 3 4" xfId="723" xr:uid="{00000000-0005-0000-0000-0000489A0000}"/>
    <cellStyle name="Accent6 4" xfId="311" xr:uid="{00000000-0005-0000-0000-0000499A0000}"/>
    <cellStyle name="Accent6 5" xfId="770" xr:uid="{00000000-0005-0000-0000-00004A9A0000}"/>
    <cellStyle name="Accent6 6" xfId="1483" xr:uid="{00000000-0005-0000-0000-00004B9A0000}"/>
    <cellStyle name="Accent6 7" xfId="1502" xr:uid="{00000000-0005-0000-0000-00004C9A0000}"/>
    <cellStyle name="Accent6 8" xfId="1534" xr:uid="{00000000-0005-0000-0000-00004D9A0000}"/>
    <cellStyle name="Accent6 8 2" xfId="3960" xr:uid="{00000000-0005-0000-0000-00004E9A0000}"/>
    <cellStyle name="Accent6 9" xfId="3525" xr:uid="{00000000-0005-0000-0000-00004F9A0000}"/>
    <cellStyle name="Bad" xfId="7" builtinId="27" customBuiltin="1"/>
    <cellStyle name="Bad 10" xfId="130" xr:uid="{00000000-0005-0000-0000-0000519A0000}"/>
    <cellStyle name="Bad 2" xfId="173" xr:uid="{00000000-0005-0000-0000-0000529A0000}"/>
    <cellStyle name="Bad 2 2" xfId="286" xr:uid="{00000000-0005-0000-0000-0000539A0000}"/>
    <cellStyle name="Bad 2 3" xfId="2853" xr:uid="{00000000-0005-0000-0000-0000549A0000}"/>
    <cellStyle name="Bad 2 4" xfId="3918" xr:uid="{00000000-0005-0000-0000-0000559A0000}"/>
    <cellStyle name="Bad 3" xfId="198" xr:uid="{00000000-0005-0000-0000-0000569A0000}"/>
    <cellStyle name="Bad 3 2" xfId="531" xr:uid="{00000000-0005-0000-0000-0000579A0000}"/>
    <cellStyle name="Bad 3 3" xfId="473" xr:uid="{00000000-0005-0000-0000-0000589A0000}"/>
    <cellStyle name="Bad 3 4" xfId="796" xr:uid="{00000000-0005-0000-0000-0000599A0000}"/>
    <cellStyle name="Bad 4" xfId="312" xr:uid="{00000000-0005-0000-0000-00005A9A0000}"/>
    <cellStyle name="Bad 5" xfId="740" xr:uid="{00000000-0005-0000-0000-00005B9A0000}"/>
    <cellStyle name="Bad 6" xfId="1430" xr:uid="{00000000-0005-0000-0000-00005C9A0000}"/>
    <cellStyle name="Bad 7" xfId="960" xr:uid="{00000000-0005-0000-0000-00005D9A0000}"/>
    <cellStyle name="Bad 8" xfId="1503" xr:uid="{00000000-0005-0000-0000-00005E9A0000}"/>
    <cellStyle name="Bad 8 2" xfId="3540" xr:uid="{00000000-0005-0000-0000-00005F9A0000}"/>
    <cellStyle name="Bad 9" xfId="3520" xr:uid="{00000000-0005-0000-0000-0000609A0000}"/>
    <cellStyle name="big,bold" xfId="63" xr:uid="{00000000-0005-0000-0000-0000619A0000}"/>
    <cellStyle name="Calculation" xfId="11" builtinId="22" customBuiltin="1"/>
    <cellStyle name="Calculation 10" xfId="131" xr:uid="{00000000-0005-0000-0000-0000639A0000}"/>
    <cellStyle name="Calculation 2" xfId="174" xr:uid="{00000000-0005-0000-0000-0000649A0000}"/>
    <cellStyle name="Calculation 2 2" xfId="337" xr:uid="{00000000-0005-0000-0000-0000659A0000}"/>
    <cellStyle name="Calculation 2 3" xfId="2854" xr:uid="{00000000-0005-0000-0000-0000669A0000}"/>
    <cellStyle name="Calculation 2 4" xfId="3555" xr:uid="{00000000-0005-0000-0000-0000679A0000}"/>
    <cellStyle name="Calculation 3" xfId="202" xr:uid="{00000000-0005-0000-0000-0000689A0000}"/>
    <cellStyle name="Calculation 3 2" xfId="535" xr:uid="{00000000-0005-0000-0000-0000699A0000}"/>
    <cellStyle name="Calculation 3 3" xfId="474" xr:uid="{00000000-0005-0000-0000-00006A9A0000}"/>
    <cellStyle name="Calculation 3 4" xfId="1479" xr:uid="{00000000-0005-0000-0000-00006B9A0000}"/>
    <cellStyle name="Calculation 4" xfId="313" xr:uid="{00000000-0005-0000-0000-00006C9A0000}"/>
    <cellStyle name="Calculation 5" xfId="744" xr:uid="{00000000-0005-0000-0000-00006D9A0000}"/>
    <cellStyle name="Calculation 6" xfId="1425" xr:uid="{00000000-0005-0000-0000-00006E9A0000}"/>
    <cellStyle name="Calculation 7" xfId="795" xr:uid="{00000000-0005-0000-0000-00006F9A0000}"/>
    <cellStyle name="Calculation 8" xfId="858" xr:uid="{00000000-0005-0000-0000-0000709A0000}"/>
    <cellStyle name="Calculation 8 2" xfId="3589" xr:uid="{00000000-0005-0000-0000-0000719A0000}"/>
    <cellStyle name="Calculation 9" xfId="3527" xr:uid="{00000000-0005-0000-0000-0000729A0000}"/>
    <cellStyle name="c-Cyan" xfId="132" xr:uid="{00000000-0005-0000-0000-0000739A0000}"/>
    <cellStyle name="Check Cell" xfId="13" builtinId="23" customBuiltin="1"/>
    <cellStyle name="Check Cell 10" xfId="133" xr:uid="{00000000-0005-0000-0000-0000759A0000}"/>
    <cellStyle name="Check Cell 2" xfId="175" xr:uid="{00000000-0005-0000-0000-0000769A0000}"/>
    <cellStyle name="Check Cell 2 2" xfId="348" xr:uid="{00000000-0005-0000-0000-0000779A0000}"/>
    <cellStyle name="Check Cell 2 3" xfId="2855" xr:uid="{00000000-0005-0000-0000-0000789A0000}"/>
    <cellStyle name="Check Cell 2 4" xfId="3891" xr:uid="{00000000-0005-0000-0000-0000799A0000}"/>
    <cellStyle name="Check Cell 3" xfId="204" xr:uid="{00000000-0005-0000-0000-00007A9A0000}"/>
    <cellStyle name="Check Cell 3 2" xfId="537" xr:uid="{00000000-0005-0000-0000-00007B9A0000}"/>
    <cellStyle name="Check Cell 3 3" xfId="475" xr:uid="{00000000-0005-0000-0000-00007C9A0000}"/>
    <cellStyle name="Check Cell 3 4" xfId="721" xr:uid="{00000000-0005-0000-0000-00007D9A0000}"/>
    <cellStyle name="Check Cell 4" xfId="314" xr:uid="{00000000-0005-0000-0000-00007E9A0000}"/>
    <cellStyle name="Check Cell 5" xfId="746" xr:uid="{00000000-0005-0000-0000-00007F9A0000}"/>
    <cellStyle name="Check Cell 6" xfId="776" xr:uid="{00000000-0005-0000-0000-0000809A0000}"/>
    <cellStyle name="Check Cell 7" xfId="1518" xr:uid="{00000000-0005-0000-0000-0000819A0000}"/>
    <cellStyle name="Check Cell 8" xfId="1535" xr:uid="{00000000-0005-0000-0000-0000829A0000}"/>
    <cellStyle name="Check Cell 8 2" xfId="3500" xr:uid="{00000000-0005-0000-0000-0000839A0000}"/>
    <cellStyle name="Check Cell 9" xfId="2827" xr:uid="{00000000-0005-0000-0000-0000849A0000}"/>
    <cellStyle name="c-Pink" xfId="64" xr:uid="{00000000-0005-0000-0000-0000859A0000}"/>
    <cellStyle name="c-Pink 2" xfId="87" xr:uid="{00000000-0005-0000-0000-0000869A0000}"/>
    <cellStyle name="c-Pink 2 2" xfId="1501" xr:uid="{00000000-0005-0000-0000-0000879A0000}"/>
    <cellStyle name="c-Pink 2 3" xfId="253" xr:uid="{00000000-0005-0000-0000-0000889A0000}"/>
    <cellStyle name="c-Pink 3" xfId="99" xr:uid="{00000000-0005-0000-0000-0000899A0000}"/>
    <cellStyle name="c-Pink 4" xfId="1101" xr:uid="{00000000-0005-0000-0000-00008A9A0000}"/>
    <cellStyle name="c-Pink 4 2" xfId="1403" xr:uid="{00000000-0005-0000-0000-00008B9A0000}"/>
    <cellStyle name="c-Pink 5" xfId="959" xr:uid="{00000000-0005-0000-0000-00008C9A0000}"/>
    <cellStyle name="c-Pink 6" xfId="3963" xr:uid="{00000000-0005-0000-0000-00008D9A0000}"/>
    <cellStyle name="Currency 2" xfId="249" xr:uid="{00000000-0005-0000-0000-00008E9A0000}"/>
    <cellStyle name="Currency 3" xfId="65" xr:uid="{00000000-0005-0000-0000-00008F9A0000}"/>
    <cellStyle name="Explanatory Text" xfId="16" builtinId="53" customBuiltin="1"/>
    <cellStyle name="Explanatory Text 10" xfId="134" xr:uid="{00000000-0005-0000-0000-0000919A0000}"/>
    <cellStyle name="Explanatory Text 2" xfId="176" xr:uid="{00000000-0005-0000-0000-0000929A0000}"/>
    <cellStyle name="Explanatory Text 2 2" xfId="335" xr:uid="{00000000-0005-0000-0000-0000939A0000}"/>
    <cellStyle name="Explanatory Text 2 3" xfId="2856" xr:uid="{00000000-0005-0000-0000-0000949A0000}"/>
    <cellStyle name="Explanatory Text 2 4" xfId="3936" xr:uid="{00000000-0005-0000-0000-0000959A0000}"/>
    <cellStyle name="Explanatory Text 3" xfId="207" xr:uid="{00000000-0005-0000-0000-0000969A0000}"/>
    <cellStyle name="Explanatory Text 3 2" xfId="540" xr:uid="{00000000-0005-0000-0000-0000979A0000}"/>
    <cellStyle name="Explanatory Text 3 3" xfId="476" xr:uid="{00000000-0005-0000-0000-0000989A0000}"/>
    <cellStyle name="Explanatory Text 3 4" xfId="719" xr:uid="{00000000-0005-0000-0000-0000999A0000}"/>
    <cellStyle name="Explanatory Text 4" xfId="315" xr:uid="{00000000-0005-0000-0000-00009A9A0000}"/>
    <cellStyle name="Explanatory Text 5" xfId="748" xr:uid="{00000000-0005-0000-0000-00009B9A0000}"/>
    <cellStyle name="Explanatory Text 6" xfId="1492" xr:uid="{00000000-0005-0000-0000-00009C9A0000}"/>
    <cellStyle name="Explanatory Text 7" xfId="1493" xr:uid="{00000000-0005-0000-0000-00009D9A0000}"/>
    <cellStyle name="Explanatory Text 8" xfId="1419" xr:uid="{00000000-0005-0000-0000-00009E9A0000}"/>
    <cellStyle name="Explanatory Text 8 2" xfId="3955" xr:uid="{00000000-0005-0000-0000-00009F9A0000}"/>
    <cellStyle name="Explanatory Text 9" xfId="3482" xr:uid="{00000000-0005-0000-0000-0000A09A0000}"/>
    <cellStyle name="F0" xfId="66" xr:uid="{00000000-0005-0000-0000-0000A19A0000}"/>
    <cellStyle name="F0 2" xfId="88" xr:uid="{00000000-0005-0000-0000-0000A29A0000}"/>
    <cellStyle name="F0 2 2" xfId="1471" xr:uid="{00000000-0005-0000-0000-0000A39A0000}"/>
    <cellStyle name="F0 2 3" xfId="254" xr:uid="{00000000-0005-0000-0000-0000A49A0000}"/>
    <cellStyle name="F0 3" xfId="1102" xr:uid="{00000000-0005-0000-0000-0000A59A0000}"/>
    <cellStyle name="F0 3 2" xfId="1404" xr:uid="{00000000-0005-0000-0000-0000A69A0000}"/>
    <cellStyle name="F0 4" xfId="1538" xr:uid="{00000000-0005-0000-0000-0000A79A0000}"/>
    <cellStyle name="F0 5" xfId="3576" xr:uid="{00000000-0005-0000-0000-0000A89A0000}"/>
    <cellStyle name="F0 6" xfId="3512" xr:uid="{00000000-0005-0000-0000-0000A99A0000}"/>
    <cellStyle name="F0 7" xfId="3964" xr:uid="{00000000-0005-0000-0000-0000AA9A0000}"/>
    <cellStyle name="F1" xfId="67" xr:uid="{00000000-0005-0000-0000-0000AB9A0000}"/>
    <cellStyle name="F1 2" xfId="89" xr:uid="{00000000-0005-0000-0000-0000AC9A0000}"/>
    <cellStyle name="F1 2 2" xfId="734" xr:uid="{00000000-0005-0000-0000-0000AD9A0000}"/>
    <cellStyle name="F1 2 3" xfId="255" xr:uid="{00000000-0005-0000-0000-0000AE9A0000}"/>
    <cellStyle name="F1 3" xfId="1108" xr:uid="{00000000-0005-0000-0000-0000AF9A0000}"/>
    <cellStyle name="F1 3 2" xfId="1410" xr:uid="{00000000-0005-0000-0000-0000B09A0000}"/>
    <cellStyle name="F1 4" xfId="1473" xr:uid="{00000000-0005-0000-0000-0000B19A0000}"/>
    <cellStyle name="F1 5" xfId="3563" xr:uid="{00000000-0005-0000-0000-0000B29A0000}"/>
    <cellStyle name="F1 6" xfId="3497" xr:uid="{00000000-0005-0000-0000-0000B39A0000}"/>
    <cellStyle name="F1 7" xfId="3965" xr:uid="{00000000-0005-0000-0000-0000B49A0000}"/>
    <cellStyle name="F2" xfId="68" xr:uid="{00000000-0005-0000-0000-0000B59A0000}"/>
    <cellStyle name="F2 2" xfId="90" xr:uid="{00000000-0005-0000-0000-0000B69A0000}"/>
    <cellStyle name="F2 2 2" xfId="720" xr:uid="{00000000-0005-0000-0000-0000B79A0000}"/>
    <cellStyle name="F2 2 3" xfId="256" xr:uid="{00000000-0005-0000-0000-0000B89A0000}"/>
    <cellStyle name="F2 3" xfId="1103" xr:uid="{00000000-0005-0000-0000-0000B99A0000}"/>
    <cellStyle name="F2 3 2" xfId="1405" xr:uid="{00000000-0005-0000-0000-0000BA9A0000}"/>
    <cellStyle name="F2 4" xfId="829" xr:uid="{00000000-0005-0000-0000-0000BB9A0000}"/>
    <cellStyle name="F2 5" xfId="3502" xr:uid="{00000000-0005-0000-0000-0000BC9A0000}"/>
    <cellStyle name="F2 6" xfId="3568" xr:uid="{00000000-0005-0000-0000-0000BD9A0000}"/>
    <cellStyle name="F2 7" xfId="3966" xr:uid="{00000000-0005-0000-0000-0000BE9A0000}"/>
    <cellStyle name="F3" xfId="69" xr:uid="{00000000-0005-0000-0000-0000BF9A0000}"/>
    <cellStyle name="F3 2" xfId="91" xr:uid="{00000000-0005-0000-0000-0000C09A0000}"/>
    <cellStyle name="F3 2 2" xfId="1461" xr:uid="{00000000-0005-0000-0000-0000C19A0000}"/>
    <cellStyle name="F3 2 3" xfId="257" xr:uid="{00000000-0005-0000-0000-0000C29A0000}"/>
    <cellStyle name="F3 3" xfId="1104" xr:uid="{00000000-0005-0000-0000-0000C39A0000}"/>
    <cellStyle name="F3 3 2" xfId="1406" xr:uid="{00000000-0005-0000-0000-0000C49A0000}"/>
    <cellStyle name="F3 4" xfId="1466" xr:uid="{00000000-0005-0000-0000-0000C59A0000}"/>
    <cellStyle name="F3 5" xfId="3536" xr:uid="{00000000-0005-0000-0000-0000C69A0000}"/>
    <cellStyle name="F3 6" xfId="3553" xr:uid="{00000000-0005-0000-0000-0000C79A0000}"/>
    <cellStyle name="F3 7" xfId="3967" xr:uid="{00000000-0005-0000-0000-0000C89A0000}"/>
    <cellStyle name="F4" xfId="70" xr:uid="{00000000-0005-0000-0000-0000C99A0000}"/>
    <cellStyle name="F4 2" xfId="92" xr:uid="{00000000-0005-0000-0000-0000CA9A0000}"/>
    <cellStyle name="F4 2 2" xfId="811" xr:uid="{00000000-0005-0000-0000-0000CB9A0000}"/>
    <cellStyle name="F4 2 3" xfId="258" xr:uid="{00000000-0005-0000-0000-0000CC9A0000}"/>
    <cellStyle name="F4 3" xfId="1105" xr:uid="{00000000-0005-0000-0000-0000CD9A0000}"/>
    <cellStyle name="F4 3 2" xfId="1407" xr:uid="{00000000-0005-0000-0000-0000CE9A0000}"/>
    <cellStyle name="F4 4" xfId="1449" xr:uid="{00000000-0005-0000-0000-0000CF9A0000}"/>
    <cellStyle name="F4 5" xfId="3531" xr:uid="{00000000-0005-0000-0000-0000D09A0000}"/>
    <cellStyle name="F4 6" xfId="3562" xr:uid="{00000000-0005-0000-0000-0000D19A0000}"/>
    <cellStyle name="F4 7" xfId="3968" xr:uid="{00000000-0005-0000-0000-0000D29A0000}"/>
    <cellStyle name="Followed Hyperlink 2" xfId="45" xr:uid="{00000000-0005-0000-0000-0000D39A0000}"/>
    <cellStyle name="General" xfId="71" xr:uid="{00000000-0005-0000-0000-0000D49A0000}"/>
    <cellStyle name="General 2" xfId="250" xr:uid="{00000000-0005-0000-0000-0000D59A0000}"/>
    <cellStyle name="Good" xfId="6" builtinId="26" customBuiltin="1"/>
    <cellStyle name="Good 10" xfId="135" xr:uid="{00000000-0005-0000-0000-0000D79A0000}"/>
    <cellStyle name="Good 2" xfId="177" xr:uid="{00000000-0005-0000-0000-0000D89A0000}"/>
    <cellStyle name="Good 2 2" xfId="388" xr:uid="{00000000-0005-0000-0000-0000D99A0000}"/>
    <cellStyle name="Good 2 3" xfId="2857" xr:uid="{00000000-0005-0000-0000-0000DA9A0000}"/>
    <cellStyle name="Good 2 4" xfId="3893" xr:uid="{00000000-0005-0000-0000-0000DB9A0000}"/>
    <cellStyle name="Good 3" xfId="197" xr:uid="{00000000-0005-0000-0000-0000DC9A0000}"/>
    <cellStyle name="Good 3 2" xfId="530" xr:uid="{00000000-0005-0000-0000-0000DD9A0000}"/>
    <cellStyle name="Good 3 3" xfId="477" xr:uid="{00000000-0005-0000-0000-0000DE9A0000}"/>
    <cellStyle name="Good 3 4" xfId="1424" xr:uid="{00000000-0005-0000-0000-0000DF9A0000}"/>
    <cellStyle name="Good 4" xfId="316" xr:uid="{00000000-0005-0000-0000-0000E09A0000}"/>
    <cellStyle name="Good 5" xfId="739" xr:uid="{00000000-0005-0000-0000-0000E19A0000}"/>
    <cellStyle name="Good 6" xfId="730" xr:uid="{00000000-0005-0000-0000-0000E29A0000}"/>
    <cellStyle name="Good 7" xfId="1428" xr:uid="{00000000-0005-0000-0000-0000E39A0000}"/>
    <cellStyle name="Good 8" xfId="1490" xr:uid="{00000000-0005-0000-0000-0000E49A0000}"/>
    <cellStyle name="Good 8 2" xfId="3635" xr:uid="{00000000-0005-0000-0000-0000E59A0000}"/>
    <cellStyle name="Good 9" xfId="2165" xr:uid="{00000000-0005-0000-0000-0000E69A0000}"/>
    <cellStyle name="Header" xfId="72" xr:uid="{00000000-0005-0000-0000-0000E79A0000}"/>
    <cellStyle name="Header 2" xfId="93" xr:uid="{00000000-0005-0000-0000-0000E89A0000}"/>
    <cellStyle name="Header 3" xfId="251" xr:uid="{00000000-0005-0000-0000-0000E99A0000}"/>
    <cellStyle name="Header 4" xfId="713" xr:uid="{00000000-0005-0000-0000-0000EA9A0000}"/>
    <cellStyle name="Header 5" xfId="725" xr:uid="{00000000-0005-0000-0000-0000EB9A0000}"/>
    <cellStyle name="Header 6" xfId="794" xr:uid="{00000000-0005-0000-0000-0000EC9A0000}"/>
    <cellStyle name="Header 7" xfId="2163" xr:uid="{00000000-0005-0000-0000-0000ED9A0000}"/>
    <cellStyle name="Header 8" xfId="3924" xr:uid="{00000000-0005-0000-0000-0000EE9A0000}"/>
    <cellStyle name="Heading 1" xfId="2" builtinId="16" customBuiltin="1"/>
    <cellStyle name="Heading 1 10" xfId="136" xr:uid="{00000000-0005-0000-0000-0000F09A0000}"/>
    <cellStyle name="Heading 1 2" xfId="178" xr:uid="{00000000-0005-0000-0000-0000F19A0000}"/>
    <cellStyle name="Heading 1 2 2" xfId="269" xr:uid="{00000000-0005-0000-0000-0000F29A0000}"/>
    <cellStyle name="Heading 1 2 3" xfId="2858" xr:uid="{00000000-0005-0000-0000-0000F39A0000}"/>
    <cellStyle name="Heading 1 2 4" xfId="3925" xr:uid="{00000000-0005-0000-0000-0000F49A0000}"/>
    <cellStyle name="Heading 1 3" xfId="193" xr:uid="{00000000-0005-0000-0000-0000F59A0000}"/>
    <cellStyle name="Heading 1 3 2" xfId="526" xr:uid="{00000000-0005-0000-0000-0000F69A0000}"/>
    <cellStyle name="Heading 1 3 3" xfId="478" xr:uid="{00000000-0005-0000-0000-0000F79A0000}"/>
    <cellStyle name="Heading 1 3 4" xfId="1469" xr:uid="{00000000-0005-0000-0000-0000F89A0000}"/>
    <cellStyle name="Heading 1 4" xfId="317" xr:uid="{00000000-0005-0000-0000-0000F99A0000}"/>
    <cellStyle name="Heading 1 5" xfId="735" xr:uid="{00000000-0005-0000-0000-0000FA9A0000}"/>
    <cellStyle name="Heading 1 6" xfId="722" xr:uid="{00000000-0005-0000-0000-0000FB9A0000}"/>
    <cellStyle name="Heading 1 7" xfId="1520" xr:uid="{00000000-0005-0000-0000-0000FC9A0000}"/>
    <cellStyle name="Heading 1 8" xfId="728" xr:uid="{00000000-0005-0000-0000-0000FD9A0000}"/>
    <cellStyle name="Heading 1 8 2" xfId="3561" xr:uid="{00000000-0005-0000-0000-0000FE9A0000}"/>
    <cellStyle name="Heading 1 9" xfId="3560" xr:uid="{00000000-0005-0000-0000-0000FF9A0000}"/>
    <cellStyle name="Heading 2" xfId="3" builtinId="17" customBuiltin="1"/>
    <cellStyle name="Heading 2 10" xfId="137" xr:uid="{00000000-0005-0000-0000-0000019B0000}"/>
    <cellStyle name="Heading 2 2" xfId="179" xr:uid="{00000000-0005-0000-0000-0000029B0000}"/>
    <cellStyle name="Heading 2 2 2" xfId="381" xr:uid="{00000000-0005-0000-0000-0000039B0000}"/>
    <cellStyle name="Heading 2 2 3" xfId="2859" xr:uid="{00000000-0005-0000-0000-0000049B0000}"/>
    <cellStyle name="Heading 2 2 4" xfId="3613" xr:uid="{00000000-0005-0000-0000-0000059B0000}"/>
    <cellStyle name="Heading 2 3" xfId="194" xr:uid="{00000000-0005-0000-0000-0000069B0000}"/>
    <cellStyle name="Heading 2 3 2" xfId="527" xr:uid="{00000000-0005-0000-0000-0000079B0000}"/>
    <cellStyle name="Heading 2 3 3" xfId="479" xr:uid="{00000000-0005-0000-0000-0000089B0000}"/>
    <cellStyle name="Heading 2 3 4" xfId="1494" xr:uid="{00000000-0005-0000-0000-0000099B0000}"/>
    <cellStyle name="Heading 2 4" xfId="318" xr:uid="{00000000-0005-0000-0000-00000A9B0000}"/>
    <cellStyle name="Heading 2 5" xfId="736" xr:uid="{00000000-0005-0000-0000-00000B9B0000}"/>
    <cellStyle name="Heading 2 6" xfId="851" xr:uid="{00000000-0005-0000-0000-00000C9B0000}"/>
    <cellStyle name="Heading 2 7" xfId="1470" xr:uid="{00000000-0005-0000-0000-00000D9B0000}"/>
    <cellStyle name="Heading 2 8" xfId="1539" xr:uid="{00000000-0005-0000-0000-00000E9B0000}"/>
    <cellStyle name="Heading 2 8 2" xfId="3899" xr:uid="{00000000-0005-0000-0000-00000F9B0000}"/>
    <cellStyle name="Heading 2 9" xfId="2254" xr:uid="{00000000-0005-0000-0000-0000109B0000}"/>
    <cellStyle name="Heading 3" xfId="4" builtinId="18" customBuiltin="1"/>
    <cellStyle name="Heading 3 10" xfId="138" xr:uid="{00000000-0005-0000-0000-0000129B0000}"/>
    <cellStyle name="Heading 3 2" xfId="180" xr:uid="{00000000-0005-0000-0000-0000139B0000}"/>
    <cellStyle name="Heading 3 2 2" xfId="279" xr:uid="{00000000-0005-0000-0000-0000149B0000}"/>
    <cellStyle name="Heading 3 2 3" xfId="2860" xr:uid="{00000000-0005-0000-0000-0000159B0000}"/>
    <cellStyle name="Heading 3 2 4" xfId="3890" xr:uid="{00000000-0005-0000-0000-0000169B0000}"/>
    <cellStyle name="Heading 3 3" xfId="195" xr:uid="{00000000-0005-0000-0000-0000179B0000}"/>
    <cellStyle name="Heading 3 3 2" xfId="528" xr:uid="{00000000-0005-0000-0000-0000189B0000}"/>
    <cellStyle name="Heading 3 3 3" xfId="480" xr:uid="{00000000-0005-0000-0000-0000199B0000}"/>
    <cellStyle name="Heading 3 3 4" xfId="1462" xr:uid="{00000000-0005-0000-0000-00001A9B0000}"/>
    <cellStyle name="Heading 3 4" xfId="319" xr:uid="{00000000-0005-0000-0000-00001B9B0000}"/>
    <cellStyle name="Heading 3 5" xfId="737" xr:uid="{00000000-0005-0000-0000-00001C9B0000}"/>
    <cellStyle name="Heading 3 6" xfId="1432" xr:uid="{00000000-0005-0000-0000-00001D9B0000}"/>
    <cellStyle name="Heading 3 7" xfId="1515" xr:uid="{00000000-0005-0000-0000-00001E9B0000}"/>
    <cellStyle name="Heading 3 8" xfId="1438" xr:uid="{00000000-0005-0000-0000-00001F9B0000}"/>
    <cellStyle name="Heading 3 8 2" xfId="2177" xr:uid="{00000000-0005-0000-0000-0000209B0000}"/>
    <cellStyle name="Heading 3 9" xfId="3522" xr:uid="{00000000-0005-0000-0000-0000219B0000}"/>
    <cellStyle name="Heading 4" xfId="5" builtinId="19" customBuiltin="1"/>
    <cellStyle name="Heading 4 10" xfId="139" xr:uid="{00000000-0005-0000-0000-0000239B0000}"/>
    <cellStyle name="Heading 4 2" xfId="181" xr:uid="{00000000-0005-0000-0000-0000249B0000}"/>
    <cellStyle name="Heading 4 2 2" xfId="372" xr:uid="{00000000-0005-0000-0000-0000259B0000}"/>
    <cellStyle name="Heading 4 2 3" xfId="2861" xr:uid="{00000000-0005-0000-0000-0000269B0000}"/>
    <cellStyle name="Heading 4 2 4" xfId="2169" xr:uid="{00000000-0005-0000-0000-0000279B0000}"/>
    <cellStyle name="Heading 4 3" xfId="196" xr:uid="{00000000-0005-0000-0000-0000289B0000}"/>
    <cellStyle name="Heading 4 3 2" xfId="529" xr:uid="{00000000-0005-0000-0000-0000299B0000}"/>
    <cellStyle name="Heading 4 3 3" xfId="481" xr:uid="{00000000-0005-0000-0000-00002A9B0000}"/>
    <cellStyle name="Heading 4 3 4" xfId="1427" xr:uid="{00000000-0005-0000-0000-00002B9B0000}"/>
    <cellStyle name="Heading 4 4" xfId="320" xr:uid="{00000000-0005-0000-0000-00002C9B0000}"/>
    <cellStyle name="Heading 4 5" xfId="738" xr:uid="{00000000-0005-0000-0000-00002D9B0000}"/>
    <cellStyle name="Heading 4 6" xfId="1507" xr:uid="{00000000-0005-0000-0000-00002E9B0000}"/>
    <cellStyle name="Heading 4 7" xfId="732" xr:uid="{00000000-0005-0000-0000-00002F9B0000}"/>
    <cellStyle name="Heading 4 8" xfId="1528" xr:uid="{00000000-0005-0000-0000-0000309B0000}"/>
    <cellStyle name="Heading 4 8 2" xfId="2172" xr:uid="{00000000-0005-0000-0000-0000319B0000}"/>
    <cellStyle name="Heading 4 9" xfId="3499" xr:uid="{00000000-0005-0000-0000-0000329B0000}"/>
    <cellStyle name="Hyperlink" xfId="42" builtinId="8"/>
    <cellStyle name="Hyperlink 2" xfId="60" xr:uid="{00000000-0005-0000-0000-0000349B0000}"/>
    <cellStyle name="Hyperlink 3" xfId="44" xr:uid="{00000000-0005-0000-0000-0000359B0000}"/>
    <cellStyle name="Hyperlink 3 2" xfId="73" xr:uid="{00000000-0005-0000-0000-0000369B0000}"/>
    <cellStyle name="Input" xfId="9" builtinId="20" customBuiltin="1"/>
    <cellStyle name="Input 10" xfId="140" xr:uid="{00000000-0005-0000-0000-0000389B0000}"/>
    <cellStyle name="Input 2" xfId="182" xr:uid="{00000000-0005-0000-0000-0000399B0000}"/>
    <cellStyle name="Input 2 2" xfId="284" xr:uid="{00000000-0005-0000-0000-00003A9B0000}"/>
    <cellStyle name="Input 2 3" xfId="2862" xr:uid="{00000000-0005-0000-0000-00003B9B0000}"/>
    <cellStyle name="Input 2 4" xfId="3519" xr:uid="{00000000-0005-0000-0000-00003C9B0000}"/>
    <cellStyle name="Input 3" xfId="200" xr:uid="{00000000-0005-0000-0000-00003D9B0000}"/>
    <cellStyle name="Input 3 2" xfId="533" xr:uid="{00000000-0005-0000-0000-00003E9B0000}"/>
    <cellStyle name="Input 3 3" xfId="482" xr:uid="{00000000-0005-0000-0000-00003F9B0000}"/>
    <cellStyle name="Input 3 4" xfId="1453" xr:uid="{00000000-0005-0000-0000-0000409B0000}"/>
    <cellStyle name="Input 4" xfId="321" xr:uid="{00000000-0005-0000-0000-0000419B0000}"/>
    <cellStyle name="Input 5" xfId="742" xr:uid="{00000000-0005-0000-0000-0000429B0000}"/>
    <cellStyle name="Input 6" xfId="1498" xr:uid="{00000000-0005-0000-0000-0000439B0000}"/>
    <cellStyle name="Input 7" xfId="718" xr:uid="{00000000-0005-0000-0000-0000449B0000}"/>
    <cellStyle name="Input 8" xfId="898" xr:uid="{00000000-0005-0000-0000-0000459B0000}"/>
    <cellStyle name="Input 8 2" xfId="3892" xr:uid="{00000000-0005-0000-0000-0000469B0000}"/>
    <cellStyle name="Input 9" xfId="2801" xr:uid="{00000000-0005-0000-0000-0000479B0000}"/>
    <cellStyle name="Linked Cell" xfId="12" builtinId="24" customBuiltin="1"/>
    <cellStyle name="Linked Cell 10" xfId="141" xr:uid="{00000000-0005-0000-0000-0000499B0000}"/>
    <cellStyle name="Linked Cell 2" xfId="183" xr:uid="{00000000-0005-0000-0000-00004A9B0000}"/>
    <cellStyle name="Linked Cell 2 2" xfId="390" xr:uid="{00000000-0005-0000-0000-00004B9B0000}"/>
    <cellStyle name="Linked Cell 2 3" xfId="2863" xr:uid="{00000000-0005-0000-0000-00004C9B0000}"/>
    <cellStyle name="Linked Cell 2 4" xfId="3910" xr:uid="{00000000-0005-0000-0000-00004D9B0000}"/>
    <cellStyle name="Linked Cell 3" xfId="203" xr:uid="{00000000-0005-0000-0000-00004E9B0000}"/>
    <cellStyle name="Linked Cell 3 2" xfId="536" xr:uid="{00000000-0005-0000-0000-00004F9B0000}"/>
    <cellStyle name="Linked Cell 3 3" xfId="483" xr:uid="{00000000-0005-0000-0000-0000509B0000}"/>
    <cellStyle name="Linked Cell 3 4" xfId="1443" xr:uid="{00000000-0005-0000-0000-0000519B0000}"/>
    <cellStyle name="Linked Cell 4" xfId="322" xr:uid="{00000000-0005-0000-0000-0000529B0000}"/>
    <cellStyle name="Linked Cell 5" xfId="745" xr:uid="{00000000-0005-0000-0000-0000539B0000}"/>
    <cellStyle name="Linked Cell 6" xfId="1509" xr:uid="{00000000-0005-0000-0000-0000549B0000}"/>
    <cellStyle name="Linked Cell 7" xfId="1524" xr:uid="{00000000-0005-0000-0000-0000559B0000}"/>
    <cellStyle name="Linked Cell 8" xfId="1451" xr:uid="{00000000-0005-0000-0000-0000569B0000}"/>
    <cellStyle name="Linked Cell 8 2" xfId="3922" xr:uid="{00000000-0005-0000-0000-0000579B0000}"/>
    <cellStyle name="Linked Cell 9" xfId="3494" xr:uid="{00000000-0005-0000-0000-0000589B0000}"/>
    <cellStyle name="Neutral" xfId="8" builtinId="28" customBuiltin="1"/>
    <cellStyle name="Neutral 10" xfId="142" xr:uid="{00000000-0005-0000-0000-00005A9B0000}"/>
    <cellStyle name="Neutral 2" xfId="184" xr:uid="{00000000-0005-0000-0000-00005B9B0000}"/>
    <cellStyle name="Neutral 2 2" xfId="385" xr:uid="{00000000-0005-0000-0000-00005C9B0000}"/>
    <cellStyle name="Neutral 2 3" xfId="2864" xr:uid="{00000000-0005-0000-0000-00005D9B0000}"/>
    <cellStyle name="Neutral 2 4" xfId="3921" xr:uid="{00000000-0005-0000-0000-00005E9B0000}"/>
    <cellStyle name="Neutral 3" xfId="199" xr:uid="{00000000-0005-0000-0000-00005F9B0000}"/>
    <cellStyle name="Neutral 3 2" xfId="532" xr:uid="{00000000-0005-0000-0000-0000609B0000}"/>
    <cellStyle name="Neutral 3 3" xfId="484" xr:uid="{00000000-0005-0000-0000-0000619B0000}"/>
    <cellStyle name="Neutral 3 4" xfId="1450" xr:uid="{00000000-0005-0000-0000-0000629B0000}"/>
    <cellStyle name="Neutral 4" xfId="323" xr:uid="{00000000-0005-0000-0000-0000639B0000}"/>
    <cellStyle name="Neutral 5" xfId="741" xr:uid="{00000000-0005-0000-0000-0000649B0000}"/>
    <cellStyle name="Neutral 6" xfId="1504" xr:uid="{00000000-0005-0000-0000-0000659B0000}"/>
    <cellStyle name="Neutral 7" xfId="1521" xr:uid="{00000000-0005-0000-0000-0000669B0000}"/>
    <cellStyle name="Neutral 8" xfId="1537" xr:uid="{00000000-0005-0000-0000-0000679B0000}"/>
    <cellStyle name="Neutral 8 2" xfId="3930" xr:uid="{00000000-0005-0000-0000-0000689B0000}"/>
    <cellStyle name="Neutral 9" xfId="3486" xr:uid="{00000000-0005-0000-0000-0000699B0000}"/>
    <cellStyle name="Normal" xfId="0" builtinId="0"/>
    <cellStyle name="Normal 10" xfId="105" xr:uid="{00000000-0005-0000-0000-00006B9B0000}"/>
    <cellStyle name="Normal 11" xfId="2162" xr:uid="{00000000-0005-0000-0000-00006C9B0000}"/>
    <cellStyle name="Normal 12" xfId="3510" xr:uid="{00000000-0005-0000-0000-00006D9B0000}"/>
    <cellStyle name="Normal 13" xfId="3503" xr:uid="{00000000-0005-0000-0000-00006E9B0000}"/>
    <cellStyle name="Normal 14" xfId="104" xr:uid="{00000000-0005-0000-0000-00006F9B0000}"/>
    <cellStyle name="Normal 15" xfId="62" xr:uid="{00000000-0005-0000-0000-0000709B0000}"/>
    <cellStyle name="Normal 2" xfId="46" xr:uid="{00000000-0005-0000-0000-0000719B0000}"/>
    <cellStyle name="Normal 2 10" xfId="3550" xr:uid="{00000000-0005-0000-0000-0000729B0000}"/>
    <cellStyle name="Normal 2 11" xfId="3939" xr:uid="{00000000-0005-0000-0000-0000739B0000}"/>
    <cellStyle name="Normal 2 12" xfId="148" xr:uid="{00000000-0005-0000-0000-0000749B0000}"/>
    <cellStyle name="Normal 2 13" xfId="85" xr:uid="{00000000-0005-0000-0000-0000759B0000}"/>
    <cellStyle name="Normal 2 2" xfId="280" xr:uid="{00000000-0005-0000-0000-0000769B0000}"/>
    <cellStyle name="Normal 2 2 10" xfId="6493" xr:uid="{00000000-0005-0000-0000-0000779B0000}"/>
    <cellStyle name="Normal 2 2 10 2" xfId="17794" xr:uid="{00000000-0005-0000-0000-0000789B0000}"/>
    <cellStyle name="Normal 2 2 10 2 2" xfId="40396" xr:uid="{00000000-0005-0000-0000-0000799B0000}"/>
    <cellStyle name="Normal 2 2 10 3" xfId="29095" xr:uid="{00000000-0005-0000-0000-00007A9B0000}"/>
    <cellStyle name="Normal 2 2 11" xfId="12144" xr:uid="{00000000-0005-0000-0000-00007B9B0000}"/>
    <cellStyle name="Normal 2 2 11 2" xfId="34746" xr:uid="{00000000-0005-0000-0000-00007C9B0000}"/>
    <cellStyle name="Normal 2 2 12" xfId="23445" xr:uid="{00000000-0005-0000-0000-00007D9B0000}"/>
    <cellStyle name="Normal 2 2 2" xfId="445" xr:uid="{00000000-0005-0000-0000-00007E9B0000}"/>
    <cellStyle name="Normal 2 2 2 10" xfId="23540" xr:uid="{00000000-0005-0000-0000-00007F9B0000}"/>
    <cellStyle name="Normal 2 2 2 2" xfId="690" xr:uid="{00000000-0005-0000-0000-0000809B0000}"/>
    <cellStyle name="Normal 2 2 2 2 2" xfId="1400" xr:uid="{00000000-0005-0000-0000-0000819B0000}"/>
    <cellStyle name="Normal 2 2 2 2 2 2" xfId="2083" xr:uid="{00000000-0005-0000-0000-0000829B0000}"/>
    <cellStyle name="Normal 2 2 2 2 2 2 2" xfId="3469" xr:uid="{00000000-0005-0000-0000-0000839B0000}"/>
    <cellStyle name="Normal 2 2 2 2 2 2 2 2" xfId="6441" xr:uid="{00000000-0005-0000-0000-0000849B0000}"/>
    <cellStyle name="Normal 2 2 2 2 2 2 2 2 2" xfId="12091" xr:uid="{00000000-0005-0000-0000-0000859B0000}"/>
    <cellStyle name="Normal 2 2 2 2 2 2 2 2 2 2" xfId="23392" xr:uid="{00000000-0005-0000-0000-0000869B0000}"/>
    <cellStyle name="Normal 2 2 2 2 2 2 2 2 2 2 2" xfId="45994" xr:uid="{00000000-0005-0000-0000-0000879B0000}"/>
    <cellStyle name="Normal 2 2 2 2 2 2 2 2 2 3" xfId="34693" xr:uid="{00000000-0005-0000-0000-0000889B0000}"/>
    <cellStyle name="Normal 2 2 2 2 2 2 2 2 3" xfId="17742" xr:uid="{00000000-0005-0000-0000-0000899B0000}"/>
    <cellStyle name="Normal 2 2 2 2 2 2 2 2 3 2" xfId="40344" xr:uid="{00000000-0005-0000-0000-00008A9B0000}"/>
    <cellStyle name="Normal 2 2 2 2 2 2 2 2 4" xfId="29043" xr:uid="{00000000-0005-0000-0000-00008B9B0000}"/>
    <cellStyle name="Normal 2 2 2 2 2 2 2 3" xfId="9259" xr:uid="{00000000-0005-0000-0000-00008C9B0000}"/>
    <cellStyle name="Normal 2 2 2 2 2 2 2 3 2" xfId="20560" xr:uid="{00000000-0005-0000-0000-00008D9B0000}"/>
    <cellStyle name="Normal 2 2 2 2 2 2 2 3 2 2" xfId="43162" xr:uid="{00000000-0005-0000-0000-00008E9B0000}"/>
    <cellStyle name="Normal 2 2 2 2 2 2 2 3 3" xfId="31861" xr:uid="{00000000-0005-0000-0000-00008F9B0000}"/>
    <cellStyle name="Normal 2 2 2 2 2 2 2 4" xfId="14910" xr:uid="{00000000-0005-0000-0000-0000909B0000}"/>
    <cellStyle name="Normal 2 2 2 2 2 2 2 4 2" xfId="37512" xr:uid="{00000000-0005-0000-0000-0000919B0000}"/>
    <cellStyle name="Normal 2 2 2 2 2 2 2 5" xfId="26211" xr:uid="{00000000-0005-0000-0000-0000929B0000}"/>
    <cellStyle name="Normal 2 2 2 2 2 2 3" xfId="5207" xr:uid="{00000000-0005-0000-0000-0000939B0000}"/>
    <cellStyle name="Normal 2 2 2 2 2 2 3 2" xfId="10857" xr:uid="{00000000-0005-0000-0000-0000949B0000}"/>
    <cellStyle name="Normal 2 2 2 2 2 2 3 2 2" xfId="22158" xr:uid="{00000000-0005-0000-0000-0000959B0000}"/>
    <cellStyle name="Normal 2 2 2 2 2 2 3 2 2 2" xfId="44760" xr:uid="{00000000-0005-0000-0000-0000969B0000}"/>
    <cellStyle name="Normal 2 2 2 2 2 2 3 2 3" xfId="33459" xr:uid="{00000000-0005-0000-0000-0000979B0000}"/>
    <cellStyle name="Normal 2 2 2 2 2 2 3 3" xfId="16508" xr:uid="{00000000-0005-0000-0000-0000989B0000}"/>
    <cellStyle name="Normal 2 2 2 2 2 2 3 3 2" xfId="39110" xr:uid="{00000000-0005-0000-0000-0000999B0000}"/>
    <cellStyle name="Normal 2 2 2 2 2 2 3 4" xfId="27809" xr:uid="{00000000-0005-0000-0000-00009A9B0000}"/>
    <cellStyle name="Normal 2 2 2 2 2 2 4" xfId="7939" xr:uid="{00000000-0005-0000-0000-00009B9B0000}"/>
    <cellStyle name="Normal 2 2 2 2 2 2 4 2" xfId="19240" xr:uid="{00000000-0005-0000-0000-00009C9B0000}"/>
    <cellStyle name="Normal 2 2 2 2 2 2 4 2 2" xfId="41842" xr:uid="{00000000-0005-0000-0000-00009D9B0000}"/>
    <cellStyle name="Normal 2 2 2 2 2 2 4 3" xfId="30541" xr:uid="{00000000-0005-0000-0000-00009E9B0000}"/>
    <cellStyle name="Normal 2 2 2 2 2 2 5" xfId="13590" xr:uid="{00000000-0005-0000-0000-00009F9B0000}"/>
    <cellStyle name="Normal 2 2 2 2 2 2 5 2" xfId="36192" xr:uid="{00000000-0005-0000-0000-0000A09B0000}"/>
    <cellStyle name="Normal 2 2 2 2 2 2 6" xfId="24891" xr:uid="{00000000-0005-0000-0000-0000A19B0000}"/>
    <cellStyle name="Normal 2 2 2 2 2 3" xfId="2798" xr:uid="{00000000-0005-0000-0000-0000A29B0000}"/>
    <cellStyle name="Normal 2 2 2 2 2 3 2" xfId="5817" xr:uid="{00000000-0005-0000-0000-0000A39B0000}"/>
    <cellStyle name="Normal 2 2 2 2 2 3 2 2" xfId="11467" xr:uid="{00000000-0005-0000-0000-0000A49B0000}"/>
    <cellStyle name="Normal 2 2 2 2 2 3 2 2 2" xfId="22768" xr:uid="{00000000-0005-0000-0000-0000A59B0000}"/>
    <cellStyle name="Normal 2 2 2 2 2 3 2 2 2 2" xfId="45370" xr:uid="{00000000-0005-0000-0000-0000A69B0000}"/>
    <cellStyle name="Normal 2 2 2 2 2 3 2 2 3" xfId="34069" xr:uid="{00000000-0005-0000-0000-0000A79B0000}"/>
    <cellStyle name="Normal 2 2 2 2 2 3 2 3" xfId="17118" xr:uid="{00000000-0005-0000-0000-0000A89B0000}"/>
    <cellStyle name="Normal 2 2 2 2 2 3 2 3 2" xfId="39720" xr:uid="{00000000-0005-0000-0000-0000A99B0000}"/>
    <cellStyle name="Normal 2 2 2 2 2 3 2 4" xfId="28419" xr:uid="{00000000-0005-0000-0000-0000AA9B0000}"/>
    <cellStyle name="Normal 2 2 2 2 2 3 3" xfId="8634" xr:uid="{00000000-0005-0000-0000-0000AB9B0000}"/>
    <cellStyle name="Normal 2 2 2 2 2 3 3 2" xfId="19935" xr:uid="{00000000-0005-0000-0000-0000AC9B0000}"/>
    <cellStyle name="Normal 2 2 2 2 2 3 3 2 2" xfId="42537" xr:uid="{00000000-0005-0000-0000-0000AD9B0000}"/>
    <cellStyle name="Normal 2 2 2 2 2 3 3 3" xfId="31236" xr:uid="{00000000-0005-0000-0000-0000AE9B0000}"/>
    <cellStyle name="Normal 2 2 2 2 2 3 4" xfId="14285" xr:uid="{00000000-0005-0000-0000-0000AF9B0000}"/>
    <cellStyle name="Normal 2 2 2 2 2 3 4 2" xfId="36887" xr:uid="{00000000-0005-0000-0000-0000B09B0000}"/>
    <cellStyle name="Normal 2 2 2 2 2 3 5" xfId="25586" xr:uid="{00000000-0005-0000-0000-0000B19B0000}"/>
    <cellStyle name="Normal 2 2 2 2 2 4" xfId="4583" xr:uid="{00000000-0005-0000-0000-0000B29B0000}"/>
    <cellStyle name="Normal 2 2 2 2 2 4 2" xfId="10233" xr:uid="{00000000-0005-0000-0000-0000B39B0000}"/>
    <cellStyle name="Normal 2 2 2 2 2 4 2 2" xfId="21534" xr:uid="{00000000-0005-0000-0000-0000B49B0000}"/>
    <cellStyle name="Normal 2 2 2 2 2 4 2 2 2" xfId="44136" xr:uid="{00000000-0005-0000-0000-0000B59B0000}"/>
    <cellStyle name="Normal 2 2 2 2 2 4 2 3" xfId="32835" xr:uid="{00000000-0005-0000-0000-0000B69B0000}"/>
    <cellStyle name="Normal 2 2 2 2 2 4 3" xfId="15884" xr:uid="{00000000-0005-0000-0000-0000B79B0000}"/>
    <cellStyle name="Normal 2 2 2 2 2 4 3 2" xfId="38486" xr:uid="{00000000-0005-0000-0000-0000B89B0000}"/>
    <cellStyle name="Normal 2 2 2 2 2 4 4" xfId="27185" xr:uid="{00000000-0005-0000-0000-0000B99B0000}"/>
    <cellStyle name="Normal 2 2 2 2 2 5" xfId="7379" xr:uid="{00000000-0005-0000-0000-0000BA9B0000}"/>
    <cellStyle name="Normal 2 2 2 2 2 5 2" xfId="18680" xr:uid="{00000000-0005-0000-0000-0000BB9B0000}"/>
    <cellStyle name="Normal 2 2 2 2 2 5 2 2" xfId="41282" xr:uid="{00000000-0005-0000-0000-0000BC9B0000}"/>
    <cellStyle name="Normal 2 2 2 2 2 5 3" xfId="29981" xr:uid="{00000000-0005-0000-0000-0000BD9B0000}"/>
    <cellStyle name="Normal 2 2 2 2 2 6" xfId="13030" xr:uid="{00000000-0005-0000-0000-0000BE9B0000}"/>
    <cellStyle name="Normal 2 2 2 2 2 6 2" xfId="35632" xr:uid="{00000000-0005-0000-0000-0000BF9B0000}"/>
    <cellStyle name="Normal 2 2 2 2 2 7" xfId="24331" xr:uid="{00000000-0005-0000-0000-0000C09B0000}"/>
    <cellStyle name="Normal 2 2 2 2 3" xfId="1098" xr:uid="{00000000-0005-0000-0000-0000C19B0000}"/>
    <cellStyle name="Normal 2 2 2 2 3 2" xfId="3161" xr:uid="{00000000-0005-0000-0000-0000C29B0000}"/>
    <cellStyle name="Normal 2 2 2 2 3 2 2" xfId="6133" xr:uid="{00000000-0005-0000-0000-0000C39B0000}"/>
    <cellStyle name="Normal 2 2 2 2 3 2 2 2" xfId="11783" xr:uid="{00000000-0005-0000-0000-0000C49B0000}"/>
    <cellStyle name="Normal 2 2 2 2 3 2 2 2 2" xfId="23084" xr:uid="{00000000-0005-0000-0000-0000C59B0000}"/>
    <cellStyle name="Normal 2 2 2 2 3 2 2 2 2 2" xfId="45686" xr:uid="{00000000-0005-0000-0000-0000C69B0000}"/>
    <cellStyle name="Normal 2 2 2 2 3 2 2 2 3" xfId="34385" xr:uid="{00000000-0005-0000-0000-0000C79B0000}"/>
    <cellStyle name="Normal 2 2 2 2 3 2 2 3" xfId="17434" xr:uid="{00000000-0005-0000-0000-0000C89B0000}"/>
    <cellStyle name="Normal 2 2 2 2 3 2 2 3 2" xfId="40036" xr:uid="{00000000-0005-0000-0000-0000C99B0000}"/>
    <cellStyle name="Normal 2 2 2 2 3 2 2 4" xfId="28735" xr:uid="{00000000-0005-0000-0000-0000CA9B0000}"/>
    <cellStyle name="Normal 2 2 2 2 3 2 3" xfId="8951" xr:uid="{00000000-0005-0000-0000-0000CB9B0000}"/>
    <cellStyle name="Normal 2 2 2 2 3 2 3 2" xfId="20252" xr:uid="{00000000-0005-0000-0000-0000CC9B0000}"/>
    <cellStyle name="Normal 2 2 2 2 3 2 3 2 2" xfId="42854" xr:uid="{00000000-0005-0000-0000-0000CD9B0000}"/>
    <cellStyle name="Normal 2 2 2 2 3 2 3 3" xfId="31553" xr:uid="{00000000-0005-0000-0000-0000CE9B0000}"/>
    <cellStyle name="Normal 2 2 2 2 3 2 4" xfId="14602" xr:uid="{00000000-0005-0000-0000-0000CF9B0000}"/>
    <cellStyle name="Normal 2 2 2 2 3 2 4 2" xfId="37204" xr:uid="{00000000-0005-0000-0000-0000D09B0000}"/>
    <cellStyle name="Normal 2 2 2 2 3 2 5" xfId="25903" xr:uid="{00000000-0005-0000-0000-0000D19B0000}"/>
    <cellStyle name="Normal 2 2 2 2 3 3" xfId="4899" xr:uid="{00000000-0005-0000-0000-0000D29B0000}"/>
    <cellStyle name="Normal 2 2 2 2 3 3 2" xfId="10549" xr:uid="{00000000-0005-0000-0000-0000D39B0000}"/>
    <cellStyle name="Normal 2 2 2 2 3 3 2 2" xfId="21850" xr:uid="{00000000-0005-0000-0000-0000D49B0000}"/>
    <cellStyle name="Normal 2 2 2 2 3 3 2 2 2" xfId="44452" xr:uid="{00000000-0005-0000-0000-0000D59B0000}"/>
    <cellStyle name="Normal 2 2 2 2 3 3 2 3" xfId="33151" xr:uid="{00000000-0005-0000-0000-0000D69B0000}"/>
    <cellStyle name="Normal 2 2 2 2 3 3 3" xfId="16200" xr:uid="{00000000-0005-0000-0000-0000D79B0000}"/>
    <cellStyle name="Normal 2 2 2 2 3 3 3 2" xfId="38802" xr:uid="{00000000-0005-0000-0000-0000D89B0000}"/>
    <cellStyle name="Normal 2 2 2 2 3 3 4" xfId="27501" xr:uid="{00000000-0005-0000-0000-0000D99B0000}"/>
    <cellStyle name="Normal 2 2 2 2 3 4" xfId="7086" xr:uid="{00000000-0005-0000-0000-0000DA9B0000}"/>
    <cellStyle name="Normal 2 2 2 2 3 4 2" xfId="18387" xr:uid="{00000000-0005-0000-0000-0000DB9B0000}"/>
    <cellStyle name="Normal 2 2 2 2 3 4 2 2" xfId="40989" xr:uid="{00000000-0005-0000-0000-0000DC9B0000}"/>
    <cellStyle name="Normal 2 2 2 2 3 4 3" xfId="29688" xr:uid="{00000000-0005-0000-0000-0000DD9B0000}"/>
    <cellStyle name="Normal 2 2 2 2 3 5" xfId="12737" xr:uid="{00000000-0005-0000-0000-0000DE9B0000}"/>
    <cellStyle name="Normal 2 2 2 2 3 5 2" xfId="35339" xr:uid="{00000000-0005-0000-0000-0000DF9B0000}"/>
    <cellStyle name="Normal 2 2 2 2 3 6" xfId="24038" xr:uid="{00000000-0005-0000-0000-0000E09B0000}"/>
    <cellStyle name="Normal 2 2 2 2 4" xfId="2082" xr:uid="{00000000-0005-0000-0000-0000E19B0000}"/>
    <cellStyle name="Normal 2 2 2 2 4 2" xfId="3848" xr:uid="{00000000-0005-0000-0000-0000E29B0000}"/>
    <cellStyle name="Normal 2 2 2 2 4 2 2" xfId="9556" xr:uid="{00000000-0005-0000-0000-0000E39B0000}"/>
    <cellStyle name="Normal 2 2 2 2 4 2 2 2" xfId="20857" xr:uid="{00000000-0005-0000-0000-0000E49B0000}"/>
    <cellStyle name="Normal 2 2 2 2 4 2 2 2 2" xfId="43459" xr:uid="{00000000-0005-0000-0000-0000E59B0000}"/>
    <cellStyle name="Normal 2 2 2 2 4 2 2 3" xfId="32158" xr:uid="{00000000-0005-0000-0000-0000E69B0000}"/>
    <cellStyle name="Normal 2 2 2 2 4 2 3" xfId="15207" xr:uid="{00000000-0005-0000-0000-0000E79B0000}"/>
    <cellStyle name="Normal 2 2 2 2 4 2 3 2" xfId="37809" xr:uid="{00000000-0005-0000-0000-0000E89B0000}"/>
    <cellStyle name="Normal 2 2 2 2 4 2 4" xfId="26508" xr:uid="{00000000-0005-0000-0000-0000E99B0000}"/>
    <cellStyle name="Normal 2 2 2 2 4 3" xfId="5509" xr:uid="{00000000-0005-0000-0000-0000EA9B0000}"/>
    <cellStyle name="Normal 2 2 2 2 4 3 2" xfId="11159" xr:uid="{00000000-0005-0000-0000-0000EB9B0000}"/>
    <cellStyle name="Normal 2 2 2 2 4 3 2 2" xfId="22460" xr:uid="{00000000-0005-0000-0000-0000EC9B0000}"/>
    <cellStyle name="Normal 2 2 2 2 4 3 2 2 2" xfId="45062" xr:uid="{00000000-0005-0000-0000-0000ED9B0000}"/>
    <cellStyle name="Normal 2 2 2 2 4 3 2 3" xfId="33761" xr:uid="{00000000-0005-0000-0000-0000EE9B0000}"/>
    <cellStyle name="Normal 2 2 2 2 4 3 3" xfId="16810" xr:uid="{00000000-0005-0000-0000-0000EF9B0000}"/>
    <cellStyle name="Normal 2 2 2 2 4 3 3 2" xfId="39412" xr:uid="{00000000-0005-0000-0000-0000F09B0000}"/>
    <cellStyle name="Normal 2 2 2 2 4 3 4" xfId="28111" xr:uid="{00000000-0005-0000-0000-0000F19B0000}"/>
    <cellStyle name="Normal 2 2 2 2 4 4" xfId="7938" xr:uid="{00000000-0005-0000-0000-0000F29B0000}"/>
    <cellStyle name="Normal 2 2 2 2 4 4 2" xfId="19239" xr:uid="{00000000-0005-0000-0000-0000F39B0000}"/>
    <cellStyle name="Normal 2 2 2 2 4 4 2 2" xfId="41841" xr:uid="{00000000-0005-0000-0000-0000F49B0000}"/>
    <cellStyle name="Normal 2 2 2 2 4 4 3" xfId="30540" xr:uid="{00000000-0005-0000-0000-0000F59B0000}"/>
    <cellStyle name="Normal 2 2 2 2 4 5" xfId="13589" xr:uid="{00000000-0005-0000-0000-0000F69B0000}"/>
    <cellStyle name="Normal 2 2 2 2 4 5 2" xfId="36191" xr:uid="{00000000-0005-0000-0000-0000F79B0000}"/>
    <cellStyle name="Normal 2 2 2 2 4 6" xfId="24890" xr:uid="{00000000-0005-0000-0000-0000F89B0000}"/>
    <cellStyle name="Normal 2 2 2 2 5" xfId="2490" xr:uid="{00000000-0005-0000-0000-0000F99B0000}"/>
    <cellStyle name="Normal 2 2 2 2 5 2" xfId="8326" xr:uid="{00000000-0005-0000-0000-0000FA9B0000}"/>
    <cellStyle name="Normal 2 2 2 2 5 2 2" xfId="19627" xr:uid="{00000000-0005-0000-0000-0000FB9B0000}"/>
    <cellStyle name="Normal 2 2 2 2 5 2 2 2" xfId="42229" xr:uid="{00000000-0005-0000-0000-0000FC9B0000}"/>
    <cellStyle name="Normal 2 2 2 2 5 2 3" xfId="30928" xr:uid="{00000000-0005-0000-0000-0000FD9B0000}"/>
    <cellStyle name="Normal 2 2 2 2 5 3" xfId="13977" xr:uid="{00000000-0005-0000-0000-0000FE9B0000}"/>
    <cellStyle name="Normal 2 2 2 2 5 3 2" xfId="36579" xr:uid="{00000000-0005-0000-0000-0000FF9B0000}"/>
    <cellStyle name="Normal 2 2 2 2 5 4" xfId="25278" xr:uid="{00000000-0005-0000-0000-0000009C0000}"/>
    <cellStyle name="Normal 2 2 2 2 6" xfId="4275" xr:uid="{00000000-0005-0000-0000-0000019C0000}"/>
    <cellStyle name="Normal 2 2 2 2 6 2" xfId="9925" xr:uid="{00000000-0005-0000-0000-0000029C0000}"/>
    <cellStyle name="Normal 2 2 2 2 6 2 2" xfId="21226" xr:uid="{00000000-0005-0000-0000-0000039C0000}"/>
    <cellStyle name="Normal 2 2 2 2 6 2 2 2" xfId="43828" xr:uid="{00000000-0005-0000-0000-0000049C0000}"/>
    <cellStyle name="Normal 2 2 2 2 6 2 3" xfId="32527" xr:uid="{00000000-0005-0000-0000-0000059C0000}"/>
    <cellStyle name="Normal 2 2 2 2 6 3" xfId="15576" xr:uid="{00000000-0005-0000-0000-0000069C0000}"/>
    <cellStyle name="Normal 2 2 2 2 6 3 2" xfId="38178" xr:uid="{00000000-0005-0000-0000-0000079C0000}"/>
    <cellStyle name="Normal 2 2 2 2 6 4" xfId="26877" xr:uid="{00000000-0005-0000-0000-0000089C0000}"/>
    <cellStyle name="Normal 2 2 2 2 7" xfId="6755" xr:uid="{00000000-0005-0000-0000-0000099C0000}"/>
    <cellStyle name="Normal 2 2 2 2 7 2" xfId="18056" xr:uid="{00000000-0005-0000-0000-00000A9C0000}"/>
    <cellStyle name="Normal 2 2 2 2 7 2 2" xfId="40658" xr:uid="{00000000-0005-0000-0000-00000B9C0000}"/>
    <cellStyle name="Normal 2 2 2 2 7 3" xfId="29357" xr:uid="{00000000-0005-0000-0000-00000C9C0000}"/>
    <cellStyle name="Normal 2 2 2 2 8" xfId="12406" xr:uid="{00000000-0005-0000-0000-00000D9C0000}"/>
    <cellStyle name="Normal 2 2 2 2 8 2" xfId="35008" xr:uid="{00000000-0005-0000-0000-00000E9C0000}"/>
    <cellStyle name="Normal 2 2 2 2 9" xfId="23707" xr:uid="{00000000-0005-0000-0000-00000F9C0000}"/>
    <cellStyle name="Normal 2 2 2 3" xfId="1262" xr:uid="{00000000-0005-0000-0000-0000109C0000}"/>
    <cellStyle name="Normal 2 2 2 3 2" xfId="2084" xr:uid="{00000000-0005-0000-0000-0000119C0000}"/>
    <cellStyle name="Normal 2 2 2 3 2 2" xfId="3330" xr:uid="{00000000-0005-0000-0000-0000129C0000}"/>
    <cellStyle name="Normal 2 2 2 3 2 2 2" xfId="6302" xr:uid="{00000000-0005-0000-0000-0000139C0000}"/>
    <cellStyle name="Normal 2 2 2 3 2 2 2 2" xfId="11952" xr:uid="{00000000-0005-0000-0000-0000149C0000}"/>
    <cellStyle name="Normal 2 2 2 3 2 2 2 2 2" xfId="23253" xr:uid="{00000000-0005-0000-0000-0000159C0000}"/>
    <cellStyle name="Normal 2 2 2 3 2 2 2 2 2 2" xfId="45855" xr:uid="{00000000-0005-0000-0000-0000169C0000}"/>
    <cellStyle name="Normal 2 2 2 3 2 2 2 2 3" xfId="34554" xr:uid="{00000000-0005-0000-0000-0000179C0000}"/>
    <cellStyle name="Normal 2 2 2 3 2 2 2 3" xfId="17603" xr:uid="{00000000-0005-0000-0000-0000189C0000}"/>
    <cellStyle name="Normal 2 2 2 3 2 2 2 3 2" xfId="40205" xr:uid="{00000000-0005-0000-0000-0000199C0000}"/>
    <cellStyle name="Normal 2 2 2 3 2 2 2 4" xfId="28904" xr:uid="{00000000-0005-0000-0000-00001A9C0000}"/>
    <cellStyle name="Normal 2 2 2 3 2 2 3" xfId="9120" xr:uid="{00000000-0005-0000-0000-00001B9C0000}"/>
    <cellStyle name="Normal 2 2 2 3 2 2 3 2" xfId="20421" xr:uid="{00000000-0005-0000-0000-00001C9C0000}"/>
    <cellStyle name="Normal 2 2 2 3 2 2 3 2 2" xfId="43023" xr:uid="{00000000-0005-0000-0000-00001D9C0000}"/>
    <cellStyle name="Normal 2 2 2 3 2 2 3 3" xfId="31722" xr:uid="{00000000-0005-0000-0000-00001E9C0000}"/>
    <cellStyle name="Normal 2 2 2 3 2 2 4" xfId="14771" xr:uid="{00000000-0005-0000-0000-00001F9C0000}"/>
    <cellStyle name="Normal 2 2 2 3 2 2 4 2" xfId="37373" xr:uid="{00000000-0005-0000-0000-0000209C0000}"/>
    <cellStyle name="Normal 2 2 2 3 2 2 5" xfId="26072" xr:uid="{00000000-0005-0000-0000-0000219C0000}"/>
    <cellStyle name="Normal 2 2 2 3 2 3" xfId="5068" xr:uid="{00000000-0005-0000-0000-0000229C0000}"/>
    <cellStyle name="Normal 2 2 2 3 2 3 2" xfId="10718" xr:uid="{00000000-0005-0000-0000-0000239C0000}"/>
    <cellStyle name="Normal 2 2 2 3 2 3 2 2" xfId="22019" xr:uid="{00000000-0005-0000-0000-0000249C0000}"/>
    <cellStyle name="Normal 2 2 2 3 2 3 2 2 2" xfId="44621" xr:uid="{00000000-0005-0000-0000-0000259C0000}"/>
    <cellStyle name="Normal 2 2 2 3 2 3 2 3" xfId="33320" xr:uid="{00000000-0005-0000-0000-0000269C0000}"/>
    <cellStyle name="Normal 2 2 2 3 2 3 3" xfId="16369" xr:uid="{00000000-0005-0000-0000-0000279C0000}"/>
    <cellStyle name="Normal 2 2 2 3 2 3 3 2" xfId="38971" xr:uid="{00000000-0005-0000-0000-0000289C0000}"/>
    <cellStyle name="Normal 2 2 2 3 2 3 4" xfId="27670" xr:uid="{00000000-0005-0000-0000-0000299C0000}"/>
    <cellStyle name="Normal 2 2 2 3 2 4" xfId="7940" xr:uid="{00000000-0005-0000-0000-00002A9C0000}"/>
    <cellStyle name="Normal 2 2 2 3 2 4 2" xfId="19241" xr:uid="{00000000-0005-0000-0000-00002B9C0000}"/>
    <cellStyle name="Normal 2 2 2 3 2 4 2 2" xfId="41843" xr:uid="{00000000-0005-0000-0000-00002C9C0000}"/>
    <cellStyle name="Normal 2 2 2 3 2 4 3" xfId="30542" xr:uid="{00000000-0005-0000-0000-00002D9C0000}"/>
    <cellStyle name="Normal 2 2 2 3 2 5" xfId="13591" xr:uid="{00000000-0005-0000-0000-00002E9C0000}"/>
    <cellStyle name="Normal 2 2 2 3 2 5 2" xfId="36193" xr:uid="{00000000-0005-0000-0000-00002F9C0000}"/>
    <cellStyle name="Normal 2 2 2 3 2 6" xfId="24892" xr:uid="{00000000-0005-0000-0000-0000309C0000}"/>
    <cellStyle name="Normal 2 2 2 3 3" xfId="2659" xr:uid="{00000000-0005-0000-0000-0000319C0000}"/>
    <cellStyle name="Normal 2 2 2 3 3 2" xfId="5678" xr:uid="{00000000-0005-0000-0000-0000329C0000}"/>
    <cellStyle name="Normal 2 2 2 3 3 2 2" xfId="11328" xr:uid="{00000000-0005-0000-0000-0000339C0000}"/>
    <cellStyle name="Normal 2 2 2 3 3 2 2 2" xfId="22629" xr:uid="{00000000-0005-0000-0000-0000349C0000}"/>
    <cellStyle name="Normal 2 2 2 3 3 2 2 2 2" xfId="45231" xr:uid="{00000000-0005-0000-0000-0000359C0000}"/>
    <cellStyle name="Normal 2 2 2 3 3 2 2 3" xfId="33930" xr:uid="{00000000-0005-0000-0000-0000369C0000}"/>
    <cellStyle name="Normal 2 2 2 3 3 2 3" xfId="16979" xr:uid="{00000000-0005-0000-0000-0000379C0000}"/>
    <cellStyle name="Normal 2 2 2 3 3 2 3 2" xfId="39581" xr:uid="{00000000-0005-0000-0000-0000389C0000}"/>
    <cellStyle name="Normal 2 2 2 3 3 2 4" xfId="28280" xr:uid="{00000000-0005-0000-0000-0000399C0000}"/>
    <cellStyle name="Normal 2 2 2 3 3 3" xfId="8495" xr:uid="{00000000-0005-0000-0000-00003A9C0000}"/>
    <cellStyle name="Normal 2 2 2 3 3 3 2" xfId="19796" xr:uid="{00000000-0005-0000-0000-00003B9C0000}"/>
    <cellStyle name="Normal 2 2 2 3 3 3 2 2" xfId="42398" xr:uid="{00000000-0005-0000-0000-00003C9C0000}"/>
    <cellStyle name="Normal 2 2 2 3 3 3 3" xfId="31097" xr:uid="{00000000-0005-0000-0000-00003D9C0000}"/>
    <cellStyle name="Normal 2 2 2 3 3 4" xfId="14146" xr:uid="{00000000-0005-0000-0000-00003E9C0000}"/>
    <cellStyle name="Normal 2 2 2 3 3 4 2" xfId="36748" xr:uid="{00000000-0005-0000-0000-00003F9C0000}"/>
    <cellStyle name="Normal 2 2 2 3 3 5" xfId="25447" xr:uid="{00000000-0005-0000-0000-0000409C0000}"/>
    <cellStyle name="Normal 2 2 2 3 4" xfId="4444" xr:uid="{00000000-0005-0000-0000-0000419C0000}"/>
    <cellStyle name="Normal 2 2 2 3 4 2" xfId="10094" xr:uid="{00000000-0005-0000-0000-0000429C0000}"/>
    <cellStyle name="Normal 2 2 2 3 4 2 2" xfId="21395" xr:uid="{00000000-0005-0000-0000-0000439C0000}"/>
    <cellStyle name="Normal 2 2 2 3 4 2 2 2" xfId="43997" xr:uid="{00000000-0005-0000-0000-0000449C0000}"/>
    <cellStyle name="Normal 2 2 2 3 4 2 3" xfId="32696" xr:uid="{00000000-0005-0000-0000-0000459C0000}"/>
    <cellStyle name="Normal 2 2 2 3 4 3" xfId="15745" xr:uid="{00000000-0005-0000-0000-0000469C0000}"/>
    <cellStyle name="Normal 2 2 2 3 4 3 2" xfId="38347" xr:uid="{00000000-0005-0000-0000-0000479C0000}"/>
    <cellStyle name="Normal 2 2 2 3 4 4" xfId="27046" xr:uid="{00000000-0005-0000-0000-0000489C0000}"/>
    <cellStyle name="Normal 2 2 2 3 5" xfId="7241" xr:uid="{00000000-0005-0000-0000-0000499C0000}"/>
    <cellStyle name="Normal 2 2 2 3 5 2" xfId="18542" xr:uid="{00000000-0005-0000-0000-00004A9C0000}"/>
    <cellStyle name="Normal 2 2 2 3 5 2 2" xfId="41144" xr:uid="{00000000-0005-0000-0000-00004B9C0000}"/>
    <cellStyle name="Normal 2 2 2 3 5 3" xfId="29843" xr:uid="{00000000-0005-0000-0000-00004C9C0000}"/>
    <cellStyle name="Normal 2 2 2 3 6" xfId="12892" xr:uid="{00000000-0005-0000-0000-00004D9C0000}"/>
    <cellStyle name="Normal 2 2 2 3 6 2" xfId="35494" xr:uid="{00000000-0005-0000-0000-00004E9C0000}"/>
    <cellStyle name="Normal 2 2 2 3 7" xfId="24193" xr:uid="{00000000-0005-0000-0000-00004F9C0000}"/>
    <cellStyle name="Normal 2 2 2 4" xfId="953" xr:uid="{00000000-0005-0000-0000-0000509C0000}"/>
    <cellStyle name="Normal 2 2 2 4 2" xfId="3023" xr:uid="{00000000-0005-0000-0000-0000519C0000}"/>
    <cellStyle name="Normal 2 2 2 4 2 2" xfId="5995" xr:uid="{00000000-0005-0000-0000-0000529C0000}"/>
    <cellStyle name="Normal 2 2 2 4 2 2 2" xfId="11645" xr:uid="{00000000-0005-0000-0000-0000539C0000}"/>
    <cellStyle name="Normal 2 2 2 4 2 2 2 2" xfId="22946" xr:uid="{00000000-0005-0000-0000-0000549C0000}"/>
    <cellStyle name="Normal 2 2 2 4 2 2 2 2 2" xfId="45548" xr:uid="{00000000-0005-0000-0000-0000559C0000}"/>
    <cellStyle name="Normal 2 2 2 4 2 2 2 3" xfId="34247" xr:uid="{00000000-0005-0000-0000-0000569C0000}"/>
    <cellStyle name="Normal 2 2 2 4 2 2 3" xfId="17296" xr:uid="{00000000-0005-0000-0000-0000579C0000}"/>
    <cellStyle name="Normal 2 2 2 4 2 2 3 2" xfId="39898" xr:uid="{00000000-0005-0000-0000-0000589C0000}"/>
    <cellStyle name="Normal 2 2 2 4 2 2 4" xfId="28597" xr:uid="{00000000-0005-0000-0000-0000599C0000}"/>
    <cellStyle name="Normal 2 2 2 4 2 3" xfId="8813" xr:uid="{00000000-0005-0000-0000-00005A9C0000}"/>
    <cellStyle name="Normal 2 2 2 4 2 3 2" xfId="20114" xr:uid="{00000000-0005-0000-0000-00005B9C0000}"/>
    <cellStyle name="Normal 2 2 2 4 2 3 2 2" xfId="42716" xr:uid="{00000000-0005-0000-0000-00005C9C0000}"/>
    <cellStyle name="Normal 2 2 2 4 2 3 3" xfId="31415" xr:uid="{00000000-0005-0000-0000-00005D9C0000}"/>
    <cellStyle name="Normal 2 2 2 4 2 4" xfId="14464" xr:uid="{00000000-0005-0000-0000-00005E9C0000}"/>
    <cellStyle name="Normal 2 2 2 4 2 4 2" xfId="37066" xr:uid="{00000000-0005-0000-0000-00005F9C0000}"/>
    <cellStyle name="Normal 2 2 2 4 2 5" xfId="25765" xr:uid="{00000000-0005-0000-0000-0000609C0000}"/>
    <cellStyle name="Normal 2 2 2 4 3" xfId="4761" xr:uid="{00000000-0005-0000-0000-0000619C0000}"/>
    <cellStyle name="Normal 2 2 2 4 3 2" xfId="10411" xr:uid="{00000000-0005-0000-0000-0000629C0000}"/>
    <cellStyle name="Normal 2 2 2 4 3 2 2" xfId="21712" xr:uid="{00000000-0005-0000-0000-0000639C0000}"/>
    <cellStyle name="Normal 2 2 2 4 3 2 2 2" xfId="44314" xr:uid="{00000000-0005-0000-0000-0000649C0000}"/>
    <cellStyle name="Normal 2 2 2 4 3 2 3" xfId="33013" xr:uid="{00000000-0005-0000-0000-0000659C0000}"/>
    <cellStyle name="Normal 2 2 2 4 3 3" xfId="16062" xr:uid="{00000000-0005-0000-0000-0000669C0000}"/>
    <cellStyle name="Normal 2 2 2 4 3 3 2" xfId="38664" xr:uid="{00000000-0005-0000-0000-0000679C0000}"/>
    <cellStyle name="Normal 2 2 2 4 3 4" xfId="27363" xr:uid="{00000000-0005-0000-0000-0000689C0000}"/>
    <cellStyle name="Normal 2 2 2 4 4" xfId="6948" xr:uid="{00000000-0005-0000-0000-0000699C0000}"/>
    <cellStyle name="Normal 2 2 2 4 4 2" xfId="18249" xr:uid="{00000000-0005-0000-0000-00006A9C0000}"/>
    <cellStyle name="Normal 2 2 2 4 4 2 2" xfId="40851" xr:uid="{00000000-0005-0000-0000-00006B9C0000}"/>
    <cellStyle name="Normal 2 2 2 4 4 3" xfId="29550" xr:uid="{00000000-0005-0000-0000-00006C9C0000}"/>
    <cellStyle name="Normal 2 2 2 4 5" xfId="12599" xr:uid="{00000000-0005-0000-0000-00006D9C0000}"/>
    <cellStyle name="Normal 2 2 2 4 5 2" xfId="35201" xr:uid="{00000000-0005-0000-0000-00006E9C0000}"/>
    <cellStyle name="Normal 2 2 2 4 6" xfId="23900" xr:uid="{00000000-0005-0000-0000-00006F9C0000}"/>
    <cellStyle name="Normal 2 2 2 5" xfId="2081" xr:uid="{00000000-0005-0000-0000-0000709C0000}"/>
    <cellStyle name="Normal 2 2 2 5 2" xfId="3847" xr:uid="{00000000-0005-0000-0000-0000719C0000}"/>
    <cellStyle name="Normal 2 2 2 5 2 2" xfId="9555" xr:uid="{00000000-0005-0000-0000-0000729C0000}"/>
    <cellStyle name="Normal 2 2 2 5 2 2 2" xfId="20856" xr:uid="{00000000-0005-0000-0000-0000739C0000}"/>
    <cellStyle name="Normal 2 2 2 5 2 2 2 2" xfId="43458" xr:uid="{00000000-0005-0000-0000-0000749C0000}"/>
    <cellStyle name="Normal 2 2 2 5 2 2 3" xfId="32157" xr:uid="{00000000-0005-0000-0000-0000759C0000}"/>
    <cellStyle name="Normal 2 2 2 5 2 3" xfId="15206" xr:uid="{00000000-0005-0000-0000-0000769C0000}"/>
    <cellStyle name="Normal 2 2 2 5 2 3 2" xfId="37808" xr:uid="{00000000-0005-0000-0000-0000779C0000}"/>
    <cellStyle name="Normal 2 2 2 5 2 4" xfId="26507" xr:uid="{00000000-0005-0000-0000-0000789C0000}"/>
    <cellStyle name="Normal 2 2 2 5 3" xfId="5371" xr:uid="{00000000-0005-0000-0000-0000799C0000}"/>
    <cellStyle name="Normal 2 2 2 5 3 2" xfId="11021" xr:uid="{00000000-0005-0000-0000-00007A9C0000}"/>
    <cellStyle name="Normal 2 2 2 5 3 2 2" xfId="22322" xr:uid="{00000000-0005-0000-0000-00007B9C0000}"/>
    <cellStyle name="Normal 2 2 2 5 3 2 2 2" xfId="44924" xr:uid="{00000000-0005-0000-0000-00007C9C0000}"/>
    <cellStyle name="Normal 2 2 2 5 3 2 3" xfId="33623" xr:uid="{00000000-0005-0000-0000-00007D9C0000}"/>
    <cellStyle name="Normal 2 2 2 5 3 3" xfId="16672" xr:uid="{00000000-0005-0000-0000-00007E9C0000}"/>
    <cellStyle name="Normal 2 2 2 5 3 3 2" xfId="39274" xr:uid="{00000000-0005-0000-0000-00007F9C0000}"/>
    <cellStyle name="Normal 2 2 2 5 3 4" xfId="27973" xr:uid="{00000000-0005-0000-0000-0000809C0000}"/>
    <cellStyle name="Normal 2 2 2 5 4" xfId="7937" xr:uid="{00000000-0005-0000-0000-0000819C0000}"/>
    <cellStyle name="Normal 2 2 2 5 4 2" xfId="19238" xr:uid="{00000000-0005-0000-0000-0000829C0000}"/>
    <cellStyle name="Normal 2 2 2 5 4 2 2" xfId="41840" xr:uid="{00000000-0005-0000-0000-0000839C0000}"/>
    <cellStyle name="Normal 2 2 2 5 4 3" xfId="30539" xr:uid="{00000000-0005-0000-0000-0000849C0000}"/>
    <cellStyle name="Normal 2 2 2 5 5" xfId="13588" xr:uid="{00000000-0005-0000-0000-0000859C0000}"/>
    <cellStyle name="Normal 2 2 2 5 5 2" xfId="36190" xr:uid="{00000000-0005-0000-0000-0000869C0000}"/>
    <cellStyle name="Normal 2 2 2 5 6" xfId="24889" xr:uid="{00000000-0005-0000-0000-0000879C0000}"/>
    <cellStyle name="Normal 2 2 2 6" xfId="2350" xr:uid="{00000000-0005-0000-0000-0000889C0000}"/>
    <cellStyle name="Normal 2 2 2 6 2" xfId="8186" xr:uid="{00000000-0005-0000-0000-0000899C0000}"/>
    <cellStyle name="Normal 2 2 2 6 2 2" xfId="19487" xr:uid="{00000000-0005-0000-0000-00008A9C0000}"/>
    <cellStyle name="Normal 2 2 2 6 2 2 2" xfId="42089" xr:uid="{00000000-0005-0000-0000-00008B9C0000}"/>
    <cellStyle name="Normal 2 2 2 6 2 3" xfId="30788" xr:uid="{00000000-0005-0000-0000-00008C9C0000}"/>
    <cellStyle name="Normal 2 2 2 6 3" xfId="13837" xr:uid="{00000000-0005-0000-0000-00008D9C0000}"/>
    <cellStyle name="Normal 2 2 2 6 3 2" xfId="36439" xr:uid="{00000000-0005-0000-0000-00008E9C0000}"/>
    <cellStyle name="Normal 2 2 2 6 4" xfId="25138" xr:uid="{00000000-0005-0000-0000-00008F9C0000}"/>
    <cellStyle name="Normal 2 2 2 7" xfId="4137" xr:uid="{00000000-0005-0000-0000-0000909C0000}"/>
    <cellStyle name="Normal 2 2 2 7 2" xfId="9787" xr:uid="{00000000-0005-0000-0000-0000919C0000}"/>
    <cellStyle name="Normal 2 2 2 7 2 2" xfId="21088" xr:uid="{00000000-0005-0000-0000-0000929C0000}"/>
    <cellStyle name="Normal 2 2 2 7 2 2 2" xfId="43690" xr:uid="{00000000-0005-0000-0000-0000939C0000}"/>
    <cellStyle name="Normal 2 2 2 7 2 3" xfId="32389" xr:uid="{00000000-0005-0000-0000-0000949C0000}"/>
    <cellStyle name="Normal 2 2 2 7 3" xfId="15438" xr:uid="{00000000-0005-0000-0000-0000959C0000}"/>
    <cellStyle name="Normal 2 2 2 7 3 2" xfId="38040" xr:uid="{00000000-0005-0000-0000-0000969C0000}"/>
    <cellStyle name="Normal 2 2 2 7 4" xfId="26739" xr:uid="{00000000-0005-0000-0000-0000979C0000}"/>
    <cellStyle name="Normal 2 2 2 8" xfId="6588" xr:uid="{00000000-0005-0000-0000-0000989C0000}"/>
    <cellStyle name="Normal 2 2 2 8 2" xfId="17889" xr:uid="{00000000-0005-0000-0000-0000999C0000}"/>
    <cellStyle name="Normal 2 2 2 8 2 2" xfId="40491" xr:uid="{00000000-0005-0000-0000-00009A9C0000}"/>
    <cellStyle name="Normal 2 2 2 8 3" xfId="29190" xr:uid="{00000000-0005-0000-0000-00009B9C0000}"/>
    <cellStyle name="Normal 2 2 2 9" xfId="12239" xr:uid="{00000000-0005-0000-0000-00009C9C0000}"/>
    <cellStyle name="Normal 2 2 2 9 2" xfId="34841" xr:uid="{00000000-0005-0000-0000-00009D9C0000}"/>
    <cellStyle name="Normal 2 2 3" xfId="594" xr:uid="{00000000-0005-0000-0000-00009E9C0000}"/>
    <cellStyle name="Normal 2 2 3 2" xfId="1167" xr:uid="{00000000-0005-0000-0000-00009F9C0000}"/>
    <cellStyle name="Normal 2 2 3 2 2" xfId="2086" xr:uid="{00000000-0005-0000-0000-0000A09C0000}"/>
    <cellStyle name="Normal 2 2 3 2 2 2" xfId="3235" xr:uid="{00000000-0005-0000-0000-0000A19C0000}"/>
    <cellStyle name="Normal 2 2 3 2 2 2 2" xfId="6207" xr:uid="{00000000-0005-0000-0000-0000A29C0000}"/>
    <cellStyle name="Normal 2 2 3 2 2 2 2 2" xfId="11857" xr:uid="{00000000-0005-0000-0000-0000A39C0000}"/>
    <cellStyle name="Normal 2 2 3 2 2 2 2 2 2" xfId="23158" xr:uid="{00000000-0005-0000-0000-0000A49C0000}"/>
    <cellStyle name="Normal 2 2 3 2 2 2 2 2 2 2" xfId="45760" xr:uid="{00000000-0005-0000-0000-0000A59C0000}"/>
    <cellStyle name="Normal 2 2 3 2 2 2 2 2 3" xfId="34459" xr:uid="{00000000-0005-0000-0000-0000A69C0000}"/>
    <cellStyle name="Normal 2 2 3 2 2 2 2 3" xfId="17508" xr:uid="{00000000-0005-0000-0000-0000A79C0000}"/>
    <cellStyle name="Normal 2 2 3 2 2 2 2 3 2" xfId="40110" xr:uid="{00000000-0005-0000-0000-0000A89C0000}"/>
    <cellStyle name="Normal 2 2 3 2 2 2 2 4" xfId="28809" xr:uid="{00000000-0005-0000-0000-0000A99C0000}"/>
    <cellStyle name="Normal 2 2 3 2 2 2 3" xfId="9025" xr:uid="{00000000-0005-0000-0000-0000AA9C0000}"/>
    <cellStyle name="Normal 2 2 3 2 2 2 3 2" xfId="20326" xr:uid="{00000000-0005-0000-0000-0000AB9C0000}"/>
    <cellStyle name="Normal 2 2 3 2 2 2 3 2 2" xfId="42928" xr:uid="{00000000-0005-0000-0000-0000AC9C0000}"/>
    <cellStyle name="Normal 2 2 3 2 2 2 3 3" xfId="31627" xr:uid="{00000000-0005-0000-0000-0000AD9C0000}"/>
    <cellStyle name="Normal 2 2 3 2 2 2 4" xfId="14676" xr:uid="{00000000-0005-0000-0000-0000AE9C0000}"/>
    <cellStyle name="Normal 2 2 3 2 2 2 4 2" xfId="37278" xr:uid="{00000000-0005-0000-0000-0000AF9C0000}"/>
    <cellStyle name="Normal 2 2 3 2 2 2 5" xfId="25977" xr:uid="{00000000-0005-0000-0000-0000B09C0000}"/>
    <cellStyle name="Normal 2 2 3 2 2 3" xfId="4973" xr:uid="{00000000-0005-0000-0000-0000B19C0000}"/>
    <cellStyle name="Normal 2 2 3 2 2 3 2" xfId="10623" xr:uid="{00000000-0005-0000-0000-0000B29C0000}"/>
    <cellStyle name="Normal 2 2 3 2 2 3 2 2" xfId="21924" xr:uid="{00000000-0005-0000-0000-0000B39C0000}"/>
    <cellStyle name="Normal 2 2 3 2 2 3 2 2 2" xfId="44526" xr:uid="{00000000-0005-0000-0000-0000B49C0000}"/>
    <cellStyle name="Normal 2 2 3 2 2 3 2 3" xfId="33225" xr:uid="{00000000-0005-0000-0000-0000B59C0000}"/>
    <cellStyle name="Normal 2 2 3 2 2 3 3" xfId="16274" xr:uid="{00000000-0005-0000-0000-0000B69C0000}"/>
    <cellStyle name="Normal 2 2 3 2 2 3 3 2" xfId="38876" xr:uid="{00000000-0005-0000-0000-0000B79C0000}"/>
    <cellStyle name="Normal 2 2 3 2 2 3 4" xfId="27575" xr:uid="{00000000-0005-0000-0000-0000B89C0000}"/>
    <cellStyle name="Normal 2 2 3 2 2 4" xfId="7942" xr:uid="{00000000-0005-0000-0000-0000B99C0000}"/>
    <cellStyle name="Normal 2 2 3 2 2 4 2" xfId="19243" xr:uid="{00000000-0005-0000-0000-0000BA9C0000}"/>
    <cellStyle name="Normal 2 2 3 2 2 4 2 2" xfId="41845" xr:uid="{00000000-0005-0000-0000-0000BB9C0000}"/>
    <cellStyle name="Normal 2 2 3 2 2 4 3" xfId="30544" xr:uid="{00000000-0005-0000-0000-0000BC9C0000}"/>
    <cellStyle name="Normal 2 2 3 2 2 5" xfId="13593" xr:uid="{00000000-0005-0000-0000-0000BD9C0000}"/>
    <cellStyle name="Normal 2 2 3 2 2 5 2" xfId="36195" xr:uid="{00000000-0005-0000-0000-0000BE9C0000}"/>
    <cellStyle name="Normal 2 2 3 2 2 6" xfId="24894" xr:uid="{00000000-0005-0000-0000-0000BF9C0000}"/>
    <cellStyle name="Normal 2 2 3 2 3" xfId="2564" xr:uid="{00000000-0005-0000-0000-0000C09C0000}"/>
    <cellStyle name="Normal 2 2 3 2 3 2" xfId="5583" xr:uid="{00000000-0005-0000-0000-0000C19C0000}"/>
    <cellStyle name="Normal 2 2 3 2 3 2 2" xfId="11233" xr:uid="{00000000-0005-0000-0000-0000C29C0000}"/>
    <cellStyle name="Normal 2 2 3 2 3 2 2 2" xfId="22534" xr:uid="{00000000-0005-0000-0000-0000C39C0000}"/>
    <cellStyle name="Normal 2 2 3 2 3 2 2 2 2" xfId="45136" xr:uid="{00000000-0005-0000-0000-0000C49C0000}"/>
    <cellStyle name="Normal 2 2 3 2 3 2 2 3" xfId="33835" xr:uid="{00000000-0005-0000-0000-0000C59C0000}"/>
    <cellStyle name="Normal 2 2 3 2 3 2 3" xfId="16884" xr:uid="{00000000-0005-0000-0000-0000C69C0000}"/>
    <cellStyle name="Normal 2 2 3 2 3 2 3 2" xfId="39486" xr:uid="{00000000-0005-0000-0000-0000C79C0000}"/>
    <cellStyle name="Normal 2 2 3 2 3 2 4" xfId="28185" xr:uid="{00000000-0005-0000-0000-0000C89C0000}"/>
    <cellStyle name="Normal 2 2 3 2 3 3" xfId="8400" xr:uid="{00000000-0005-0000-0000-0000C99C0000}"/>
    <cellStyle name="Normal 2 2 3 2 3 3 2" xfId="19701" xr:uid="{00000000-0005-0000-0000-0000CA9C0000}"/>
    <cellStyle name="Normal 2 2 3 2 3 3 2 2" xfId="42303" xr:uid="{00000000-0005-0000-0000-0000CB9C0000}"/>
    <cellStyle name="Normal 2 2 3 2 3 3 3" xfId="31002" xr:uid="{00000000-0005-0000-0000-0000CC9C0000}"/>
    <cellStyle name="Normal 2 2 3 2 3 4" xfId="14051" xr:uid="{00000000-0005-0000-0000-0000CD9C0000}"/>
    <cellStyle name="Normal 2 2 3 2 3 4 2" xfId="36653" xr:uid="{00000000-0005-0000-0000-0000CE9C0000}"/>
    <cellStyle name="Normal 2 2 3 2 3 5" xfId="25352" xr:uid="{00000000-0005-0000-0000-0000CF9C0000}"/>
    <cellStyle name="Normal 2 2 3 2 4" xfId="4349" xr:uid="{00000000-0005-0000-0000-0000D09C0000}"/>
    <cellStyle name="Normal 2 2 3 2 4 2" xfId="9999" xr:uid="{00000000-0005-0000-0000-0000D19C0000}"/>
    <cellStyle name="Normal 2 2 3 2 4 2 2" xfId="21300" xr:uid="{00000000-0005-0000-0000-0000D29C0000}"/>
    <cellStyle name="Normal 2 2 3 2 4 2 2 2" xfId="43902" xr:uid="{00000000-0005-0000-0000-0000D39C0000}"/>
    <cellStyle name="Normal 2 2 3 2 4 2 3" xfId="32601" xr:uid="{00000000-0005-0000-0000-0000D49C0000}"/>
    <cellStyle name="Normal 2 2 3 2 4 3" xfId="15650" xr:uid="{00000000-0005-0000-0000-0000D59C0000}"/>
    <cellStyle name="Normal 2 2 3 2 4 3 2" xfId="38252" xr:uid="{00000000-0005-0000-0000-0000D69C0000}"/>
    <cellStyle name="Normal 2 2 3 2 4 4" xfId="26951" xr:uid="{00000000-0005-0000-0000-0000D79C0000}"/>
    <cellStyle name="Normal 2 2 3 2 5" xfId="7146" xr:uid="{00000000-0005-0000-0000-0000D89C0000}"/>
    <cellStyle name="Normal 2 2 3 2 5 2" xfId="18447" xr:uid="{00000000-0005-0000-0000-0000D99C0000}"/>
    <cellStyle name="Normal 2 2 3 2 5 2 2" xfId="41049" xr:uid="{00000000-0005-0000-0000-0000DA9C0000}"/>
    <cellStyle name="Normal 2 2 3 2 5 3" xfId="29748" xr:uid="{00000000-0005-0000-0000-0000DB9C0000}"/>
    <cellStyle name="Normal 2 2 3 2 6" xfId="12797" xr:uid="{00000000-0005-0000-0000-0000DC9C0000}"/>
    <cellStyle name="Normal 2 2 3 2 6 2" xfId="35399" xr:uid="{00000000-0005-0000-0000-0000DD9C0000}"/>
    <cellStyle name="Normal 2 2 3 2 7" xfId="24098" xr:uid="{00000000-0005-0000-0000-0000DE9C0000}"/>
    <cellStyle name="Normal 2 2 3 3" xfId="847" xr:uid="{00000000-0005-0000-0000-0000DF9C0000}"/>
    <cellStyle name="Normal 2 2 3 3 2" xfId="2928" xr:uid="{00000000-0005-0000-0000-0000E09C0000}"/>
    <cellStyle name="Normal 2 2 3 3 2 2" xfId="5900" xr:uid="{00000000-0005-0000-0000-0000E19C0000}"/>
    <cellStyle name="Normal 2 2 3 3 2 2 2" xfId="11550" xr:uid="{00000000-0005-0000-0000-0000E29C0000}"/>
    <cellStyle name="Normal 2 2 3 3 2 2 2 2" xfId="22851" xr:uid="{00000000-0005-0000-0000-0000E39C0000}"/>
    <cellStyle name="Normal 2 2 3 3 2 2 2 2 2" xfId="45453" xr:uid="{00000000-0005-0000-0000-0000E49C0000}"/>
    <cellStyle name="Normal 2 2 3 3 2 2 2 3" xfId="34152" xr:uid="{00000000-0005-0000-0000-0000E59C0000}"/>
    <cellStyle name="Normal 2 2 3 3 2 2 3" xfId="17201" xr:uid="{00000000-0005-0000-0000-0000E69C0000}"/>
    <cellStyle name="Normal 2 2 3 3 2 2 3 2" xfId="39803" xr:uid="{00000000-0005-0000-0000-0000E79C0000}"/>
    <cellStyle name="Normal 2 2 3 3 2 2 4" xfId="28502" xr:uid="{00000000-0005-0000-0000-0000E89C0000}"/>
    <cellStyle name="Normal 2 2 3 3 2 3" xfId="8718" xr:uid="{00000000-0005-0000-0000-0000E99C0000}"/>
    <cellStyle name="Normal 2 2 3 3 2 3 2" xfId="20019" xr:uid="{00000000-0005-0000-0000-0000EA9C0000}"/>
    <cellStyle name="Normal 2 2 3 3 2 3 2 2" xfId="42621" xr:uid="{00000000-0005-0000-0000-0000EB9C0000}"/>
    <cellStyle name="Normal 2 2 3 3 2 3 3" xfId="31320" xr:uid="{00000000-0005-0000-0000-0000EC9C0000}"/>
    <cellStyle name="Normal 2 2 3 3 2 4" xfId="14369" xr:uid="{00000000-0005-0000-0000-0000ED9C0000}"/>
    <cellStyle name="Normal 2 2 3 3 2 4 2" xfId="36971" xr:uid="{00000000-0005-0000-0000-0000EE9C0000}"/>
    <cellStyle name="Normal 2 2 3 3 2 5" xfId="25670" xr:uid="{00000000-0005-0000-0000-0000EF9C0000}"/>
    <cellStyle name="Normal 2 2 3 3 3" xfId="4666" xr:uid="{00000000-0005-0000-0000-0000F09C0000}"/>
    <cellStyle name="Normal 2 2 3 3 3 2" xfId="10316" xr:uid="{00000000-0005-0000-0000-0000F19C0000}"/>
    <cellStyle name="Normal 2 2 3 3 3 2 2" xfId="21617" xr:uid="{00000000-0005-0000-0000-0000F29C0000}"/>
    <cellStyle name="Normal 2 2 3 3 3 2 2 2" xfId="44219" xr:uid="{00000000-0005-0000-0000-0000F39C0000}"/>
    <cellStyle name="Normal 2 2 3 3 3 2 3" xfId="32918" xr:uid="{00000000-0005-0000-0000-0000F49C0000}"/>
    <cellStyle name="Normal 2 2 3 3 3 3" xfId="15967" xr:uid="{00000000-0005-0000-0000-0000F59C0000}"/>
    <cellStyle name="Normal 2 2 3 3 3 3 2" xfId="38569" xr:uid="{00000000-0005-0000-0000-0000F69C0000}"/>
    <cellStyle name="Normal 2 2 3 3 3 4" xfId="27268" xr:uid="{00000000-0005-0000-0000-0000F79C0000}"/>
    <cellStyle name="Normal 2 2 3 3 4" xfId="6852" xr:uid="{00000000-0005-0000-0000-0000F89C0000}"/>
    <cellStyle name="Normal 2 2 3 3 4 2" xfId="18153" xr:uid="{00000000-0005-0000-0000-0000F99C0000}"/>
    <cellStyle name="Normal 2 2 3 3 4 2 2" xfId="40755" xr:uid="{00000000-0005-0000-0000-0000FA9C0000}"/>
    <cellStyle name="Normal 2 2 3 3 4 3" xfId="29454" xr:uid="{00000000-0005-0000-0000-0000FB9C0000}"/>
    <cellStyle name="Normal 2 2 3 3 5" xfId="12503" xr:uid="{00000000-0005-0000-0000-0000FC9C0000}"/>
    <cellStyle name="Normal 2 2 3 3 5 2" xfId="35105" xr:uid="{00000000-0005-0000-0000-0000FD9C0000}"/>
    <cellStyle name="Normal 2 2 3 3 6" xfId="23804" xr:uid="{00000000-0005-0000-0000-0000FE9C0000}"/>
    <cellStyle name="Normal 2 2 3 4" xfId="2085" xr:uid="{00000000-0005-0000-0000-0000FF9C0000}"/>
    <cellStyle name="Normal 2 2 3 4 2" xfId="3849" xr:uid="{00000000-0005-0000-0000-0000009D0000}"/>
    <cellStyle name="Normal 2 2 3 4 2 2" xfId="9557" xr:uid="{00000000-0005-0000-0000-0000019D0000}"/>
    <cellStyle name="Normal 2 2 3 4 2 2 2" xfId="20858" xr:uid="{00000000-0005-0000-0000-0000029D0000}"/>
    <cellStyle name="Normal 2 2 3 4 2 2 2 2" xfId="43460" xr:uid="{00000000-0005-0000-0000-0000039D0000}"/>
    <cellStyle name="Normal 2 2 3 4 2 2 3" xfId="32159" xr:uid="{00000000-0005-0000-0000-0000049D0000}"/>
    <cellStyle name="Normal 2 2 3 4 2 3" xfId="15208" xr:uid="{00000000-0005-0000-0000-0000059D0000}"/>
    <cellStyle name="Normal 2 2 3 4 2 3 2" xfId="37810" xr:uid="{00000000-0005-0000-0000-0000069D0000}"/>
    <cellStyle name="Normal 2 2 3 4 2 4" xfId="26509" xr:uid="{00000000-0005-0000-0000-0000079D0000}"/>
    <cellStyle name="Normal 2 2 3 4 3" xfId="5276" xr:uid="{00000000-0005-0000-0000-0000089D0000}"/>
    <cellStyle name="Normal 2 2 3 4 3 2" xfId="10926" xr:uid="{00000000-0005-0000-0000-0000099D0000}"/>
    <cellStyle name="Normal 2 2 3 4 3 2 2" xfId="22227" xr:uid="{00000000-0005-0000-0000-00000A9D0000}"/>
    <cellStyle name="Normal 2 2 3 4 3 2 2 2" xfId="44829" xr:uid="{00000000-0005-0000-0000-00000B9D0000}"/>
    <cellStyle name="Normal 2 2 3 4 3 2 3" xfId="33528" xr:uid="{00000000-0005-0000-0000-00000C9D0000}"/>
    <cellStyle name="Normal 2 2 3 4 3 3" xfId="16577" xr:uid="{00000000-0005-0000-0000-00000D9D0000}"/>
    <cellStyle name="Normal 2 2 3 4 3 3 2" xfId="39179" xr:uid="{00000000-0005-0000-0000-00000E9D0000}"/>
    <cellStyle name="Normal 2 2 3 4 3 4" xfId="27878" xr:uid="{00000000-0005-0000-0000-00000F9D0000}"/>
    <cellStyle name="Normal 2 2 3 4 4" xfId="7941" xr:uid="{00000000-0005-0000-0000-0000109D0000}"/>
    <cellStyle name="Normal 2 2 3 4 4 2" xfId="19242" xr:uid="{00000000-0005-0000-0000-0000119D0000}"/>
    <cellStyle name="Normal 2 2 3 4 4 2 2" xfId="41844" xr:uid="{00000000-0005-0000-0000-0000129D0000}"/>
    <cellStyle name="Normal 2 2 3 4 4 3" xfId="30543" xr:uid="{00000000-0005-0000-0000-0000139D0000}"/>
    <cellStyle name="Normal 2 2 3 4 5" xfId="13592" xr:uid="{00000000-0005-0000-0000-0000149D0000}"/>
    <cellStyle name="Normal 2 2 3 4 5 2" xfId="36194" xr:uid="{00000000-0005-0000-0000-0000159D0000}"/>
    <cellStyle name="Normal 2 2 3 4 6" xfId="24893" xr:uid="{00000000-0005-0000-0000-0000169D0000}"/>
    <cellStyle name="Normal 2 2 3 5" xfId="2249" xr:uid="{00000000-0005-0000-0000-0000179D0000}"/>
    <cellStyle name="Normal 2 2 3 5 2" xfId="8090" xr:uid="{00000000-0005-0000-0000-0000189D0000}"/>
    <cellStyle name="Normal 2 2 3 5 2 2" xfId="19391" xr:uid="{00000000-0005-0000-0000-0000199D0000}"/>
    <cellStyle name="Normal 2 2 3 5 2 2 2" xfId="41993" xr:uid="{00000000-0005-0000-0000-00001A9D0000}"/>
    <cellStyle name="Normal 2 2 3 5 2 3" xfId="30692" xr:uid="{00000000-0005-0000-0000-00001B9D0000}"/>
    <cellStyle name="Normal 2 2 3 5 3" xfId="13741" xr:uid="{00000000-0005-0000-0000-00001C9D0000}"/>
    <cellStyle name="Normal 2 2 3 5 3 2" xfId="36343" xr:uid="{00000000-0005-0000-0000-00001D9D0000}"/>
    <cellStyle name="Normal 2 2 3 5 4" xfId="25042" xr:uid="{00000000-0005-0000-0000-00001E9D0000}"/>
    <cellStyle name="Normal 2 2 3 6" xfId="4042" xr:uid="{00000000-0005-0000-0000-00001F9D0000}"/>
    <cellStyle name="Normal 2 2 3 6 2" xfId="9692" xr:uid="{00000000-0005-0000-0000-0000209D0000}"/>
    <cellStyle name="Normal 2 2 3 6 2 2" xfId="20993" xr:uid="{00000000-0005-0000-0000-0000219D0000}"/>
    <cellStyle name="Normal 2 2 3 6 2 2 2" xfId="43595" xr:uid="{00000000-0005-0000-0000-0000229D0000}"/>
    <cellStyle name="Normal 2 2 3 6 2 3" xfId="32294" xr:uid="{00000000-0005-0000-0000-0000239D0000}"/>
    <cellStyle name="Normal 2 2 3 6 3" xfId="15343" xr:uid="{00000000-0005-0000-0000-0000249D0000}"/>
    <cellStyle name="Normal 2 2 3 6 3 2" xfId="37945" xr:uid="{00000000-0005-0000-0000-0000259D0000}"/>
    <cellStyle name="Normal 2 2 3 6 4" xfId="26644" xr:uid="{00000000-0005-0000-0000-0000269D0000}"/>
    <cellStyle name="Normal 2 2 3 7" xfId="6660" xr:uid="{00000000-0005-0000-0000-0000279D0000}"/>
    <cellStyle name="Normal 2 2 3 7 2" xfId="17961" xr:uid="{00000000-0005-0000-0000-0000289D0000}"/>
    <cellStyle name="Normal 2 2 3 7 2 2" xfId="40563" xr:uid="{00000000-0005-0000-0000-0000299D0000}"/>
    <cellStyle name="Normal 2 2 3 7 3" xfId="29262" xr:uid="{00000000-0005-0000-0000-00002A9D0000}"/>
    <cellStyle name="Normal 2 2 3 8" xfId="12311" xr:uid="{00000000-0005-0000-0000-00002B9D0000}"/>
    <cellStyle name="Normal 2 2 3 8 2" xfId="34913" xr:uid="{00000000-0005-0000-0000-00002C9D0000}"/>
    <cellStyle name="Normal 2 2 3 9" xfId="23612" xr:uid="{00000000-0005-0000-0000-00002D9D0000}"/>
    <cellStyle name="Normal 2 2 4" xfId="507" xr:uid="{00000000-0005-0000-0000-00002E9D0000}"/>
    <cellStyle name="Normal 2 2 4 2" xfId="1278" xr:uid="{00000000-0005-0000-0000-00002F9D0000}"/>
    <cellStyle name="Normal 2 2 4 2 2" xfId="2088" xr:uid="{00000000-0005-0000-0000-0000309D0000}"/>
    <cellStyle name="Normal 2 2 4 2 2 2" xfId="3347" xr:uid="{00000000-0005-0000-0000-0000319D0000}"/>
    <cellStyle name="Normal 2 2 4 2 2 2 2" xfId="6319" xr:uid="{00000000-0005-0000-0000-0000329D0000}"/>
    <cellStyle name="Normal 2 2 4 2 2 2 2 2" xfId="11969" xr:uid="{00000000-0005-0000-0000-0000339D0000}"/>
    <cellStyle name="Normal 2 2 4 2 2 2 2 2 2" xfId="23270" xr:uid="{00000000-0005-0000-0000-0000349D0000}"/>
    <cellStyle name="Normal 2 2 4 2 2 2 2 2 2 2" xfId="45872" xr:uid="{00000000-0005-0000-0000-0000359D0000}"/>
    <cellStyle name="Normal 2 2 4 2 2 2 2 2 3" xfId="34571" xr:uid="{00000000-0005-0000-0000-0000369D0000}"/>
    <cellStyle name="Normal 2 2 4 2 2 2 2 3" xfId="17620" xr:uid="{00000000-0005-0000-0000-0000379D0000}"/>
    <cellStyle name="Normal 2 2 4 2 2 2 2 3 2" xfId="40222" xr:uid="{00000000-0005-0000-0000-0000389D0000}"/>
    <cellStyle name="Normal 2 2 4 2 2 2 2 4" xfId="28921" xr:uid="{00000000-0005-0000-0000-0000399D0000}"/>
    <cellStyle name="Normal 2 2 4 2 2 2 3" xfId="9137" xr:uid="{00000000-0005-0000-0000-00003A9D0000}"/>
    <cellStyle name="Normal 2 2 4 2 2 2 3 2" xfId="20438" xr:uid="{00000000-0005-0000-0000-00003B9D0000}"/>
    <cellStyle name="Normal 2 2 4 2 2 2 3 2 2" xfId="43040" xr:uid="{00000000-0005-0000-0000-00003C9D0000}"/>
    <cellStyle name="Normal 2 2 4 2 2 2 3 3" xfId="31739" xr:uid="{00000000-0005-0000-0000-00003D9D0000}"/>
    <cellStyle name="Normal 2 2 4 2 2 2 4" xfId="14788" xr:uid="{00000000-0005-0000-0000-00003E9D0000}"/>
    <cellStyle name="Normal 2 2 4 2 2 2 4 2" xfId="37390" xr:uid="{00000000-0005-0000-0000-00003F9D0000}"/>
    <cellStyle name="Normal 2 2 4 2 2 2 5" xfId="26089" xr:uid="{00000000-0005-0000-0000-0000409D0000}"/>
    <cellStyle name="Normal 2 2 4 2 2 3" xfId="5085" xr:uid="{00000000-0005-0000-0000-0000419D0000}"/>
    <cellStyle name="Normal 2 2 4 2 2 3 2" xfId="10735" xr:uid="{00000000-0005-0000-0000-0000429D0000}"/>
    <cellStyle name="Normal 2 2 4 2 2 3 2 2" xfId="22036" xr:uid="{00000000-0005-0000-0000-0000439D0000}"/>
    <cellStyle name="Normal 2 2 4 2 2 3 2 2 2" xfId="44638" xr:uid="{00000000-0005-0000-0000-0000449D0000}"/>
    <cellStyle name="Normal 2 2 4 2 2 3 2 3" xfId="33337" xr:uid="{00000000-0005-0000-0000-0000459D0000}"/>
    <cellStyle name="Normal 2 2 4 2 2 3 3" xfId="16386" xr:uid="{00000000-0005-0000-0000-0000469D0000}"/>
    <cellStyle name="Normal 2 2 4 2 2 3 3 2" xfId="38988" xr:uid="{00000000-0005-0000-0000-0000479D0000}"/>
    <cellStyle name="Normal 2 2 4 2 2 3 4" xfId="27687" xr:uid="{00000000-0005-0000-0000-0000489D0000}"/>
    <cellStyle name="Normal 2 2 4 2 2 4" xfId="7944" xr:uid="{00000000-0005-0000-0000-0000499D0000}"/>
    <cellStyle name="Normal 2 2 4 2 2 4 2" xfId="19245" xr:uid="{00000000-0005-0000-0000-00004A9D0000}"/>
    <cellStyle name="Normal 2 2 4 2 2 4 2 2" xfId="41847" xr:uid="{00000000-0005-0000-0000-00004B9D0000}"/>
    <cellStyle name="Normal 2 2 4 2 2 4 3" xfId="30546" xr:uid="{00000000-0005-0000-0000-00004C9D0000}"/>
    <cellStyle name="Normal 2 2 4 2 2 5" xfId="13595" xr:uid="{00000000-0005-0000-0000-00004D9D0000}"/>
    <cellStyle name="Normal 2 2 4 2 2 5 2" xfId="36197" xr:uid="{00000000-0005-0000-0000-00004E9D0000}"/>
    <cellStyle name="Normal 2 2 4 2 2 6" xfId="24896" xr:uid="{00000000-0005-0000-0000-00004F9D0000}"/>
    <cellStyle name="Normal 2 2 4 2 3" xfId="2676" xr:uid="{00000000-0005-0000-0000-0000509D0000}"/>
    <cellStyle name="Normal 2 2 4 2 3 2" xfId="5695" xr:uid="{00000000-0005-0000-0000-0000519D0000}"/>
    <cellStyle name="Normal 2 2 4 2 3 2 2" xfId="11345" xr:uid="{00000000-0005-0000-0000-0000529D0000}"/>
    <cellStyle name="Normal 2 2 4 2 3 2 2 2" xfId="22646" xr:uid="{00000000-0005-0000-0000-0000539D0000}"/>
    <cellStyle name="Normal 2 2 4 2 3 2 2 2 2" xfId="45248" xr:uid="{00000000-0005-0000-0000-0000549D0000}"/>
    <cellStyle name="Normal 2 2 4 2 3 2 2 3" xfId="33947" xr:uid="{00000000-0005-0000-0000-0000559D0000}"/>
    <cellStyle name="Normal 2 2 4 2 3 2 3" xfId="16996" xr:uid="{00000000-0005-0000-0000-0000569D0000}"/>
    <cellStyle name="Normal 2 2 4 2 3 2 3 2" xfId="39598" xr:uid="{00000000-0005-0000-0000-0000579D0000}"/>
    <cellStyle name="Normal 2 2 4 2 3 2 4" xfId="28297" xr:uid="{00000000-0005-0000-0000-0000589D0000}"/>
    <cellStyle name="Normal 2 2 4 2 3 3" xfId="8512" xr:uid="{00000000-0005-0000-0000-0000599D0000}"/>
    <cellStyle name="Normal 2 2 4 2 3 3 2" xfId="19813" xr:uid="{00000000-0005-0000-0000-00005A9D0000}"/>
    <cellStyle name="Normal 2 2 4 2 3 3 2 2" xfId="42415" xr:uid="{00000000-0005-0000-0000-00005B9D0000}"/>
    <cellStyle name="Normal 2 2 4 2 3 3 3" xfId="31114" xr:uid="{00000000-0005-0000-0000-00005C9D0000}"/>
    <cellStyle name="Normal 2 2 4 2 3 4" xfId="14163" xr:uid="{00000000-0005-0000-0000-00005D9D0000}"/>
    <cellStyle name="Normal 2 2 4 2 3 4 2" xfId="36765" xr:uid="{00000000-0005-0000-0000-00005E9D0000}"/>
    <cellStyle name="Normal 2 2 4 2 3 5" xfId="25464" xr:uid="{00000000-0005-0000-0000-00005F9D0000}"/>
    <cellStyle name="Normal 2 2 4 2 4" xfId="4461" xr:uid="{00000000-0005-0000-0000-0000609D0000}"/>
    <cellStyle name="Normal 2 2 4 2 4 2" xfId="10111" xr:uid="{00000000-0005-0000-0000-0000619D0000}"/>
    <cellStyle name="Normal 2 2 4 2 4 2 2" xfId="21412" xr:uid="{00000000-0005-0000-0000-0000629D0000}"/>
    <cellStyle name="Normal 2 2 4 2 4 2 2 2" xfId="44014" xr:uid="{00000000-0005-0000-0000-0000639D0000}"/>
    <cellStyle name="Normal 2 2 4 2 4 2 3" xfId="32713" xr:uid="{00000000-0005-0000-0000-0000649D0000}"/>
    <cellStyle name="Normal 2 2 4 2 4 3" xfId="15762" xr:uid="{00000000-0005-0000-0000-0000659D0000}"/>
    <cellStyle name="Normal 2 2 4 2 4 3 2" xfId="38364" xr:uid="{00000000-0005-0000-0000-0000669D0000}"/>
    <cellStyle name="Normal 2 2 4 2 4 4" xfId="27063" xr:uid="{00000000-0005-0000-0000-0000679D0000}"/>
    <cellStyle name="Normal 2 2 4 2 5" xfId="7257" xr:uid="{00000000-0005-0000-0000-0000689D0000}"/>
    <cellStyle name="Normal 2 2 4 2 5 2" xfId="18558" xr:uid="{00000000-0005-0000-0000-0000699D0000}"/>
    <cellStyle name="Normal 2 2 4 2 5 2 2" xfId="41160" xr:uid="{00000000-0005-0000-0000-00006A9D0000}"/>
    <cellStyle name="Normal 2 2 4 2 5 3" xfId="29859" xr:uid="{00000000-0005-0000-0000-00006B9D0000}"/>
    <cellStyle name="Normal 2 2 4 2 6" xfId="12908" xr:uid="{00000000-0005-0000-0000-00006C9D0000}"/>
    <cellStyle name="Normal 2 2 4 2 6 2" xfId="35510" xr:uid="{00000000-0005-0000-0000-00006D9D0000}"/>
    <cellStyle name="Normal 2 2 4 2 7" xfId="24209" xr:uid="{00000000-0005-0000-0000-00006E9D0000}"/>
    <cellStyle name="Normal 2 2 4 3" xfId="975" xr:uid="{00000000-0005-0000-0000-00006F9D0000}"/>
    <cellStyle name="Normal 2 2 4 3 2" xfId="3039" xr:uid="{00000000-0005-0000-0000-0000709D0000}"/>
    <cellStyle name="Normal 2 2 4 3 2 2" xfId="6011" xr:uid="{00000000-0005-0000-0000-0000719D0000}"/>
    <cellStyle name="Normal 2 2 4 3 2 2 2" xfId="11661" xr:uid="{00000000-0005-0000-0000-0000729D0000}"/>
    <cellStyle name="Normal 2 2 4 3 2 2 2 2" xfId="22962" xr:uid="{00000000-0005-0000-0000-0000739D0000}"/>
    <cellStyle name="Normal 2 2 4 3 2 2 2 2 2" xfId="45564" xr:uid="{00000000-0005-0000-0000-0000749D0000}"/>
    <cellStyle name="Normal 2 2 4 3 2 2 2 3" xfId="34263" xr:uid="{00000000-0005-0000-0000-0000759D0000}"/>
    <cellStyle name="Normal 2 2 4 3 2 2 3" xfId="17312" xr:uid="{00000000-0005-0000-0000-0000769D0000}"/>
    <cellStyle name="Normal 2 2 4 3 2 2 3 2" xfId="39914" xr:uid="{00000000-0005-0000-0000-0000779D0000}"/>
    <cellStyle name="Normal 2 2 4 3 2 2 4" xfId="28613" xr:uid="{00000000-0005-0000-0000-0000789D0000}"/>
    <cellStyle name="Normal 2 2 4 3 2 3" xfId="8829" xr:uid="{00000000-0005-0000-0000-0000799D0000}"/>
    <cellStyle name="Normal 2 2 4 3 2 3 2" xfId="20130" xr:uid="{00000000-0005-0000-0000-00007A9D0000}"/>
    <cellStyle name="Normal 2 2 4 3 2 3 2 2" xfId="42732" xr:uid="{00000000-0005-0000-0000-00007B9D0000}"/>
    <cellStyle name="Normal 2 2 4 3 2 3 3" xfId="31431" xr:uid="{00000000-0005-0000-0000-00007C9D0000}"/>
    <cellStyle name="Normal 2 2 4 3 2 4" xfId="14480" xr:uid="{00000000-0005-0000-0000-00007D9D0000}"/>
    <cellStyle name="Normal 2 2 4 3 2 4 2" xfId="37082" xr:uid="{00000000-0005-0000-0000-00007E9D0000}"/>
    <cellStyle name="Normal 2 2 4 3 2 5" xfId="25781" xr:uid="{00000000-0005-0000-0000-00007F9D0000}"/>
    <cellStyle name="Normal 2 2 4 3 3" xfId="4777" xr:uid="{00000000-0005-0000-0000-0000809D0000}"/>
    <cellStyle name="Normal 2 2 4 3 3 2" xfId="10427" xr:uid="{00000000-0005-0000-0000-0000819D0000}"/>
    <cellStyle name="Normal 2 2 4 3 3 2 2" xfId="21728" xr:uid="{00000000-0005-0000-0000-0000829D0000}"/>
    <cellStyle name="Normal 2 2 4 3 3 2 2 2" xfId="44330" xr:uid="{00000000-0005-0000-0000-0000839D0000}"/>
    <cellStyle name="Normal 2 2 4 3 3 2 3" xfId="33029" xr:uid="{00000000-0005-0000-0000-0000849D0000}"/>
    <cellStyle name="Normal 2 2 4 3 3 3" xfId="16078" xr:uid="{00000000-0005-0000-0000-0000859D0000}"/>
    <cellStyle name="Normal 2 2 4 3 3 3 2" xfId="38680" xr:uid="{00000000-0005-0000-0000-0000869D0000}"/>
    <cellStyle name="Normal 2 2 4 3 3 4" xfId="27379" xr:uid="{00000000-0005-0000-0000-0000879D0000}"/>
    <cellStyle name="Normal 2 2 4 3 4" xfId="6964" xr:uid="{00000000-0005-0000-0000-0000889D0000}"/>
    <cellStyle name="Normal 2 2 4 3 4 2" xfId="18265" xr:uid="{00000000-0005-0000-0000-0000899D0000}"/>
    <cellStyle name="Normal 2 2 4 3 4 2 2" xfId="40867" xr:uid="{00000000-0005-0000-0000-00008A9D0000}"/>
    <cellStyle name="Normal 2 2 4 3 4 3" xfId="29566" xr:uid="{00000000-0005-0000-0000-00008B9D0000}"/>
    <cellStyle name="Normal 2 2 4 3 5" xfId="12615" xr:uid="{00000000-0005-0000-0000-00008C9D0000}"/>
    <cellStyle name="Normal 2 2 4 3 5 2" xfId="35217" xr:uid="{00000000-0005-0000-0000-00008D9D0000}"/>
    <cellStyle name="Normal 2 2 4 3 6" xfId="23916" xr:uid="{00000000-0005-0000-0000-00008E9D0000}"/>
    <cellStyle name="Normal 2 2 4 4" xfId="2087" xr:uid="{00000000-0005-0000-0000-00008F9D0000}"/>
    <cellStyle name="Normal 2 2 4 4 2" xfId="3850" xr:uid="{00000000-0005-0000-0000-0000909D0000}"/>
    <cellStyle name="Normal 2 2 4 4 2 2" xfId="9558" xr:uid="{00000000-0005-0000-0000-0000919D0000}"/>
    <cellStyle name="Normal 2 2 4 4 2 2 2" xfId="20859" xr:uid="{00000000-0005-0000-0000-0000929D0000}"/>
    <cellStyle name="Normal 2 2 4 4 2 2 2 2" xfId="43461" xr:uid="{00000000-0005-0000-0000-0000939D0000}"/>
    <cellStyle name="Normal 2 2 4 4 2 2 3" xfId="32160" xr:uid="{00000000-0005-0000-0000-0000949D0000}"/>
    <cellStyle name="Normal 2 2 4 4 2 3" xfId="15209" xr:uid="{00000000-0005-0000-0000-0000959D0000}"/>
    <cellStyle name="Normal 2 2 4 4 2 3 2" xfId="37811" xr:uid="{00000000-0005-0000-0000-0000969D0000}"/>
    <cellStyle name="Normal 2 2 4 4 2 4" xfId="26510" xr:uid="{00000000-0005-0000-0000-0000979D0000}"/>
    <cellStyle name="Normal 2 2 4 4 3" xfId="5387" xr:uid="{00000000-0005-0000-0000-0000989D0000}"/>
    <cellStyle name="Normal 2 2 4 4 3 2" xfId="11037" xr:uid="{00000000-0005-0000-0000-0000999D0000}"/>
    <cellStyle name="Normal 2 2 4 4 3 2 2" xfId="22338" xr:uid="{00000000-0005-0000-0000-00009A9D0000}"/>
    <cellStyle name="Normal 2 2 4 4 3 2 2 2" xfId="44940" xr:uid="{00000000-0005-0000-0000-00009B9D0000}"/>
    <cellStyle name="Normal 2 2 4 4 3 2 3" xfId="33639" xr:uid="{00000000-0005-0000-0000-00009C9D0000}"/>
    <cellStyle name="Normal 2 2 4 4 3 3" xfId="16688" xr:uid="{00000000-0005-0000-0000-00009D9D0000}"/>
    <cellStyle name="Normal 2 2 4 4 3 3 2" xfId="39290" xr:uid="{00000000-0005-0000-0000-00009E9D0000}"/>
    <cellStyle name="Normal 2 2 4 4 3 4" xfId="27989" xr:uid="{00000000-0005-0000-0000-00009F9D0000}"/>
    <cellStyle name="Normal 2 2 4 4 4" xfId="7943" xr:uid="{00000000-0005-0000-0000-0000A09D0000}"/>
    <cellStyle name="Normal 2 2 4 4 4 2" xfId="19244" xr:uid="{00000000-0005-0000-0000-0000A19D0000}"/>
    <cellStyle name="Normal 2 2 4 4 4 2 2" xfId="41846" xr:uid="{00000000-0005-0000-0000-0000A29D0000}"/>
    <cellStyle name="Normal 2 2 4 4 4 3" xfId="30545" xr:uid="{00000000-0005-0000-0000-0000A39D0000}"/>
    <cellStyle name="Normal 2 2 4 4 5" xfId="13594" xr:uid="{00000000-0005-0000-0000-0000A49D0000}"/>
    <cellStyle name="Normal 2 2 4 4 5 2" xfId="36196" xr:uid="{00000000-0005-0000-0000-0000A59D0000}"/>
    <cellStyle name="Normal 2 2 4 4 6" xfId="24895" xr:uid="{00000000-0005-0000-0000-0000A69D0000}"/>
    <cellStyle name="Normal 2 2 4 5" xfId="2368" xr:uid="{00000000-0005-0000-0000-0000A79D0000}"/>
    <cellStyle name="Normal 2 2 4 5 2" xfId="8204" xr:uid="{00000000-0005-0000-0000-0000A89D0000}"/>
    <cellStyle name="Normal 2 2 4 5 2 2" xfId="19505" xr:uid="{00000000-0005-0000-0000-0000A99D0000}"/>
    <cellStyle name="Normal 2 2 4 5 2 2 2" xfId="42107" xr:uid="{00000000-0005-0000-0000-0000AA9D0000}"/>
    <cellStyle name="Normal 2 2 4 5 2 3" xfId="30806" xr:uid="{00000000-0005-0000-0000-0000AB9D0000}"/>
    <cellStyle name="Normal 2 2 4 5 3" xfId="13855" xr:uid="{00000000-0005-0000-0000-0000AC9D0000}"/>
    <cellStyle name="Normal 2 2 4 5 3 2" xfId="36457" xr:uid="{00000000-0005-0000-0000-0000AD9D0000}"/>
    <cellStyle name="Normal 2 2 4 5 4" xfId="25156" xr:uid="{00000000-0005-0000-0000-0000AE9D0000}"/>
    <cellStyle name="Normal 2 2 4 6" xfId="4153" xr:uid="{00000000-0005-0000-0000-0000AF9D0000}"/>
    <cellStyle name="Normal 2 2 4 6 2" xfId="9803" xr:uid="{00000000-0005-0000-0000-0000B09D0000}"/>
    <cellStyle name="Normal 2 2 4 6 2 2" xfId="21104" xr:uid="{00000000-0005-0000-0000-0000B19D0000}"/>
    <cellStyle name="Normal 2 2 4 6 2 2 2" xfId="43706" xr:uid="{00000000-0005-0000-0000-0000B29D0000}"/>
    <cellStyle name="Normal 2 2 4 6 2 3" xfId="32405" xr:uid="{00000000-0005-0000-0000-0000B39D0000}"/>
    <cellStyle name="Normal 2 2 4 6 3" xfId="15454" xr:uid="{00000000-0005-0000-0000-0000B49D0000}"/>
    <cellStyle name="Normal 2 2 4 6 3 2" xfId="38056" xr:uid="{00000000-0005-0000-0000-0000B59D0000}"/>
    <cellStyle name="Normal 2 2 4 6 4" xfId="26755" xr:uid="{00000000-0005-0000-0000-0000B69D0000}"/>
    <cellStyle name="Normal 2 2 4 7" xfId="6604" xr:uid="{00000000-0005-0000-0000-0000B79D0000}"/>
    <cellStyle name="Normal 2 2 4 7 2" xfId="17905" xr:uid="{00000000-0005-0000-0000-0000B89D0000}"/>
    <cellStyle name="Normal 2 2 4 7 2 2" xfId="40507" xr:uid="{00000000-0005-0000-0000-0000B99D0000}"/>
    <cellStyle name="Normal 2 2 4 7 3" xfId="29206" xr:uid="{00000000-0005-0000-0000-0000BA9D0000}"/>
    <cellStyle name="Normal 2 2 4 8" xfId="12255" xr:uid="{00000000-0005-0000-0000-0000BB9D0000}"/>
    <cellStyle name="Normal 2 2 4 8 2" xfId="34857" xr:uid="{00000000-0005-0000-0000-0000BC9D0000}"/>
    <cellStyle name="Normal 2 2 4 9" xfId="23556" xr:uid="{00000000-0005-0000-0000-0000BD9D0000}"/>
    <cellStyle name="Normal 2 2 5" xfId="708" xr:uid="{00000000-0005-0000-0000-0000BE9D0000}"/>
    <cellStyle name="Normal 2 2 5 2" xfId="1109" xr:uid="{00000000-0005-0000-0000-0000BF9D0000}"/>
    <cellStyle name="Normal 2 2 5 2 2" xfId="3163" xr:uid="{00000000-0005-0000-0000-0000C09D0000}"/>
    <cellStyle name="Normal 2 2 5 2 2 2" xfId="6135" xr:uid="{00000000-0005-0000-0000-0000C19D0000}"/>
    <cellStyle name="Normal 2 2 5 2 2 2 2" xfId="11785" xr:uid="{00000000-0005-0000-0000-0000C29D0000}"/>
    <cellStyle name="Normal 2 2 5 2 2 2 2 2" xfId="23086" xr:uid="{00000000-0005-0000-0000-0000C39D0000}"/>
    <cellStyle name="Normal 2 2 5 2 2 2 2 2 2" xfId="45688" xr:uid="{00000000-0005-0000-0000-0000C49D0000}"/>
    <cellStyle name="Normal 2 2 5 2 2 2 2 3" xfId="34387" xr:uid="{00000000-0005-0000-0000-0000C59D0000}"/>
    <cellStyle name="Normal 2 2 5 2 2 2 3" xfId="17436" xr:uid="{00000000-0005-0000-0000-0000C69D0000}"/>
    <cellStyle name="Normal 2 2 5 2 2 2 3 2" xfId="40038" xr:uid="{00000000-0005-0000-0000-0000C79D0000}"/>
    <cellStyle name="Normal 2 2 5 2 2 2 4" xfId="28737" xr:uid="{00000000-0005-0000-0000-0000C89D0000}"/>
    <cellStyle name="Normal 2 2 5 2 2 3" xfId="8953" xr:uid="{00000000-0005-0000-0000-0000C99D0000}"/>
    <cellStyle name="Normal 2 2 5 2 2 3 2" xfId="20254" xr:uid="{00000000-0005-0000-0000-0000CA9D0000}"/>
    <cellStyle name="Normal 2 2 5 2 2 3 2 2" xfId="42856" xr:uid="{00000000-0005-0000-0000-0000CB9D0000}"/>
    <cellStyle name="Normal 2 2 5 2 2 3 3" xfId="31555" xr:uid="{00000000-0005-0000-0000-0000CC9D0000}"/>
    <cellStyle name="Normal 2 2 5 2 2 4" xfId="14604" xr:uid="{00000000-0005-0000-0000-0000CD9D0000}"/>
    <cellStyle name="Normal 2 2 5 2 2 4 2" xfId="37206" xr:uid="{00000000-0005-0000-0000-0000CE9D0000}"/>
    <cellStyle name="Normal 2 2 5 2 2 5" xfId="25905" xr:uid="{00000000-0005-0000-0000-0000CF9D0000}"/>
    <cellStyle name="Normal 2 2 5 2 3" xfId="4901" xr:uid="{00000000-0005-0000-0000-0000D09D0000}"/>
    <cellStyle name="Normal 2 2 5 2 3 2" xfId="10551" xr:uid="{00000000-0005-0000-0000-0000D19D0000}"/>
    <cellStyle name="Normal 2 2 5 2 3 2 2" xfId="21852" xr:uid="{00000000-0005-0000-0000-0000D29D0000}"/>
    <cellStyle name="Normal 2 2 5 2 3 2 2 2" xfId="44454" xr:uid="{00000000-0005-0000-0000-0000D39D0000}"/>
    <cellStyle name="Normal 2 2 5 2 3 2 3" xfId="33153" xr:uid="{00000000-0005-0000-0000-0000D49D0000}"/>
    <cellStyle name="Normal 2 2 5 2 3 3" xfId="16202" xr:uid="{00000000-0005-0000-0000-0000D59D0000}"/>
    <cellStyle name="Normal 2 2 5 2 3 3 2" xfId="38804" xr:uid="{00000000-0005-0000-0000-0000D69D0000}"/>
    <cellStyle name="Normal 2 2 5 2 3 4" xfId="27503" xr:uid="{00000000-0005-0000-0000-0000D79D0000}"/>
    <cellStyle name="Normal 2 2 5 2 4" xfId="7088" xr:uid="{00000000-0005-0000-0000-0000D89D0000}"/>
    <cellStyle name="Normal 2 2 5 2 4 2" xfId="18389" xr:uid="{00000000-0005-0000-0000-0000D99D0000}"/>
    <cellStyle name="Normal 2 2 5 2 4 2 2" xfId="40991" xr:uid="{00000000-0005-0000-0000-0000DA9D0000}"/>
    <cellStyle name="Normal 2 2 5 2 4 3" xfId="29690" xr:uid="{00000000-0005-0000-0000-0000DB9D0000}"/>
    <cellStyle name="Normal 2 2 5 2 5" xfId="12739" xr:uid="{00000000-0005-0000-0000-0000DC9D0000}"/>
    <cellStyle name="Normal 2 2 5 2 5 2" xfId="35341" xr:uid="{00000000-0005-0000-0000-0000DD9D0000}"/>
    <cellStyle name="Normal 2 2 5 2 6" xfId="24040" xr:uid="{00000000-0005-0000-0000-0000DE9D0000}"/>
    <cellStyle name="Normal 2 2 5 3" xfId="2089" xr:uid="{00000000-0005-0000-0000-0000DF9D0000}"/>
    <cellStyle name="Normal 2 2 5 3 2" xfId="3851" xr:uid="{00000000-0005-0000-0000-0000E09D0000}"/>
    <cellStyle name="Normal 2 2 5 3 2 2" xfId="9559" xr:uid="{00000000-0005-0000-0000-0000E19D0000}"/>
    <cellStyle name="Normal 2 2 5 3 2 2 2" xfId="20860" xr:uid="{00000000-0005-0000-0000-0000E29D0000}"/>
    <cellStyle name="Normal 2 2 5 3 2 2 2 2" xfId="43462" xr:uid="{00000000-0005-0000-0000-0000E39D0000}"/>
    <cellStyle name="Normal 2 2 5 3 2 2 3" xfId="32161" xr:uid="{00000000-0005-0000-0000-0000E49D0000}"/>
    <cellStyle name="Normal 2 2 5 3 2 3" xfId="15210" xr:uid="{00000000-0005-0000-0000-0000E59D0000}"/>
    <cellStyle name="Normal 2 2 5 3 2 3 2" xfId="37812" xr:uid="{00000000-0005-0000-0000-0000E69D0000}"/>
    <cellStyle name="Normal 2 2 5 3 2 4" xfId="26511" xr:uid="{00000000-0005-0000-0000-0000E79D0000}"/>
    <cellStyle name="Normal 2 2 5 3 3" xfId="5511" xr:uid="{00000000-0005-0000-0000-0000E89D0000}"/>
    <cellStyle name="Normal 2 2 5 3 3 2" xfId="11161" xr:uid="{00000000-0005-0000-0000-0000E99D0000}"/>
    <cellStyle name="Normal 2 2 5 3 3 2 2" xfId="22462" xr:uid="{00000000-0005-0000-0000-0000EA9D0000}"/>
    <cellStyle name="Normal 2 2 5 3 3 2 2 2" xfId="45064" xr:uid="{00000000-0005-0000-0000-0000EB9D0000}"/>
    <cellStyle name="Normal 2 2 5 3 3 2 3" xfId="33763" xr:uid="{00000000-0005-0000-0000-0000EC9D0000}"/>
    <cellStyle name="Normal 2 2 5 3 3 3" xfId="16812" xr:uid="{00000000-0005-0000-0000-0000ED9D0000}"/>
    <cellStyle name="Normal 2 2 5 3 3 3 2" xfId="39414" xr:uid="{00000000-0005-0000-0000-0000EE9D0000}"/>
    <cellStyle name="Normal 2 2 5 3 3 4" xfId="28113" xr:uid="{00000000-0005-0000-0000-0000EF9D0000}"/>
    <cellStyle name="Normal 2 2 5 3 4" xfId="7945" xr:uid="{00000000-0005-0000-0000-0000F09D0000}"/>
    <cellStyle name="Normal 2 2 5 3 4 2" xfId="19246" xr:uid="{00000000-0005-0000-0000-0000F19D0000}"/>
    <cellStyle name="Normal 2 2 5 3 4 2 2" xfId="41848" xr:uid="{00000000-0005-0000-0000-0000F29D0000}"/>
    <cellStyle name="Normal 2 2 5 3 4 3" xfId="30547" xr:uid="{00000000-0005-0000-0000-0000F39D0000}"/>
    <cellStyle name="Normal 2 2 5 3 5" xfId="13596" xr:uid="{00000000-0005-0000-0000-0000F49D0000}"/>
    <cellStyle name="Normal 2 2 5 3 5 2" xfId="36198" xr:uid="{00000000-0005-0000-0000-0000F59D0000}"/>
    <cellStyle name="Normal 2 2 5 3 6" xfId="24897" xr:uid="{00000000-0005-0000-0000-0000F69D0000}"/>
    <cellStyle name="Normal 2 2 5 4" xfId="2492" xr:uid="{00000000-0005-0000-0000-0000F79D0000}"/>
    <cellStyle name="Normal 2 2 5 4 2" xfId="8328" xr:uid="{00000000-0005-0000-0000-0000F89D0000}"/>
    <cellStyle name="Normal 2 2 5 4 2 2" xfId="19629" xr:uid="{00000000-0005-0000-0000-0000F99D0000}"/>
    <cellStyle name="Normal 2 2 5 4 2 2 2" xfId="42231" xr:uid="{00000000-0005-0000-0000-0000FA9D0000}"/>
    <cellStyle name="Normal 2 2 5 4 2 3" xfId="30930" xr:uid="{00000000-0005-0000-0000-0000FB9D0000}"/>
    <cellStyle name="Normal 2 2 5 4 3" xfId="13979" xr:uid="{00000000-0005-0000-0000-0000FC9D0000}"/>
    <cellStyle name="Normal 2 2 5 4 3 2" xfId="36581" xr:uid="{00000000-0005-0000-0000-0000FD9D0000}"/>
    <cellStyle name="Normal 2 2 5 4 4" xfId="25280" xr:uid="{00000000-0005-0000-0000-0000FE9D0000}"/>
    <cellStyle name="Normal 2 2 5 5" xfId="4277" xr:uid="{00000000-0005-0000-0000-0000FF9D0000}"/>
    <cellStyle name="Normal 2 2 5 5 2" xfId="9927" xr:uid="{00000000-0005-0000-0000-0000009E0000}"/>
    <cellStyle name="Normal 2 2 5 5 2 2" xfId="21228" xr:uid="{00000000-0005-0000-0000-0000019E0000}"/>
    <cellStyle name="Normal 2 2 5 5 2 2 2" xfId="43830" xr:uid="{00000000-0005-0000-0000-0000029E0000}"/>
    <cellStyle name="Normal 2 2 5 5 2 3" xfId="32529" xr:uid="{00000000-0005-0000-0000-0000039E0000}"/>
    <cellStyle name="Normal 2 2 5 5 3" xfId="15578" xr:uid="{00000000-0005-0000-0000-0000049E0000}"/>
    <cellStyle name="Normal 2 2 5 5 3 2" xfId="38180" xr:uid="{00000000-0005-0000-0000-0000059E0000}"/>
    <cellStyle name="Normal 2 2 5 5 4" xfId="26879" xr:uid="{00000000-0005-0000-0000-0000069E0000}"/>
    <cellStyle name="Normal 2 2 5 6" xfId="6771" xr:uid="{00000000-0005-0000-0000-0000079E0000}"/>
    <cellStyle name="Normal 2 2 5 6 2" xfId="18072" xr:uid="{00000000-0005-0000-0000-0000089E0000}"/>
    <cellStyle name="Normal 2 2 5 6 2 2" xfId="40674" xr:uid="{00000000-0005-0000-0000-0000099E0000}"/>
    <cellStyle name="Normal 2 2 5 6 3" xfId="29373" xr:uid="{00000000-0005-0000-0000-00000A9E0000}"/>
    <cellStyle name="Normal 2 2 5 7" xfId="12422" xr:uid="{00000000-0005-0000-0000-00000B9E0000}"/>
    <cellStyle name="Normal 2 2 5 7 2" xfId="35024" xr:uid="{00000000-0005-0000-0000-00000C9E0000}"/>
    <cellStyle name="Normal 2 2 5 8" xfId="23723" xr:uid="{00000000-0005-0000-0000-00000D9E0000}"/>
    <cellStyle name="Normal 2 2 6" xfId="712" xr:uid="{00000000-0005-0000-0000-00000E9E0000}"/>
    <cellStyle name="Normal 2 2 6 2" xfId="2872" xr:uid="{00000000-0005-0000-0000-00000F9E0000}"/>
    <cellStyle name="Normal 2 2 6 2 2" xfId="5844" xr:uid="{00000000-0005-0000-0000-0000109E0000}"/>
    <cellStyle name="Normal 2 2 6 2 2 2" xfId="11494" xr:uid="{00000000-0005-0000-0000-0000119E0000}"/>
    <cellStyle name="Normal 2 2 6 2 2 2 2" xfId="22795" xr:uid="{00000000-0005-0000-0000-0000129E0000}"/>
    <cellStyle name="Normal 2 2 6 2 2 2 2 2" xfId="45397" xr:uid="{00000000-0005-0000-0000-0000139E0000}"/>
    <cellStyle name="Normal 2 2 6 2 2 2 3" xfId="34096" xr:uid="{00000000-0005-0000-0000-0000149E0000}"/>
    <cellStyle name="Normal 2 2 6 2 2 3" xfId="17145" xr:uid="{00000000-0005-0000-0000-0000159E0000}"/>
    <cellStyle name="Normal 2 2 6 2 2 3 2" xfId="39747" xr:uid="{00000000-0005-0000-0000-0000169E0000}"/>
    <cellStyle name="Normal 2 2 6 2 2 4" xfId="28446" xr:uid="{00000000-0005-0000-0000-0000179E0000}"/>
    <cellStyle name="Normal 2 2 6 2 3" xfId="8662" xr:uid="{00000000-0005-0000-0000-0000189E0000}"/>
    <cellStyle name="Normal 2 2 6 2 3 2" xfId="19963" xr:uid="{00000000-0005-0000-0000-0000199E0000}"/>
    <cellStyle name="Normal 2 2 6 2 3 2 2" xfId="42565" xr:uid="{00000000-0005-0000-0000-00001A9E0000}"/>
    <cellStyle name="Normal 2 2 6 2 3 3" xfId="31264" xr:uid="{00000000-0005-0000-0000-00001B9E0000}"/>
    <cellStyle name="Normal 2 2 6 2 4" xfId="14313" xr:uid="{00000000-0005-0000-0000-00001C9E0000}"/>
    <cellStyle name="Normal 2 2 6 2 4 2" xfId="36915" xr:uid="{00000000-0005-0000-0000-00001D9E0000}"/>
    <cellStyle name="Normal 2 2 6 2 5" xfId="25614" xr:uid="{00000000-0005-0000-0000-00001E9E0000}"/>
    <cellStyle name="Normal 2 2 6 3" xfId="4610" xr:uid="{00000000-0005-0000-0000-00001F9E0000}"/>
    <cellStyle name="Normal 2 2 6 3 2" xfId="10260" xr:uid="{00000000-0005-0000-0000-0000209E0000}"/>
    <cellStyle name="Normal 2 2 6 3 2 2" xfId="21561" xr:uid="{00000000-0005-0000-0000-0000219E0000}"/>
    <cellStyle name="Normal 2 2 6 3 2 2 2" xfId="44163" xr:uid="{00000000-0005-0000-0000-0000229E0000}"/>
    <cellStyle name="Normal 2 2 6 3 2 3" xfId="32862" xr:uid="{00000000-0005-0000-0000-0000239E0000}"/>
    <cellStyle name="Normal 2 2 6 3 3" xfId="15911" xr:uid="{00000000-0005-0000-0000-0000249E0000}"/>
    <cellStyle name="Normal 2 2 6 3 3 2" xfId="38513" xr:uid="{00000000-0005-0000-0000-0000259E0000}"/>
    <cellStyle name="Normal 2 2 6 3 4" xfId="27212" xr:uid="{00000000-0005-0000-0000-0000269E0000}"/>
    <cellStyle name="Normal 2 2 6 4" xfId="6773" xr:uid="{00000000-0005-0000-0000-0000279E0000}"/>
    <cellStyle name="Normal 2 2 6 4 2" xfId="18074" xr:uid="{00000000-0005-0000-0000-0000289E0000}"/>
    <cellStyle name="Normal 2 2 6 4 2 2" xfId="40676" xr:uid="{00000000-0005-0000-0000-0000299E0000}"/>
    <cellStyle name="Normal 2 2 6 4 3" xfId="29375" xr:uid="{00000000-0005-0000-0000-00002A9E0000}"/>
    <cellStyle name="Normal 2 2 6 5" xfId="12424" xr:uid="{00000000-0005-0000-0000-00002B9E0000}"/>
    <cellStyle name="Normal 2 2 6 5 2" xfId="35026" xr:uid="{00000000-0005-0000-0000-00002C9E0000}"/>
    <cellStyle name="Normal 2 2 6 6" xfId="23725" xr:uid="{00000000-0005-0000-0000-00002D9E0000}"/>
    <cellStyle name="Normal 2 2 7" xfId="2080" xr:uid="{00000000-0005-0000-0000-00002E9E0000}"/>
    <cellStyle name="Normal 2 2 7 2" xfId="3846" xr:uid="{00000000-0005-0000-0000-00002F9E0000}"/>
    <cellStyle name="Normal 2 2 7 2 2" xfId="9554" xr:uid="{00000000-0005-0000-0000-0000309E0000}"/>
    <cellStyle name="Normal 2 2 7 2 2 2" xfId="20855" xr:uid="{00000000-0005-0000-0000-0000319E0000}"/>
    <cellStyle name="Normal 2 2 7 2 2 2 2" xfId="43457" xr:uid="{00000000-0005-0000-0000-0000329E0000}"/>
    <cellStyle name="Normal 2 2 7 2 2 3" xfId="32156" xr:uid="{00000000-0005-0000-0000-0000339E0000}"/>
    <cellStyle name="Normal 2 2 7 2 3" xfId="15205" xr:uid="{00000000-0005-0000-0000-0000349E0000}"/>
    <cellStyle name="Normal 2 2 7 2 3 2" xfId="37807" xr:uid="{00000000-0005-0000-0000-0000359E0000}"/>
    <cellStyle name="Normal 2 2 7 2 4" xfId="26506" xr:uid="{00000000-0005-0000-0000-0000369E0000}"/>
    <cellStyle name="Normal 2 2 7 3" xfId="5220" xr:uid="{00000000-0005-0000-0000-0000379E0000}"/>
    <cellStyle name="Normal 2 2 7 3 2" xfId="10870" xr:uid="{00000000-0005-0000-0000-0000389E0000}"/>
    <cellStyle name="Normal 2 2 7 3 2 2" xfId="22171" xr:uid="{00000000-0005-0000-0000-0000399E0000}"/>
    <cellStyle name="Normal 2 2 7 3 2 2 2" xfId="44773" xr:uid="{00000000-0005-0000-0000-00003A9E0000}"/>
    <cellStyle name="Normal 2 2 7 3 2 3" xfId="33472" xr:uid="{00000000-0005-0000-0000-00003B9E0000}"/>
    <cellStyle name="Normal 2 2 7 3 3" xfId="16521" xr:uid="{00000000-0005-0000-0000-00003C9E0000}"/>
    <cellStyle name="Normal 2 2 7 3 3 2" xfId="39123" xr:uid="{00000000-0005-0000-0000-00003D9E0000}"/>
    <cellStyle name="Normal 2 2 7 3 4" xfId="27822" xr:uid="{00000000-0005-0000-0000-00003E9E0000}"/>
    <cellStyle name="Normal 2 2 7 4" xfId="7936" xr:uid="{00000000-0005-0000-0000-00003F9E0000}"/>
    <cellStyle name="Normal 2 2 7 4 2" xfId="19237" xr:uid="{00000000-0005-0000-0000-0000409E0000}"/>
    <cellStyle name="Normal 2 2 7 4 2 2" xfId="41839" xr:uid="{00000000-0005-0000-0000-0000419E0000}"/>
    <cellStyle name="Normal 2 2 7 4 3" xfId="30538" xr:uid="{00000000-0005-0000-0000-0000429E0000}"/>
    <cellStyle name="Normal 2 2 7 5" xfId="13587" xr:uid="{00000000-0005-0000-0000-0000439E0000}"/>
    <cellStyle name="Normal 2 2 7 5 2" xfId="36189" xr:uid="{00000000-0005-0000-0000-0000449E0000}"/>
    <cellStyle name="Normal 2 2 7 6" xfId="24888" xr:uid="{00000000-0005-0000-0000-0000459E0000}"/>
    <cellStyle name="Normal 2 2 8" xfId="2190" xr:uid="{00000000-0005-0000-0000-0000469E0000}"/>
    <cellStyle name="Normal 2 2 8 2" xfId="8034" xr:uid="{00000000-0005-0000-0000-0000479E0000}"/>
    <cellStyle name="Normal 2 2 8 2 2" xfId="19335" xr:uid="{00000000-0005-0000-0000-0000489E0000}"/>
    <cellStyle name="Normal 2 2 8 2 2 2" xfId="41937" xr:uid="{00000000-0005-0000-0000-0000499E0000}"/>
    <cellStyle name="Normal 2 2 8 2 3" xfId="30636" xr:uid="{00000000-0005-0000-0000-00004A9E0000}"/>
    <cellStyle name="Normal 2 2 8 3" xfId="13685" xr:uid="{00000000-0005-0000-0000-00004B9E0000}"/>
    <cellStyle name="Normal 2 2 8 3 2" xfId="36287" xr:uid="{00000000-0005-0000-0000-00004C9E0000}"/>
    <cellStyle name="Normal 2 2 8 4" xfId="24986" xr:uid="{00000000-0005-0000-0000-00004D9E0000}"/>
    <cellStyle name="Normal 2 2 9" xfId="3986" xr:uid="{00000000-0005-0000-0000-00004E9E0000}"/>
    <cellStyle name="Normal 2 2 9 2" xfId="9636" xr:uid="{00000000-0005-0000-0000-00004F9E0000}"/>
    <cellStyle name="Normal 2 2 9 2 2" xfId="20937" xr:uid="{00000000-0005-0000-0000-0000509E0000}"/>
    <cellStyle name="Normal 2 2 9 2 2 2" xfId="43539" xr:uid="{00000000-0005-0000-0000-0000519E0000}"/>
    <cellStyle name="Normal 2 2 9 2 3" xfId="32238" xr:uid="{00000000-0005-0000-0000-0000529E0000}"/>
    <cellStyle name="Normal 2 2 9 3" xfId="15287" xr:uid="{00000000-0005-0000-0000-0000539E0000}"/>
    <cellStyle name="Normal 2 2 9 3 2" xfId="37889" xr:uid="{00000000-0005-0000-0000-0000549E0000}"/>
    <cellStyle name="Normal 2 2 9 4" xfId="26588" xr:uid="{00000000-0005-0000-0000-0000559E0000}"/>
    <cellStyle name="Normal 2 3" xfId="330" xr:uid="{00000000-0005-0000-0000-0000569E0000}"/>
    <cellStyle name="Normal 2 4" xfId="403" xr:uid="{00000000-0005-0000-0000-0000579E0000}"/>
    <cellStyle name="Normal 2 4 10" xfId="23498" xr:uid="{00000000-0005-0000-0000-0000589E0000}"/>
    <cellStyle name="Normal 2 4 2" xfId="648" xr:uid="{00000000-0005-0000-0000-0000599E0000}"/>
    <cellStyle name="Normal 2 4 2 2" xfId="1358" xr:uid="{00000000-0005-0000-0000-00005A9E0000}"/>
    <cellStyle name="Normal 2 4 2 2 2" xfId="2092" xr:uid="{00000000-0005-0000-0000-00005B9E0000}"/>
    <cellStyle name="Normal 2 4 2 2 2 2" xfId="3427" xr:uid="{00000000-0005-0000-0000-00005C9E0000}"/>
    <cellStyle name="Normal 2 4 2 2 2 2 2" xfId="6399" xr:uid="{00000000-0005-0000-0000-00005D9E0000}"/>
    <cellStyle name="Normal 2 4 2 2 2 2 2 2" xfId="12049" xr:uid="{00000000-0005-0000-0000-00005E9E0000}"/>
    <cellStyle name="Normal 2 4 2 2 2 2 2 2 2" xfId="23350" xr:uid="{00000000-0005-0000-0000-00005F9E0000}"/>
    <cellStyle name="Normal 2 4 2 2 2 2 2 2 2 2" xfId="45952" xr:uid="{00000000-0005-0000-0000-0000609E0000}"/>
    <cellStyle name="Normal 2 4 2 2 2 2 2 2 3" xfId="34651" xr:uid="{00000000-0005-0000-0000-0000619E0000}"/>
    <cellStyle name="Normal 2 4 2 2 2 2 2 3" xfId="17700" xr:uid="{00000000-0005-0000-0000-0000629E0000}"/>
    <cellStyle name="Normal 2 4 2 2 2 2 2 3 2" xfId="40302" xr:uid="{00000000-0005-0000-0000-0000639E0000}"/>
    <cellStyle name="Normal 2 4 2 2 2 2 2 4" xfId="29001" xr:uid="{00000000-0005-0000-0000-0000649E0000}"/>
    <cellStyle name="Normal 2 4 2 2 2 2 3" xfId="9217" xr:uid="{00000000-0005-0000-0000-0000659E0000}"/>
    <cellStyle name="Normal 2 4 2 2 2 2 3 2" xfId="20518" xr:uid="{00000000-0005-0000-0000-0000669E0000}"/>
    <cellStyle name="Normal 2 4 2 2 2 2 3 2 2" xfId="43120" xr:uid="{00000000-0005-0000-0000-0000679E0000}"/>
    <cellStyle name="Normal 2 4 2 2 2 2 3 3" xfId="31819" xr:uid="{00000000-0005-0000-0000-0000689E0000}"/>
    <cellStyle name="Normal 2 4 2 2 2 2 4" xfId="14868" xr:uid="{00000000-0005-0000-0000-0000699E0000}"/>
    <cellStyle name="Normal 2 4 2 2 2 2 4 2" xfId="37470" xr:uid="{00000000-0005-0000-0000-00006A9E0000}"/>
    <cellStyle name="Normal 2 4 2 2 2 2 5" xfId="26169" xr:uid="{00000000-0005-0000-0000-00006B9E0000}"/>
    <cellStyle name="Normal 2 4 2 2 2 3" xfId="5165" xr:uid="{00000000-0005-0000-0000-00006C9E0000}"/>
    <cellStyle name="Normal 2 4 2 2 2 3 2" xfId="10815" xr:uid="{00000000-0005-0000-0000-00006D9E0000}"/>
    <cellStyle name="Normal 2 4 2 2 2 3 2 2" xfId="22116" xr:uid="{00000000-0005-0000-0000-00006E9E0000}"/>
    <cellStyle name="Normal 2 4 2 2 2 3 2 2 2" xfId="44718" xr:uid="{00000000-0005-0000-0000-00006F9E0000}"/>
    <cellStyle name="Normal 2 4 2 2 2 3 2 3" xfId="33417" xr:uid="{00000000-0005-0000-0000-0000709E0000}"/>
    <cellStyle name="Normal 2 4 2 2 2 3 3" xfId="16466" xr:uid="{00000000-0005-0000-0000-0000719E0000}"/>
    <cellStyle name="Normal 2 4 2 2 2 3 3 2" xfId="39068" xr:uid="{00000000-0005-0000-0000-0000729E0000}"/>
    <cellStyle name="Normal 2 4 2 2 2 3 4" xfId="27767" xr:uid="{00000000-0005-0000-0000-0000739E0000}"/>
    <cellStyle name="Normal 2 4 2 2 2 4" xfId="7948" xr:uid="{00000000-0005-0000-0000-0000749E0000}"/>
    <cellStyle name="Normal 2 4 2 2 2 4 2" xfId="19249" xr:uid="{00000000-0005-0000-0000-0000759E0000}"/>
    <cellStyle name="Normal 2 4 2 2 2 4 2 2" xfId="41851" xr:uid="{00000000-0005-0000-0000-0000769E0000}"/>
    <cellStyle name="Normal 2 4 2 2 2 4 3" xfId="30550" xr:uid="{00000000-0005-0000-0000-0000779E0000}"/>
    <cellStyle name="Normal 2 4 2 2 2 5" xfId="13599" xr:uid="{00000000-0005-0000-0000-0000789E0000}"/>
    <cellStyle name="Normal 2 4 2 2 2 5 2" xfId="36201" xr:uid="{00000000-0005-0000-0000-0000799E0000}"/>
    <cellStyle name="Normal 2 4 2 2 2 6" xfId="24900" xr:uid="{00000000-0005-0000-0000-00007A9E0000}"/>
    <cellStyle name="Normal 2 4 2 2 3" xfId="2756" xr:uid="{00000000-0005-0000-0000-00007B9E0000}"/>
    <cellStyle name="Normal 2 4 2 2 3 2" xfId="5775" xr:uid="{00000000-0005-0000-0000-00007C9E0000}"/>
    <cellStyle name="Normal 2 4 2 2 3 2 2" xfId="11425" xr:uid="{00000000-0005-0000-0000-00007D9E0000}"/>
    <cellStyle name="Normal 2 4 2 2 3 2 2 2" xfId="22726" xr:uid="{00000000-0005-0000-0000-00007E9E0000}"/>
    <cellStyle name="Normal 2 4 2 2 3 2 2 2 2" xfId="45328" xr:uid="{00000000-0005-0000-0000-00007F9E0000}"/>
    <cellStyle name="Normal 2 4 2 2 3 2 2 3" xfId="34027" xr:uid="{00000000-0005-0000-0000-0000809E0000}"/>
    <cellStyle name="Normal 2 4 2 2 3 2 3" xfId="17076" xr:uid="{00000000-0005-0000-0000-0000819E0000}"/>
    <cellStyle name="Normal 2 4 2 2 3 2 3 2" xfId="39678" xr:uid="{00000000-0005-0000-0000-0000829E0000}"/>
    <cellStyle name="Normal 2 4 2 2 3 2 4" xfId="28377" xr:uid="{00000000-0005-0000-0000-0000839E0000}"/>
    <cellStyle name="Normal 2 4 2 2 3 3" xfId="8592" xr:uid="{00000000-0005-0000-0000-0000849E0000}"/>
    <cellStyle name="Normal 2 4 2 2 3 3 2" xfId="19893" xr:uid="{00000000-0005-0000-0000-0000859E0000}"/>
    <cellStyle name="Normal 2 4 2 2 3 3 2 2" xfId="42495" xr:uid="{00000000-0005-0000-0000-0000869E0000}"/>
    <cellStyle name="Normal 2 4 2 2 3 3 3" xfId="31194" xr:uid="{00000000-0005-0000-0000-0000879E0000}"/>
    <cellStyle name="Normal 2 4 2 2 3 4" xfId="14243" xr:uid="{00000000-0005-0000-0000-0000889E0000}"/>
    <cellStyle name="Normal 2 4 2 2 3 4 2" xfId="36845" xr:uid="{00000000-0005-0000-0000-0000899E0000}"/>
    <cellStyle name="Normal 2 4 2 2 3 5" xfId="25544" xr:uid="{00000000-0005-0000-0000-00008A9E0000}"/>
    <cellStyle name="Normal 2 4 2 2 4" xfId="4541" xr:uid="{00000000-0005-0000-0000-00008B9E0000}"/>
    <cellStyle name="Normal 2 4 2 2 4 2" xfId="10191" xr:uid="{00000000-0005-0000-0000-00008C9E0000}"/>
    <cellStyle name="Normal 2 4 2 2 4 2 2" xfId="21492" xr:uid="{00000000-0005-0000-0000-00008D9E0000}"/>
    <cellStyle name="Normal 2 4 2 2 4 2 2 2" xfId="44094" xr:uid="{00000000-0005-0000-0000-00008E9E0000}"/>
    <cellStyle name="Normal 2 4 2 2 4 2 3" xfId="32793" xr:uid="{00000000-0005-0000-0000-00008F9E0000}"/>
    <cellStyle name="Normal 2 4 2 2 4 3" xfId="15842" xr:uid="{00000000-0005-0000-0000-0000909E0000}"/>
    <cellStyle name="Normal 2 4 2 2 4 3 2" xfId="38444" xr:uid="{00000000-0005-0000-0000-0000919E0000}"/>
    <cellStyle name="Normal 2 4 2 2 4 4" xfId="27143" xr:uid="{00000000-0005-0000-0000-0000929E0000}"/>
    <cellStyle name="Normal 2 4 2 2 5" xfId="7337" xr:uid="{00000000-0005-0000-0000-0000939E0000}"/>
    <cellStyle name="Normal 2 4 2 2 5 2" xfId="18638" xr:uid="{00000000-0005-0000-0000-0000949E0000}"/>
    <cellStyle name="Normal 2 4 2 2 5 2 2" xfId="41240" xr:uid="{00000000-0005-0000-0000-0000959E0000}"/>
    <cellStyle name="Normal 2 4 2 2 5 3" xfId="29939" xr:uid="{00000000-0005-0000-0000-0000969E0000}"/>
    <cellStyle name="Normal 2 4 2 2 6" xfId="12988" xr:uid="{00000000-0005-0000-0000-0000979E0000}"/>
    <cellStyle name="Normal 2 4 2 2 6 2" xfId="35590" xr:uid="{00000000-0005-0000-0000-0000989E0000}"/>
    <cellStyle name="Normal 2 4 2 2 7" xfId="24289" xr:uid="{00000000-0005-0000-0000-0000999E0000}"/>
    <cellStyle name="Normal 2 4 2 3" xfId="1056" xr:uid="{00000000-0005-0000-0000-00009A9E0000}"/>
    <cellStyle name="Normal 2 4 2 3 2" xfId="3119" xr:uid="{00000000-0005-0000-0000-00009B9E0000}"/>
    <cellStyle name="Normal 2 4 2 3 2 2" xfId="6091" xr:uid="{00000000-0005-0000-0000-00009C9E0000}"/>
    <cellStyle name="Normal 2 4 2 3 2 2 2" xfId="11741" xr:uid="{00000000-0005-0000-0000-00009D9E0000}"/>
    <cellStyle name="Normal 2 4 2 3 2 2 2 2" xfId="23042" xr:uid="{00000000-0005-0000-0000-00009E9E0000}"/>
    <cellStyle name="Normal 2 4 2 3 2 2 2 2 2" xfId="45644" xr:uid="{00000000-0005-0000-0000-00009F9E0000}"/>
    <cellStyle name="Normal 2 4 2 3 2 2 2 3" xfId="34343" xr:uid="{00000000-0005-0000-0000-0000A09E0000}"/>
    <cellStyle name="Normal 2 4 2 3 2 2 3" xfId="17392" xr:uid="{00000000-0005-0000-0000-0000A19E0000}"/>
    <cellStyle name="Normal 2 4 2 3 2 2 3 2" xfId="39994" xr:uid="{00000000-0005-0000-0000-0000A29E0000}"/>
    <cellStyle name="Normal 2 4 2 3 2 2 4" xfId="28693" xr:uid="{00000000-0005-0000-0000-0000A39E0000}"/>
    <cellStyle name="Normal 2 4 2 3 2 3" xfId="8909" xr:uid="{00000000-0005-0000-0000-0000A49E0000}"/>
    <cellStyle name="Normal 2 4 2 3 2 3 2" xfId="20210" xr:uid="{00000000-0005-0000-0000-0000A59E0000}"/>
    <cellStyle name="Normal 2 4 2 3 2 3 2 2" xfId="42812" xr:uid="{00000000-0005-0000-0000-0000A69E0000}"/>
    <cellStyle name="Normal 2 4 2 3 2 3 3" xfId="31511" xr:uid="{00000000-0005-0000-0000-0000A79E0000}"/>
    <cellStyle name="Normal 2 4 2 3 2 4" xfId="14560" xr:uid="{00000000-0005-0000-0000-0000A89E0000}"/>
    <cellStyle name="Normal 2 4 2 3 2 4 2" xfId="37162" xr:uid="{00000000-0005-0000-0000-0000A99E0000}"/>
    <cellStyle name="Normal 2 4 2 3 2 5" xfId="25861" xr:uid="{00000000-0005-0000-0000-0000AA9E0000}"/>
    <cellStyle name="Normal 2 4 2 3 3" xfId="4857" xr:uid="{00000000-0005-0000-0000-0000AB9E0000}"/>
    <cellStyle name="Normal 2 4 2 3 3 2" xfId="10507" xr:uid="{00000000-0005-0000-0000-0000AC9E0000}"/>
    <cellStyle name="Normal 2 4 2 3 3 2 2" xfId="21808" xr:uid="{00000000-0005-0000-0000-0000AD9E0000}"/>
    <cellStyle name="Normal 2 4 2 3 3 2 2 2" xfId="44410" xr:uid="{00000000-0005-0000-0000-0000AE9E0000}"/>
    <cellStyle name="Normal 2 4 2 3 3 2 3" xfId="33109" xr:uid="{00000000-0005-0000-0000-0000AF9E0000}"/>
    <cellStyle name="Normal 2 4 2 3 3 3" xfId="16158" xr:uid="{00000000-0005-0000-0000-0000B09E0000}"/>
    <cellStyle name="Normal 2 4 2 3 3 3 2" xfId="38760" xr:uid="{00000000-0005-0000-0000-0000B19E0000}"/>
    <cellStyle name="Normal 2 4 2 3 3 4" xfId="27459" xr:uid="{00000000-0005-0000-0000-0000B29E0000}"/>
    <cellStyle name="Normal 2 4 2 3 4" xfId="7044" xr:uid="{00000000-0005-0000-0000-0000B39E0000}"/>
    <cellStyle name="Normal 2 4 2 3 4 2" xfId="18345" xr:uid="{00000000-0005-0000-0000-0000B49E0000}"/>
    <cellStyle name="Normal 2 4 2 3 4 2 2" xfId="40947" xr:uid="{00000000-0005-0000-0000-0000B59E0000}"/>
    <cellStyle name="Normal 2 4 2 3 4 3" xfId="29646" xr:uid="{00000000-0005-0000-0000-0000B69E0000}"/>
    <cellStyle name="Normal 2 4 2 3 5" xfId="12695" xr:uid="{00000000-0005-0000-0000-0000B79E0000}"/>
    <cellStyle name="Normal 2 4 2 3 5 2" xfId="35297" xr:uid="{00000000-0005-0000-0000-0000B89E0000}"/>
    <cellStyle name="Normal 2 4 2 3 6" xfId="23996" xr:uid="{00000000-0005-0000-0000-0000B99E0000}"/>
    <cellStyle name="Normal 2 4 2 4" xfId="2091" xr:uid="{00000000-0005-0000-0000-0000BA9E0000}"/>
    <cellStyle name="Normal 2 4 2 4 2" xfId="3853" xr:uid="{00000000-0005-0000-0000-0000BB9E0000}"/>
    <cellStyle name="Normal 2 4 2 4 2 2" xfId="9561" xr:uid="{00000000-0005-0000-0000-0000BC9E0000}"/>
    <cellStyle name="Normal 2 4 2 4 2 2 2" xfId="20862" xr:uid="{00000000-0005-0000-0000-0000BD9E0000}"/>
    <cellStyle name="Normal 2 4 2 4 2 2 2 2" xfId="43464" xr:uid="{00000000-0005-0000-0000-0000BE9E0000}"/>
    <cellStyle name="Normal 2 4 2 4 2 2 3" xfId="32163" xr:uid="{00000000-0005-0000-0000-0000BF9E0000}"/>
    <cellStyle name="Normal 2 4 2 4 2 3" xfId="15212" xr:uid="{00000000-0005-0000-0000-0000C09E0000}"/>
    <cellStyle name="Normal 2 4 2 4 2 3 2" xfId="37814" xr:uid="{00000000-0005-0000-0000-0000C19E0000}"/>
    <cellStyle name="Normal 2 4 2 4 2 4" xfId="26513" xr:uid="{00000000-0005-0000-0000-0000C29E0000}"/>
    <cellStyle name="Normal 2 4 2 4 3" xfId="5467" xr:uid="{00000000-0005-0000-0000-0000C39E0000}"/>
    <cellStyle name="Normal 2 4 2 4 3 2" xfId="11117" xr:uid="{00000000-0005-0000-0000-0000C49E0000}"/>
    <cellStyle name="Normal 2 4 2 4 3 2 2" xfId="22418" xr:uid="{00000000-0005-0000-0000-0000C59E0000}"/>
    <cellStyle name="Normal 2 4 2 4 3 2 2 2" xfId="45020" xr:uid="{00000000-0005-0000-0000-0000C69E0000}"/>
    <cellStyle name="Normal 2 4 2 4 3 2 3" xfId="33719" xr:uid="{00000000-0005-0000-0000-0000C79E0000}"/>
    <cellStyle name="Normal 2 4 2 4 3 3" xfId="16768" xr:uid="{00000000-0005-0000-0000-0000C89E0000}"/>
    <cellStyle name="Normal 2 4 2 4 3 3 2" xfId="39370" xr:uid="{00000000-0005-0000-0000-0000C99E0000}"/>
    <cellStyle name="Normal 2 4 2 4 3 4" xfId="28069" xr:uid="{00000000-0005-0000-0000-0000CA9E0000}"/>
    <cellStyle name="Normal 2 4 2 4 4" xfId="7947" xr:uid="{00000000-0005-0000-0000-0000CB9E0000}"/>
    <cellStyle name="Normal 2 4 2 4 4 2" xfId="19248" xr:uid="{00000000-0005-0000-0000-0000CC9E0000}"/>
    <cellStyle name="Normal 2 4 2 4 4 2 2" xfId="41850" xr:uid="{00000000-0005-0000-0000-0000CD9E0000}"/>
    <cellStyle name="Normal 2 4 2 4 4 3" xfId="30549" xr:uid="{00000000-0005-0000-0000-0000CE9E0000}"/>
    <cellStyle name="Normal 2 4 2 4 5" xfId="13598" xr:uid="{00000000-0005-0000-0000-0000CF9E0000}"/>
    <cellStyle name="Normal 2 4 2 4 5 2" xfId="36200" xr:uid="{00000000-0005-0000-0000-0000D09E0000}"/>
    <cellStyle name="Normal 2 4 2 4 6" xfId="24899" xr:uid="{00000000-0005-0000-0000-0000D19E0000}"/>
    <cellStyle name="Normal 2 4 2 5" xfId="2448" xr:uid="{00000000-0005-0000-0000-0000D29E0000}"/>
    <cellStyle name="Normal 2 4 2 5 2" xfId="8284" xr:uid="{00000000-0005-0000-0000-0000D39E0000}"/>
    <cellStyle name="Normal 2 4 2 5 2 2" xfId="19585" xr:uid="{00000000-0005-0000-0000-0000D49E0000}"/>
    <cellStyle name="Normal 2 4 2 5 2 2 2" xfId="42187" xr:uid="{00000000-0005-0000-0000-0000D59E0000}"/>
    <cellStyle name="Normal 2 4 2 5 2 3" xfId="30886" xr:uid="{00000000-0005-0000-0000-0000D69E0000}"/>
    <cellStyle name="Normal 2 4 2 5 3" xfId="13935" xr:uid="{00000000-0005-0000-0000-0000D79E0000}"/>
    <cellStyle name="Normal 2 4 2 5 3 2" xfId="36537" xr:uid="{00000000-0005-0000-0000-0000D89E0000}"/>
    <cellStyle name="Normal 2 4 2 5 4" xfId="25236" xr:uid="{00000000-0005-0000-0000-0000D99E0000}"/>
    <cellStyle name="Normal 2 4 2 6" xfId="4233" xr:uid="{00000000-0005-0000-0000-0000DA9E0000}"/>
    <cellStyle name="Normal 2 4 2 6 2" xfId="9883" xr:uid="{00000000-0005-0000-0000-0000DB9E0000}"/>
    <cellStyle name="Normal 2 4 2 6 2 2" xfId="21184" xr:uid="{00000000-0005-0000-0000-0000DC9E0000}"/>
    <cellStyle name="Normal 2 4 2 6 2 2 2" xfId="43786" xr:uid="{00000000-0005-0000-0000-0000DD9E0000}"/>
    <cellStyle name="Normal 2 4 2 6 2 3" xfId="32485" xr:uid="{00000000-0005-0000-0000-0000DE9E0000}"/>
    <cellStyle name="Normal 2 4 2 6 3" xfId="15534" xr:uid="{00000000-0005-0000-0000-0000DF9E0000}"/>
    <cellStyle name="Normal 2 4 2 6 3 2" xfId="38136" xr:uid="{00000000-0005-0000-0000-0000E09E0000}"/>
    <cellStyle name="Normal 2 4 2 6 4" xfId="26835" xr:uid="{00000000-0005-0000-0000-0000E19E0000}"/>
    <cellStyle name="Normal 2 4 2 7" xfId="6713" xr:uid="{00000000-0005-0000-0000-0000E29E0000}"/>
    <cellStyle name="Normal 2 4 2 7 2" xfId="18014" xr:uid="{00000000-0005-0000-0000-0000E39E0000}"/>
    <cellStyle name="Normal 2 4 2 7 2 2" xfId="40616" xr:uid="{00000000-0005-0000-0000-0000E49E0000}"/>
    <cellStyle name="Normal 2 4 2 7 3" xfId="29315" xr:uid="{00000000-0005-0000-0000-0000E59E0000}"/>
    <cellStyle name="Normal 2 4 2 8" xfId="12364" xr:uid="{00000000-0005-0000-0000-0000E69E0000}"/>
    <cellStyle name="Normal 2 4 2 8 2" xfId="34966" xr:uid="{00000000-0005-0000-0000-0000E79E0000}"/>
    <cellStyle name="Normal 2 4 2 9" xfId="23665" xr:uid="{00000000-0005-0000-0000-0000E89E0000}"/>
    <cellStyle name="Normal 2 4 3" xfId="1220" xr:uid="{00000000-0005-0000-0000-0000E99E0000}"/>
    <cellStyle name="Normal 2 4 3 2" xfId="2093" xr:uid="{00000000-0005-0000-0000-0000EA9E0000}"/>
    <cellStyle name="Normal 2 4 3 2 2" xfId="3288" xr:uid="{00000000-0005-0000-0000-0000EB9E0000}"/>
    <cellStyle name="Normal 2 4 3 2 2 2" xfId="6260" xr:uid="{00000000-0005-0000-0000-0000EC9E0000}"/>
    <cellStyle name="Normal 2 4 3 2 2 2 2" xfId="11910" xr:uid="{00000000-0005-0000-0000-0000ED9E0000}"/>
    <cellStyle name="Normal 2 4 3 2 2 2 2 2" xfId="23211" xr:uid="{00000000-0005-0000-0000-0000EE9E0000}"/>
    <cellStyle name="Normal 2 4 3 2 2 2 2 2 2" xfId="45813" xr:uid="{00000000-0005-0000-0000-0000EF9E0000}"/>
    <cellStyle name="Normal 2 4 3 2 2 2 2 3" xfId="34512" xr:uid="{00000000-0005-0000-0000-0000F09E0000}"/>
    <cellStyle name="Normal 2 4 3 2 2 2 3" xfId="17561" xr:uid="{00000000-0005-0000-0000-0000F19E0000}"/>
    <cellStyle name="Normal 2 4 3 2 2 2 3 2" xfId="40163" xr:uid="{00000000-0005-0000-0000-0000F29E0000}"/>
    <cellStyle name="Normal 2 4 3 2 2 2 4" xfId="28862" xr:uid="{00000000-0005-0000-0000-0000F39E0000}"/>
    <cellStyle name="Normal 2 4 3 2 2 3" xfId="9078" xr:uid="{00000000-0005-0000-0000-0000F49E0000}"/>
    <cellStyle name="Normal 2 4 3 2 2 3 2" xfId="20379" xr:uid="{00000000-0005-0000-0000-0000F59E0000}"/>
    <cellStyle name="Normal 2 4 3 2 2 3 2 2" xfId="42981" xr:uid="{00000000-0005-0000-0000-0000F69E0000}"/>
    <cellStyle name="Normal 2 4 3 2 2 3 3" xfId="31680" xr:uid="{00000000-0005-0000-0000-0000F79E0000}"/>
    <cellStyle name="Normal 2 4 3 2 2 4" xfId="14729" xr:uid="{00000000-0005-0000-0000-0000F89E0000}"/>
    <cellStyle name="Normal 2 4 3 2 2 4 2" xfId="37331" xr:uid="{00000000-0005-0000-0000-0000F99E0000}"/>
    <cellStyle name="Normal 2 4 3 2 2 5" xfId="26030" xr:uid="{00000000-0005-0000-0000-0000FA9E0000}"/>
    <cellStyle name="Normal 2 4 3 2 3" xfId="5026" xr:uid="{00000000-0005-0000-0000-0000FB9E0000}"/>
    <cellStyle name="Normal 2 4 3 2 3 2" xfId="10676" xr:uid="{00000000-0005-0000-0000-0000FC9E0000}"/>
    <cellStyle name="Normal 2 4 3 2 3 2 2" xfId="21977" xr:uid="{00000000-0005-0000-0000-0000FD9E0000}"/>
    <cellStyle name="Normal 2 4 3 2 3 2 2 2" xfId="44579" xr:uid="{00000000-0005-0000-0000-0000FE9E0000}"/>
    <cellStyle name="Normal 2 4 3 2 3 2 3" xfId="33278" xr:uid="{00000000-0005-0000-0000-0000FF9E0000}"/>
    <cellStyle name="Normal 2 4 3 2 3 3" xfId="16327" xr:uid="{00000000-0005-0000-0000-0000009F0000}"/>
    <cellStyle name="Normal 2 4 3 2 3 3 2" xfId="38929" xr:uid="{00000000-0005-0000-0000-0000019F0000}"/>
    <cellStyle name="Normal 2 4 3 2 3 4" xfId="27628" xr:uid="{00000000-0005-0000-0000-0000029F0000}"/>
    <cellStyle name="Normal 2 4 3 2 4" xfId="7949" xr:uid="{00000000-0005-0000-0000-0000039F0000}"/>
    <cellStyle name="Normal 2 4 3 2 4 2" xfId="19250" xr:uid="{00000000-0005-0000-0000-0000049F0000}"/>
    <cellStyle name="Normal 2 4 3 2 4 2 2" xfId="41852" xr:uid="{00000000-0005-0000-0000-0000059F0000}"/>
    <cellStyle name="Normal 2 4 3 2 4 3" xfId="30551" xr:uid="{00000000-0005-0000-0000-0000069F0000}"/>
    <cellStyle name="Normal 2 4 3 2 5" xfId="13600" xr:uid="{00000000-0005-0000-0000-0000079F0000}"/>
    <cellStyle name="Normal 2 4 3 2 5 2" xfId="36202" xr:uid="{00000000-0005-0000-0000-0000089F0000}"/>
    <cellStyle name="Normal 2 4 3 2 6" xfId="24901" xr:uid="{00000000-0005-0000-0000-0000099F0000}"/>
    <cellStyle name="Normal 2 4 3 3" xfId="2617" xr:uid="{00000000-0005-0000-0000-00000A9F0000}"/>
    <cellStyle name="Normal 2 4 3 3 2" xfId="5636" xr:uid="{00000000-0005-0000-0000-00000B9F0000}"/>
    <cellStyle name="Normal 2 4 3 3 2 2" xfId="11286" xr:uid="{00000000-0005-0000-0000-00000C9F0000}"/>
    <cellStyle name="Normal 2 4 3 3 2 2 2" xfId="22587" xr:uid="{00000000-0005-0000-0000-00000D9F0000}"/>
    <cellStyle name="Normal 2 4 3 3 2 2 2 2" xfId="45189" xr:uid="{00000000-0005-0000-0000-00000E9F0000}"/>
    <cellStyle name="Normal 2 4 3 3 2 2 3" xfId="33888" xr:uid="{00000000-0005-0000-0000-00000F9F0000}"/>
    <cellStyle name="Normal 2 4 3 3 2 3" xfId="16937" xr:uid="{00000000-0005-0000-0000-0000109F0000}"/>
    <cellStyle name="Normal 2 4 3 3 2 3 2" xfId="39539" xr:uid="{00000000-0005-0000-0000-0000119F0000}"/>
    <cellStyle name="Normal 2 4 3 3 2 4" xfId="28238" xr:uid="{00000000-0005-0000-0000-0000129F0000}"/>
    <cellStyle name="Normal 2 4 3 3 3" xfId="8453" xr:uid="{00000000-0005-0000-0000-0000139F0000}"/>
    <cellStyle name="Normal 2 4 3 3 3 2" xfId="19754" xr:uid="{00000000-0005-0000-0000-0000149F0000}"/>
    <cellStyle name="Normal 2 4 3 3 3 2 2" xfId="42356" xr:uid="{00000000-0005-0000-0000-0000159F0000}"/>
    <cellStyle name="Normal 2 4 3 3 3 3" xfId="31055" xr:uid="{00000000-0005-0000-0000-0000169F0000}"/>
    <cellStyle name="Normal 2 4 3 3 4" xfId="14104" xr:uid="{00000000-0005-0000-0000-0000179F0000}"/>
    <cellStyle name="Normal 2 4 3 3 4 2" xfId="36706" xr:uid="{00000000-0005-0000-0000-0000189F0000}"/>
    <cellStyle name="Normal 2 4 3 3 5" xfId="25405" xr:uid="{00000000-0005-0000-0000-0000199F0000}"/>
    <cellStyle name="Normal 2 4 3 4" xfId="4402" xr:uid="{00000000-0005-0000-0000-00001A9F0000}"/>
    <cellStyle name="Normal 2 4 3 4 2" xfId="10052" xr:uid="{00000000-0005-0000-0000-00001B9F0000}"/>
    <cellStyle name="Normal 2 4 3 4 2 2" xfId="21353" xr:uid="{00000000-0005-0000-0000-00001C9F0000}"/>
    <cellStyle name="Normal 2 4 3 4 2 2 2" xfId="43955" xr:uid="{00000000-0005-0000-0000-00001D9F0000}"/>
    <cellStyle name="Normal 2 4 3 4 2 3" xfId="32654" xr:uid="{00000000-0005-0000-0000-00001E9F0000}"/>
    <cellStyle name="Normal 2 4 3 4 3" xfId="15703" xr:uid="{00000000-0005-0000-0000-00001F9F0000}"/>
    <cellStyle name="Normal 2 4 3 4 3 2" xfId="38305" xr:uid="{00000000-0005-0000-0000-0000209F0000}"/>
    <cellStyle name="Normal 2 4 3 4 4" xfId="27004" xr:uid="{00000000-0005-0000-0000-0000219F0000}"/>
    <cellStyle name="Normal 2 4 3 5" xfId="7199" xr:uid="{00000000-0005-0000-0000-0000229F0000}"/>
    <cellStyle name="Normal 2 4 3 5 2" xfId="18500" xr:uid="{00000000-0005-0000-0000-0000239F0000}"/>
    <cellStyle name="Normal 2 4 3 5 2 2" xfId="41102" xr:uid="{00000000-0005-0000-0000-0000249F0000}"/>
    <cellStyle name="Normal 2 4 3 5 3" xfId="29801" xr:uid="{00000000-0005-0000-0000-0000259F0000}"/>
    <cellStyle name="Normal 2 4 3 6" xfId="12850" xr:uid="{00000000-0005-0000-0000-0000269F0000}"/>
    <cellStyle name="Normal 2 4 3 6 2" xfId="35452" xr:uid="{00000000-0005-0000-0000-0000279F0000}"/>
    <cellStyle name="Normal 2 4 3 7" xfId="24151" xr:uid="{00000000-0005-0000-0000-0000289F0000}"/>
    <cellStyle name="Normal 2 4 4" xfId="911" xr:uid="{00000000-0005-0000-0000-0000299F0000}"/>
    <cellStyle name="Normal 2 4 4 2" xfId="2981" xr:uid="{00000000-0005-0000-0000-00002A9F0000}"/>
    <cellStyle name="Normal 2 4 4 2 2" xfId="5953" xr:uid="{00000000-0005-0000-0000-00002B9F0000}"/>
    <cellStyle name="Normal 2 4 4 2 2 2" xfId="11603" xr:uid="{00000000-0005-0000-0000-00002C9F0000}"/>
    <cellStyle name="Normal 2 4 4 2 2 2 2" xfId="22904" xr:uid="{00000000-0005-0000-0000-00002D9F0000}"/>
    <cellStyle name="Normal 2 4 4 2 2 2 2 2" xfId="45506" xr:uid="{00000000-0005-0000-0000-00002E9F0000}"/>
    <cellStyle name="Normal 2 4 4 2 2 2 3" xfId="34205" xr:uid="{00000000-0005-0000-0000-00002F9F0000}"/>
    <cellStyle name="Normal 2 4 4 2 2 3" xfId="17254" xr:uid="{00000000-0005-0000-0000-0000309F0000}"/>
    <cellStyle name="Normal 2 4 4 2 2 3 2" xfId="39856" xr:uid="{00000000-0005-0000-0000-0000319F0000}"/>
    <cellStyle name="Normal 2 4 4 2 2 4" xfId="28555" xr:uid="{00000000-0005-0000-0000-0000329F0000}"/>
    <cellStyle name="Normal 2 4 4 2 3" xfId="8771" xr:uid="{00000000-0005-0000-0000-0000339F0000}"/>
    <cellStyle name="Normal 2 4 4 2 3 2" xfId="20072" xr:uid="{00000000-0005-0000-0000-0000349F0000}"/>
    <cellStyle name="Normal 2 4 4 2 3 2 2" xfId="42674" xr:uid="{00000000-0005-0000-0000-0000359F0000}"/>
    <cellStyle name="Normal 2 4 4 2 3 3" xfId="31373" xr:uid="{00000000-0005-0000-0000-0000369F0000}"/>
    <cellStyle name="Normal 2 4 4 2 4" xfId="14422" xr:uid="{00000000-0005-0000-0000-0000379F0000}"/>
    <cellStyle name="Normal 2 4 4 2 4 2" xfId="37024" xr:uid="{00000000-0005-0000-0000-0000389F0000}"/>
    <cellStyle name="Normal 2 4 4 2 5" xfId="25723" xr:uid="{00000000-0005-0000-0000-0000399F0000}"/>
    <cellStyle name="Normal 2 4 4 3" xfId="4719" xr:uid="{00000000-0005-0000-0000-00003A9F0000}"/>
    <cellStyle name="Normal 2 4 4 3 2" xfId="10369" xr:uid="{00000000-0005-0000-0000-00003B9F0000}"/>
    <cellStyle name="Normal 2 4 4 3 2 2" xfId="21670" xr:uid="{00000000-0005-0000-0000-00003C9F0000}"/>
    <cellStyle name="Normal 2 4 4 3 2 2 2" xfId="44272" xr:uid="{00000000-0005-0000-0000-00003D9F0000}"/>
    <cellStyle name="Normal 2 4 4 3 2 3" xfId="32971" xr:uid="{00000000-0005-0000-0000-00003E9F0000}"/>
    <cellStyle name="Normal 2 4 4 3 3" xfId="16020" xr:uid="{00000000-0005-0000-0000-00003F9F0000}"/>
    <cellStyle name="Normal 2 4 4 3 3 2" xfId="38622" xr:uid="{00000000-0005-0000-0000-0000409F0000}"/>
    <cellStyle name="Normal 2 4 4 3 4" xfId="27321" xr:uid="{00000000-0005-0000-0000-0000419F0000}"/>
    <cellStyle name="Normal 2 4 4 4" xfId="6906" xr:uid="{00000000-0005-0000-0000-0000429F0000}"/>
    <cellStyle name="Normal 2 4 4 4 2" xfId="18207" xr:uid="{00000000-0005-0000-0000-0000439F0000}"/>
    <cellStyle name="Normal 2 4 4 4 2 2" xfId="40809" xr:uid="{00000000-0005-0000-0000-0000449F0000}"/>
    <cellStyle name="Normal 2 4 4 4 3" xfId="29508" xr:uid="{00000000-0005-0000-0000-0000459F0000}"/>
    <cellStyle name="Normal 2 4 4 5" xfId="12557" xr:uid="{00000000-0005-0000-0000-0000469F0000}"/>
    <cellStyle name="Normal 2 4 4 5 2" xfId="35159" xr:uid="{00000000-0005-0000-0000-0000479F0000}"/>
    <cellStyle name="Normal 2 4 4 6" xfId="23858" xr:uid="{00000000-0005-0000-0000-0000489F0000}"/>
    <cellStyle name="Normal 2 4 5" xfId="2090" xr:uid="{00000000-0005-0000-0000-0000499F0000}"/>
    <cellStyle name="Normal 2 4 5 2" xfId="3852" xr:uid="{00000000-0005-0000-0000-00004A9F0000}"/>
    <cellStyle name="Normal 2 4 5 2 2" xfId="9560" xr:uid="{00000000-0005-0000-0000-00004B9F0000}"/>
    <cellStyle name="Normal 2 4 5 2 2 2" xfId="20861" xr:uid="{00000000-0005-0000-0000-00004C9F0000}"/>
    <cellStyle name="Normal 2 4 5 2 2 2 2" xfId="43463" xr:uid="{00000000-0005-0000-0000-00004D9F0000}"/>
    <cellStyle name="Normal 2 4 5 2 2 3" xfId="32162" xr:uid="{00000000-0005-0000-0000-00004E9F0000}"/>
    <cellStyle name="Normal 2 4 5 2 3" xfId="15211" xr:uid="{00000000-0005-0000-0000-00004F9F0000}"/>
    <cellStyle name="Normal 2 4 5 2 3 2" xfId="37813" xr:uid="{00000000-0005-0000-0000-0000509F0000}"/>
    <cellStyle name="Normal 2 4 5 2 4" xfId="26512" xr:uid="{00000000-0005-0000-0000-0000519F0000}"/>
    <cellStyle name="Normal 2 4 5 3" xfId="5329" xr:uid="{00000000-0005-0000-0000-0000529F0000}"/>
    <cellStyle name="Normal 2 4 5 3 2" xfId="10979" xr:uid="{00000000-0005-0000-0000-0000539F0000}"/>
    <cellStyle name="Normal 2 4 5 3 2 2" xfId="22280" xr:uid="{00000000-0005-0000-0000-0000549F0000}"/>
    <cellStyle name="Normal 2 4 5 3 2 2 2" xfId="44882" xr:uid="{00000000-0005-0000-0000-0000559F0000}"/>
    <cellStyle name="Normal 2 4 5 3 2 3" xfId="33581" xr:uid="{00000000-0005-0000-0000-0000569F0000}"/>
    <cellStyle name="Normal 2 4 5 3 3" xfId="16630" xr:uid="{00000000-0005-0000-0000-0000579F0000}"/>
    <cellStyle name="Normal 2 4 5 3 3 2" xfId="39232" xr:uid="{00000000-0005-0000-0000-0000589F0000}"/>
    <cellStyle name="Normal 2 4 5 3 4" xfId="27931" xr:uid="{00000000-0005-0000-0000-0000599F0000}"/>
    <cellStyle name="Normal 2 4 5 4" xfId="7946" xr:uid="{00000000-0005-0000-0000-00005A9F0000}"/>
    <cellStyle name="Normal 2 4 5 4 2" xfId="19247" xr:uid="{00000000-0005-0000-0000-00005B9F0000}"/>
    <cellStyle name="Normal 2 4 5 4 2 2" xfId="41849" xr:uid="{00000000-0005-0000-0000-00005C9F0000}"/>
    <cellStyle name="Normal 2 4 5 4 3" xfId="30548" xr:uid="{00000000-0005-0000-0000-00005D9F0000}"/>
    <cellStyle name="Normal 2 4 5 5" xfId="13597" xr:uid="{00000000-0005-0000-0000-00005E9F0000}"/>
    <cellStyle name="Normal 2 4 5 5 2" xfId="36199" xr:uid="{00000000-0005-0000-0000-00005F9F0000}"/>
    <cellStyle name="Normal 2 4 5 6" xfId="24898" xr:uid="{00000000-0005-0000-0000-0000609F0000}"/>
    <cellStyle name="Normal 2 4 6" xfId="2308" xr:uid="{00000000-0005-0000-0000-0000619F0000}"/>
    <cellStyle name="Normal 2 4 6 2" xfId="8144" xr:uid="{00000000-0005-0000-0000-0000629F0000}"/>
    <cellStyle name="Normal 2 4 6 2 2" xfId="19445" xr:uid="{00000000-0005-0000-0000-0000639F0000}"/>
    <cellStyle name="Normal 2 4 6 2 2 2" xfId="42047" xr:uid="{00000000-0005-0000-0000-0000649F0000}"/>
    <cellStyle name="Normal 2 4 6 2 3" xfId="30746" xr:uid="{00000000-0005-0000-0000-0000659F0000}"/>
    <cellStyle name="Normal 2 4 6 3" xfId="13795" xr:uid="{00000000-0005-0000-0000-0000669F0000}"/>
    <cellStyle name="Normal 2 4 6 3 2" xfId="36397" xr:uid="{00000000-0005-0000-0000-0000679F0000}"/>
    <cellStyle name="Normal 2 4 6 4" xfId="25096" xr:uid="{00000000-0005-0000-0000-0000689F0000}"/>
    <cellStyle name="Normal 2 4 7" xfId="4095" xr:uid="{00000000-0005-0000-0000-0000699F0000}"/>
    <cellStyle name="Normal 2 4 7 2" xfId="9745" xr:uid="{00000000-0005-0000-0000-00006A9F0000}"/>
    <cellStyle name="Normal 2 4 7 2 2" xfId="21046" xr:uid="{00000000-0005-0000-0000-00006B9F0000}"/>
    <cellStyle name="Normal 2 4 7 2 2 2" xfId="43648" xr:uid="{00000000-0005-0000-0000-00006C9F0000}"/>
    <cellStyle name="Normal 2 4 7 2 3" xfId="32347" xr:uid="{00000000-0005-0000-0000-00006D9F0000}"/>
    <cellStyle name="Normal 2 4 7 3" xfId="15396" xr:uid="{00000000-0005-0000-0000-00006E9F0000}"/>
    <cellStyle name="Normal 2 4 7 3 2" xfId="37998" xr:uid="{00000000-0005-0000-0000-00006F9F0000}"/>
    <cellStyle name="Normal 2 4 7 4" xfId="26697" xr:uid="{00000000-0005-0000-0000-0000709F0000}"/>
    <cellStyle name="Normal 2 4 8" xfId="6546" xr:uid="{00000000-0005-0000-0000-0000719F0000}"/>
    <cellStyle name="Normal 2 4 8 2" xfId="17847" xr:uid="{00000000-0005-0000-0000-0000729F0000}"/>
    <cellStyle name="Normal 2 4 8 2 2" xfId="40449" xr:uid="{00000000-0005-0000-0000-0000739F0000}"/>
    <cellStyle name="Normal 2 4 8 3" xfId="29148" xr:uid="{00000000-0005-0000-0000-0000749F0000}"/>
    <cellStyle name="Normal 2 4 9" xfId="12197" xr:uid="{00000000-0005-0000-0000-0000759F0000}"/>
    <cellStyle name="Normal 2 4 9 2" xfId="34799" xr:uid="{00000000-0005-0000-0000-0000769F0000}"/>
    <cellStyle name="Normal 2 5" xfId="2825" xr:uid="{00000000-0005-0000-0000-0000779F0000}"/>
    <cellStyle name="Normal 2 5 2" xfId="3926" xr:uid="{00000000-0005-0000-0000-0000789F0000}"/>
    <cellStyle name="Normal 2 5 2 2" xfId="5840" xr:uid="{00000000-0005-0000-0000-0000799F0000}"/>
    <cellStyle name="Normal 2 5 2 2 2" xfId="11490" xr:uid="{00000000-0005-0000-0000-00007A9F0000}"/>
    <cellStyle name="Normal 2 5 2 2 2 2" xfId="22791" xr:uid="{00000000-0005-0000-0000-00007B9F0000}"/>
    <cellStyle name="Normal 2 5 2 2 2 2 2" xfId="45393" xr:uid="{00000000-0005-0000-0000-00007C9F0000}"/>
    <cellStyle name="Normal 2 5 2 2 2 3" xfId="34092" xr:uid="{00000000-0005-0000-0000-00007D9F0000}"/>
    <cellStyle name="Normal 2 5 2 2 3" xfId="17141" xr:uid="{00000000-0005-0000-0000-00007E9F0000}"/>
    <cellStyle name="Normal 2 5 2 2 3 2" xfId="39743" xr:uid="{00000000-0005-0000-0000-00007F9F0000}"/>
    <cellStyle name="Normal 2 5 2 2 4" xfId="28442" xr:uid="{00000000-0005-0000-0000-0000809F0000}"/>
    <cellStyle name="Normal 2 5 2 3" xfId="9611" xr:uid="{00000000-0005-0000-0000-0000819F0000}"/>
    <cellStyle name="Normal 2 5 2 3 2" xfId="20912" xr:uid="{00000000-0005-0000-0000-0000829F0000}"/>
    <cellStyle name="Normal 2 5 2 3 2 2" xfId="43514" xr:uid="{00000000-0005-0000-0000-0000839F0000}"/>
    <cellStyle name="Normal 2 5 2 3 3" xfId="32213" xr:uid="{00000000-0005-0000-0000-0000849F0000}"/>
    <cellStyle name="Normal 2 5 2 4" xfId="15262" xr:uid="{00000000-0005-0000-0000-0000859F0000}"/>
    <cellStyle name="Normal 2 5 2 4 2" xfId="37864" xr:uid="{00000000-0005-0000-0000-0000869F0000}"/>
    <cellStyle name="Normal 2 5 2 5" xfId="26563" xr:uid="{00000000-0005-0000-0000-0000879F0000}"/>
    <cellStyle name="Normal 2 5 3" xfId="4606" xr:uid="{00000000-0005-0000-0000-0000889F0000}"/>
    <cellStyle name="Normal 2 5 3 2" xfId="10256" xr:uid="{00000000-0005-0000-0000-0000899F0000}"/>
    <cellStyle name="Normal 2 5 3 2 2" xfId="21557" xr:uid="{00000000-0005-0000-0000-00008A9F0000}"/>
    <cellStyle name="Normal 2 5 3 2 2 2" xfId="44159" xr:uid="{00000000-0005-0000-0000-00008B9F0000}"/>
    <cellStyle name="Normal 2 5 3 2 3" xfId="32858" xr:uid="{00000000-0005-0000-0000-00008C9F0000}"/>
    <cellStyle name="Normal 2 5 3 3" xfId="15907" xr:uid="{00000000-0005-0000-0000-00008D9F0000}"/>
    <cellStyle name="Normal 2 5 3 3 2" xfId="38509" xr:uid="{00000000-0005-0000-0000-00008E9F0000}"/>
    <cellStyle name="Normal 2 5 3 4" xfId="27208" xr:uid="{00000000-0005-0000-0000-00008F9F0000}"/>
    <cellStyle name="Normal 2 5 4" xfId="8658" xr:uid="{00000000-0005-0000-0000-0000909F0000}"/>
    <cellStyle name="Normal 2 5 4 2" xfId="19959" xr:uid="{00000000-0005-0000-0000-0000919F0000}"/>
    <cellStyle name="Normal 2 5 4 2 2" xfId="42561" xr:uid="{00000000-0005-0000-0000-0000929F0000}"/>
    <cellStyle name="Normal 2 5 4 3" xfId="31260" xr:uid="{00000000-0005-0000-0000-0000939F0000}"/>
    <cellStyle name="Normal 2 5 5" xfId="14309" xr:uid="{00000000-0005-0000-0000-0000949F0000}"/>
    <cellStyle name="Normal 2 5 5 2" xfId="36911" xr:uid="{00000000-0005-0000-0000-0000959F0000}"/>
    <cellStyle name="Normal 2 5 6" xfId="25610" xr:uid="{00000000-0005-0000-0000-0000969F0000}"/>
    <cellStyle name="Normal 2 6" xfId="2828" xr:uid="{00000000-0005-0000-0000-0000979F0000}"/>
    <cellStyle name="Normal 2 7" xfId="3933" xr:uid="{00000000-0005-0000-0000-0000989F0000}"/>
    <cellStyle name="Normal 2 8" xfId="3582" xr:uid="{00000000-0005-0000-0000-0000999F0000}"/>
    <cellStyle name="Normal 2 9" xfId="3962" xr:uid="{00000000-0005-0000-0000-00009A9F0000}"/>
    <cellStyle name="Normal 2 9 2" xfId="2192" xr:uid="{00000000-0005-0000-0000-00009B9F0000}"/>
    <cellStyle name="Normal 3" xfId="43" xr:uid="{00000000-0005-0000-0000-00009C9F0000}"/>
    <cellStyle name="Normal 3 10" xfId="2166" xr:uid="{00000000-0005-0000-0000-00009D9F0000}"/>
    <cellStyle name="Normal 3 11" xfId="3956" xr:uid="{00000000-0005-0000-0000-00009E9F0000}"/>
    <cellStyle name="Normal 3 12" xfId="191" xr:uid="{00000000-0005-0000-0000-00009F9F0000}"/>
    <cellStyle name="Normal 3 12 2" xfId="12103" xr:uid="{00000000-0005-0000-0000-0000A09F0000}"/>
    <cellStyle name="Normal 3 12 2 2" xfId="34705" xr:uid="{00000000-0005-0000-0000-0000A19F0000}"/>
    <cellStyle name="Normal 3 12 3" xfId="23404" xr:uid="{00000000-0005-0000-0000-0000A29F0000}"/>
    <cellStyle name="Normal 3 13" xfId="6452" xr:uid="{00000000-0005-0000-0000-0000A39F0000}"/>
    <cellStyle name="Normal 3 13 2" xfId="17753" xr:uid="{00000000-0005-0000-0000-0000A49F0000}"/>
    <cellStyle name="Normal 3 13 2 2" xfId="40355" xr:uid="{00000000-0005-0000-0000-0000A59F0000}"/>
    <cellStyle name="Normal 3 13 3" xfId="29054" xr:uid="{00000000-0005-0000-0000-0000A69F0000}"/>
    <cellStyle name="Normal 3 14" xfId="97" xr:uid="{00000000-0005-0000-0000-0000A79F0000}"/>
    <cellStyle name="Normal 3 2" xfId="261" xr:uid="{00000000-0005-0000-0000-0000A89F0000}"/>
    <cellStyle name="Normal 3 3" xfId="338" xr:uid="{00000000-0005-0000-0000-0000A99F0000}"/>
    <cellStyle name="Normal 3 3 10" xfId="23451" xr:uid="{00000000-0005-0000-0000-0000AA9F0000}"/>
    <cellStyle name="Normal 3 3 2" xfId="601" xr:uid="{00000000-0005-0000-0000-0000AB9F0000}"/>
    <cellStyle name="Normal 3 3 2 2" xfId="1311" xr:uid="{00000000-0005-0000-0000-0000AC9F0000}"/>
    <cellStyle name="Normal 3 3 2 2 2" xfId="2096" xr:uid="{00000000-0005-0000-0000-0000AD9F0000}"/>
    <cellStyle name="Normal 3 3 2 2 2 2" xfId="3380" xr:uid="{00000000-0005-0000-0000-0000AE9F0000}"/>
    <cellStyle name="Normal 3 3 2 2 2 2 2" xfId="6352" xr:uid="{00000000-0005-0000-0000-0000AF9F0000}"/>
    <cellStyle name="Normal 3 3 2 2 2 2 2 2" xfId="12002" xr:uid="{00000000-0005-0000-0000-0000B09F0000}"/>
    <cellStyle name="Normal 3 3 2 2 2 2 2 2 2" xfId="23303" xr:uid="{00000000-0005-0000-0000-0000B19F0000}"/>
    <cellStyle name="Normal 3 3 2 2 2 2 2 2 2 2" xfId="45905" xr:uid="{00000000-0005-0000-0000-0000B29F0000}"/>
    <cellStyle name="Normal 3 3 2 2 2 2 2 2 3" xfId="34604" xr:uid="{00000000-0005-0000-0000-0000B39F0000}"/>
    <cellStyle name="Normal 3 3 2 2 2 2 2 3" xfId="17653" xr:uid="{00000000-0005-0000-0000-0000B49F0000}"/>
    <cellStyle name="Normal 3 3 2 2 2 2 2 3 2" xfId="40255" xr:uid="{00000000-0005-0000-0000-0000B59F0000}"/>
    <cellStyle name="Normal 3 3 2 2 2 2 2 4" xfId="28954" xr:uid="{00000000-0005-0000-0000-0000B69F0000}"/>
    <cellStyle name="Normal 3 3 2 2 2 2 3" xfId="9170" xr:uid="{00000000-0005-0000-0000-0000B79F0000}"/>
    <cellStyle name="Normal 3 3 2 2 2 2 3 2" xfId="20471" xr:uid="{00000000-0005-0000-0000-0000B89F0000}"/>
    <cellStyle name="Normal 3 3 2 2 2 2 3 2 2" xfId="43073" xr:uid="{00000000-0005-0000-0000-0000B99F0000}"/>
    <cellStyle name="Normal 3 3 2 2 2 2 3 3" xfId="31772" xr:uid="{00000000-0005-0000-0000-0000BA9F0000}"/>
    <cellStyle name="Normal 3 3 2 2 2 2 4" xfId="14821" xr:uid="{00000000-0005-0000-0000-0000BB9F0000}"/>
    <cellStyle name="Normal 3 3 2 2 2 2 4 2" xfId="37423" xr:uid="{00000000-0005-0000-0000-0000BC9F0000}"/>
    <cellStyle name="Normal 3 3 2 2 2 2 5" xfId="26122" xr:uid="{00000000-0005-0000-0000-0000BD9F0000}"/>
    <cellStyle name="Normal 3 3 2 2 2 3" xfId="5118" xr:uid="{00000000-0005-0000-0000-0000BE9F0000}"/>
    <cellStyle name="Normal 3 3 2 2 2 3 2" xfId="10768" xr:uid="{00000000-0005-0000-0000-0000BF9F0000}"/>
    <cellStyle name="Normal 3 3 2 2 2 3 2 2" xfId="22069" xr:uid="{00000000-0005-0000-0000-0000C09F0000}"/>
    <cellStyle name="Normal 3 3 2 2 2 3 2 2 2" xfId="44671" xr:uid="{00000000-0005-0000-0000-0000C19F0000}"/>
    <cellStyle name="Normal 3 3 2 2 2 3 2 3" xfId="33370" xr:uid="{00000000-0005-0000-0000-0000C29F0000}"/>
    <cellStyle name="Normal 3 3 2 2 2 3 3" xfId="16419" xr:uid="{00000000-0005-0000-0000-0000C39F0000}"/>
    <cellStyle name="Normal 3 3 2 2 2 3 3 2" xfId="39021" xr:uid="{00000000-0005-0000-0000-0000C49F0000}"/>
    <cellStyle name="Normal 3 3 2 2 2 3 4" xfId="27720" xr:uid="{00000000-0005-0000-0000-0000C59F0000}"/>
    <cellStyle name="Normal 3 3 2 2 2 4" xfId="7952" xr:uid="{00000000-0005-0000-0000-0000C69F0000}"/>
    <cellStyle name="Normal 3 3 2 2 2 4 2" xfId="19253" xr:uid="{00000000-0005-0000-0000-0000C79F0000}"/>
    <cellStyle name="Normal 3 3 2 2 2 4 2 2" xfId="41855" xr:uid="{00000000-0005-0000-0000-0000C89F0000}"/>
    <cellStyle name="Normal 3 3 2 2 2 4 3" xfId="30554" xr:uid="{00000000-0005-0000-0000-0000C99F0000}"/>
    <cellStyle name="Normal 3 3 2 2 2 5" xfId="13603" xr:uid="{00000000-0005-0000-0000-0000CA9F0000}"/>
    <cellStyle name="Normal 3 3 2 2 2 5 2" xfId="36205" xr:uid="{00000000-0005-0000-0000-0000CB9F0000}"/>
    <cellStyle name="Normal 3 3 2 2 2 6" xfId="24904" xr:uid="{00000000-0005-0000-0000-0000CC9F0000}"/>
    <cellStyle name="Normal 3 3 2 2 3" xfId="2709" xr:uid="{00000000-0005-0000-0000-0000CD9F0000}"/>
    <cellStyle name="Normal 3 3 2 2 3 2" xfId="5728" xr:uid="{00000000-0005-0000-0000-0000CE9F0000}"/>
    <cellStyle name="Normal 3 3 2 2 3 2 2" xfId="11378" xr:uid="{00000000-0005-0000-0000-0000CF9F0000}"/>
    <cellStyle name="Normal 3 3 2 2 3 2 2 2" xfId="22679" xr:uid="{00000000-0005-0000-0000-0000D09F0000}"/>
    <cellStyle name="Normal 3 3 2 2 3 2 2 2 2" xfId="45281" xr:uid="{00000000-0005-0000-0000-0000D19F0000}"/>
    <cellStyle name="Normal 3 3 2 2 3 2 2 3" xfId="33980" xr:uid="{00000000-0005-0000-0000-0000D29F0000}"/>
    <cellStyle name="Normal 3 3 2 2 3 2 3" xfId="17029" xr:uid="{00000000-0005-0000-0000-0000D39F0000}"/>
    <cellStyle name="Normal 3 3 2 2 3 2 3 2" xfId="39631" xr:uid="{00000000-0005-0000-0000-0000D49F0000}"/>
    <cellStyle name="Normal 3 3 2 2 3 2 4" xfId="28330" xr:uid="{00000000-0005-0000-0000-0000D59F0000}"/>
    <cellStyle name="Normal 3 3 2 2 3 3" xfId="8545" xr:uid="{00000000-0005-0000-0000-0000D69F0000}"/>
    <cellStyle name="Normal 3 3 2 2 3 3 2" xfId="19846" xr:uid="{00000000-0005-0000-0000-0000D79F0000}"/>
    <cellStyle name="Normal 3 3 2 2 3 3 2 2" xfId="42448" xr:uid="{00000000-0005-0000-0000-0000D89F0000}"/>
    <cellStyle name="Normal 3 3 2 2 3 3 3" xfId="31147" xr:uid="{00000000-0005-0000-0000-0000D99F0000}"/>
    <cellStyle name="Normal 3 3 2 2 3 4" xfId="14196" xr:uid="{00000000-0005-0000-0000-0000DA9F0000}"/>
    <cellStyle name="Normal 3 3 2 2 3 4 2" xfId="36798" xr:uid="{00000000-0005-0000-0000-0000DB9F0000}"/>
    <cellStyle name="Normal 3 3 2 2 3 5" xfId="25497" xr:uid="{00000000-0005-0000-0000-0000DC9F0000}"/>
    <cellStyle name="Normal 3 3 2 2 4" xfId="4494" xr:uid="{00000000-0005-0000-0000-0000DD9F0000}"/>
    <cellStyle name="Normal 3 3 2 2 4 2" xfId="10144" xr:uid="{00000000-0005-0000-0000-0000DE9F0000}"/>
    <cellStyle name="Normal 3 3 2 2 4 2 2" xfId="21445" xr:uid="{00000000-0005-0000-0000-0000DF9F0000}"/>
    <cellStyle name="Normal 3 3 2 2 4 2 2 2" xfId="44047" xr:uid="{00000000-0005-0000-0000-0000E09F0000}"/>
    <cellStyle name="Normal 3 3 2 2 4 2 3" xfId="32746" xr:uid="{00000000-0005-0000-0000-0000E19F0000}"/>
    <cellStyle name="Normal 3 3 2 2 4 3" xfId="15795" xr:uid="{00000000-0005-0000-0000-0000E29F0000}"/>
    <cellStyle name="Normal 3 3 2 2 4 3 2" xfId="38397" xr:uid="{00000000-0005-0000-0000-0000E39F0000}"/>
    <cellStyle name="Normal 3 3 2 2 4 4" xfId="27096" xr:uid="{00000000-0005-0000-0000-0000E49F0000}"/>
    <cellStyle name="Normal 3 3 2 2 5" xfId="7290" xr:uid="{00000000-0005-0000-0000-0000E59F0000}"/>
    <cellStyle name="Normal 3 3 2 2 5 2" xfId="18591" xr:uid="{00000000-0005-0000-0000-0000E69F0000}"/>
    <cellStyle name="Normal 3 3 2 2 5 2 2" xfId="41193" xr:uid="{00000000-0005-0000-0000-0000E79F0000}"/>
    <cellStyle name="Normal 3 3 2 2 5 3" xfId="29892" xr:uid="{00000000-0005-0000-0000-0000E89F0000}"/>
    <cellStyle name="Normal 3 3 2 2 6" xfId="12941" xr:uid="{00000000-0005-0000-0000-0000E99F0000}"/>
    <cellStyle name="Normal 3 3 2 2 6 2" xfId="35543" xr:uid="{00000000-0005-0000-0000-0000EA9F0000}"/>
    <cellStyle name="Normal 3 3 2 2 7" xfId="24242" xr:uid="{00000000-0005-0000-0000-0000EB9F0000}"/>
    <cellStyle name="Normal 3 3 2 3" xfId="1009" xr:uid="{00000000-0005-0000-0000-0000EC9F0000}"/>
    <cellStyle name="Normal 3 3 2 3 2" xfId="3072" xr:uid="{00000000-0005-0000-0000-0000ED9F0000}"/>
    <cellStyle name="Normal 3 3 2 3 2 2" xfId="6044" xr:uid="{00000000-0005-0000-0000-0000EE9F0000}"/>
    <cellStyle name="Normal 3 3 2 3 2 2 2" xfId="11694" xr:uid="{00000000-0005-0000-0000-0000EF9F0000}"/>
    <cellStyle name="Normal 3 3 2 3 2 2 2 2" xfId="22995" xr:uid="{00000000-0005-0000-0000-0000F09F0000}"/>
    <cellStyle name="Normal 3 3 2 3 2 2 2 2 2" xfId="45597" xr:uid="{00000000-0005-0000-0000-0000F19F0000}"/>
    <cellStyle name="Normal 3 3 2 3 2 2 2 3" xfId="34296" xr:uid="{00000000-0005-0000-0000-0000F29F0000}"/>
    <cellStyle name="Normal 3 3 2 3 2 2 3" xfId="17345" xr:uid="{00000000-0005-0000-0000-0000F39F0000}"/>
    <cellStyle name="Normal 3 3 2 3 2 2 3 2" xfId="39947" xr:uid="{00000000-0005-0000-0000-0000F49F0000}"/>
    <cellStyle name="Normal 3 3 2 3 2 2 4" xfId="28646" xr:uid="{00000000-0005-0000-0000-0000F59F0000}"/>
    <cellStyle name="Normal 3 3 2 3 2 3" xfId="8862" xr:uid="{00000000-0005-0000-0000-0000F69F0000}"/>
    <cellStyle name="Normal 3 3 2 3 2 3 2" xfId="20163" xr:uid="{00000000-0005-0000-0000-0000F79F0000}"/>
    <cellStyle name="Normal 3 3 2 3 2 3 2 2" xfId="42765" xr:uid="{00000000-0005-0000-0000-0000F89F0000}"/>
    <cellStyle name="Normal 3 3 2 3 2 3 3" xfId="31464" xr:uid="{00000000-0005-0000-0000-0000F99F0000}"/>
    <cellStyle name="Normal 3 3 2 3 2 4" xfId="14513" xr:uid="{00000000-0005-0000-0000-0000FA9F0000}"/>
    <cellStyle name="Normal 3 3 2 3 2 4 2" xfId="37115" xr:uid="{00000000-0005-0000-0000-0000FB9F0000}"/>
    <cellStyle name="Normal 3 3 2 3 2 5" xfId="25814" xr:uid="{00000000-0005-0000-0000-0000FC9F0000}"/>
    <cellStyle name="Normal 3 3 2 3 3" xfId="4810" xr:uid="{00000000-0005-0000-0000-0000FD9F0000}"/>
    <cellStyle name="Normal 3 3 2 3 3 2" xfId="10460" xr:uid="{00000000-0005-0000-0000-0000FE9F0000}"/>
    <cellStyle name="Normal 3 3 2 3 3 2 2" xfId="21761" xr:uid="{00000000-0005-0000-0000-0000FF9F0000}"/>
    <cellStyle name="Normal 3 3 2 3 3 2 2 2" xfId="44363" xr:uid="{00000000-0005-0000-0000-000000A00000}"/>
    <cellStyle name="Normal 3 3 2 3 3 2 3" xfId="33062" xr:uid="{00000000-0005-0000-0000-000001A00000}"/>
    <cellStyle name="Normal 3 3 2 3 3 3" xfId="16111" xr:uid="{00000000-0005-0000-0000-000002A00000}"/>
    <cellStyle name="Normal 3 3 2 3 3 3 2" xfId="38713" xr:uid="{00000000-0005-0000-0000-000003A00000}"/>
    <cellStyle name="Normal 3 3 2 3 3 4" xfId="27412" xr:uid="{00000000-0005-0000-0000-000004A00000}"/>
    <cellStyle name="Normal 3 3 2 3 4" xfId="6997" xr:uid="{00000000-0005-0000-0000-000005A00000}"/>
    <cellStyle name="Normal 3 3 2 3 4 2" xfId="18298" xr:uid="{00000000-0005-0000-0000-000006A00000}"/>
    <cellStyle name="Normal 3 3 2 3 4 2 2" xfId="40900" xr:uid="{00000000-0005-0000-0000-000007A00000}"/>
    <cellStyle name="Normal 3 3 2 3 4 3" xfId="29599" xr:uid="{00000000-0005-0000-0000-000008A00000}"/>
    <cellStyle name="Normal 3 3 2 3 5" xfId="12648" xr:uid="{00000000-0005-0000-0000-000009A00000}"/>
    <cellStyle name="Normal 3 3 2 3 5 2" xfId="35250" xr:uid="{00000000-0005-0000-0000-00000AA00000}"/>
    <cellStyle name="Normal 3 3 2 3 6" xfId="23949" xr:uid="{00000000-0005-0000-0000-00000BA00000}"/>
    <cellStyle name="Normal 3 3 2 4" xfId="2095" xr:uid="{00000000-0005-0000-0000-00000CA00000}"/>
    <cellStyle name="Normal 3 3 2 4 2" xfId="3855" xr:uid="{00000000-0005-0000-0000-00000DA00000}"/>
    <cellStyle name="Normal 3 3 2 4 2 2" xfId="9563" xr:uid="{00000000-0005-0000-0000-00000EA00000}"/>
    <cellStyle name="Normal 3 3 2 4 2 2 2" xfId="20864" xr:uid="{00000000-0005-0000-0000-00000FA00000}"/>
    <cellStyle name="Normal 3 3 2 4 2 2 2 2" xfId="43466" xr:uid="{00000000-0005-0000-0000-000010A00000}"/>
    <cellStyle name="Normal 3 3 2 4 2 2 3" xfId="32165" xr:uid="{00000000-0005-0000-0000-000011A00000}"/>
    <cellStyle name="Normal 3 3 2 4 2 3" xfId="15214" xr:uid="{00000000-0005-0000-0000-000012A00000}"/>
    <cellStyle name="Normal 3 3 2 4 2 3 2" xfId="37816" xr:uid="{00000000-0005-0000-0000-000013A00000}"/>
    <cellStyle name="Normal 3 3 2 4 2 4" xfId="26515" xr:uid="{00000000-0005-0000-0000-000014A00000}"/>
    <cellStyle name="Normal 3 3 2 4 3" xfId="5420" xr:uid="{00000000-0005-0000-0000-000015A00000}"/>
    <cellStyle name="Normal 3 3 2 4 3 2" xfId="11070" xr:uid="{00000000-0005-0000-0000-000016A00000}"/>
    <cellStyle name="Normal 3 3 2 4 3 2 2" xfId="22371" xr:uid="{00000000-0005-0000-0000-000017A00000}"/>
    <cellStyle name="Normal 3 3 2 4 3 2 2 2" xfId="44973" xr:uid="{00000000-0005-0000-0000-000018A00000}"/>
    <cellStyle name="Normal 3 3 2 4 3 2 3" xfId="33672" xr:uid="{00000000-0005-0000-0000-000019A00000}"/>
    <cellStyle name="Normal 3 3 2 4 3 3" xfId="16721" xr:uid="{00000000-0005-0000-0000-00001AA00000}"/>
    <cellStyle name="Normal 3 3 2 4 3 3 2" xfId="39323" xr:uid="{00000000-0005-0000-0000-00001BA00000}"/>
    <cellStyle name="Normal 3 3 2 4 3 4" xfId="28022" xr:uid="{00000000-0005-0000-0000-00001CA00000}"/>
    <cellStyle name="Normal 3 3 2 4 4" xfId="7951" xr:uid="{00000000-0005-0000-0000-00001DA00000}"/>
    <cellStyle name="Normal 3 3 2 4 4 2" xfId="19252" xr:uid="{00000000-0005-0000-0000-00001EA00000}"/>
    <cellStyle name="Normal 3 3 2 4 4 2 2" xfId="41854" xr:uid="{00000000-0005-0000-0000-00001FA00000}"/>
    <cellStyle name="Normal 3 3 2 4 4 3" xfId="30553" xr:uid="{00000000-0005-0000-0000-000020A00000}"/>
    <cellStyle name="Normal 3 3 2 4 5" xfId="13602" xr:uid="{00000000-0005-0000-0000-000021A00000}"/>
    <cellStyle name="Normal 3 3 2 4 5 2" xfId="36204" xr:uid="{00000000-0005-0000-0000-000022A00000}"/>
    <cellStyle name="Normal 3 3 2 4 6" xfId="24903" xr:uid="{00000000-0005-0000-0000-000023A00000}"/>
    <cellStyle name="Normal 3 3 2 5" xfId="2401" xr:uid="{00000000-0005-0000-0000-000024A00000}"/>
    <cellStyle name="Normal 3 3 2 5 2" xfId="8237" xr:uid="{00000000-0005-0000-0000-000025A00000}"/>
    <cellStyle name="Normal 3 3 2 5 2 2" xfId="19538" xr:uid="{00000000-0005-0000-0000-000026A00000}"/>
    <cellStyle name="Normal 3 3 2 5 2 2 2" xfId="42140" xr:uid="{00000000-0005-0000-0000-000027A00000}"/>
    <cellStyle name="Normal 3 3 2 5 2 3" xfId="30839" xr:uid="{00000000-0005-0000-0000-000028A00000}"/>
    <cellStyle name="Normal 3 3 2 5 3" xfId="13888" xr:uid="{00000000-0005-0000-0000-000029A00000}"/>
    <cellStyle name="Normal 3 3 2 5 3 2" xfId="36490" xr:uid="{00000000-0005-0000-0000-00002AA00000}"/>
    <cellStyle name="Normal 3 3 2 5 4" xfId="25189" xr:uid="{00000000-0005-0000-0000-00002BA00000}"/>
    <cellStyle name="Normal 3 3 2 6" xfId="4186" xr:uid="{00000000-0005-0000-0000-00002CA00000}"/>
    <cellStyle name="Normal 3 3 2 6 2" xfId="9836" xr:uid="{00000000-0005-0000-0000-00002DA00000}"/>
    <cellStyle name="Normal 3 3 2 6 2 2" xfId="21137" xr:uid="{00000000-0005-0000-0000-00002EA00000}"/>
    <cellStyle name="Normal 3 3 2 6 2 2 2" xfId="43739" xr:uid="{00000000-0005-0000-0000-00002FA00000}"/>
    <cellStyle name="Normal 3 3 2 6 2 3" xfId="32438" xr:uid="{00000000-0005-0000-0000-000030A00000}"/>
    <cellStyle name="Normal 3 3 2 6 3" xfId="15487" xr:uid="{00000000-0005-0000-0000-000031A00000}"/>
    <cellStyle name="Normal 3 3 2 6 3 2" xfId="38089" xr:uid="{00000000-0005-0000-0000-000032A00000}"/>
    <cellStyle name="Normal 3 3 2 6 4" xfId="26788" xr:uid="{00000000-0005-0000-0000-000033A00000}"/>
    <cellStyle name="Normal 3 3 2 7" xfId="6666" xr:uid="{00000000-0005-0000-0000-000034A00000}"/>
    <cellStyle name="Normal 3 3 2 7 2" xfId="17967" xr:uid="{00000000-0005-0000-0000-000035A00000}"/>
    <cellStyle name="Normal 3 3 2 7 2 2" xfId="40569" xr:uid="{00000000-0005-0000-0000-000036A00000}"/>
    <cellStyle name="Normal 3 3 2 7 3" xfId="29268" xr:uid="{00000000-0005-0000-0000-000037A00000}"/>
    <cellStyle name="Normal 3 3 2 8" xfId="12317" xr:uid="{00000000-0005-0000-0000-000038A00000}"/>
    <cellStyle name="Normal 3 3 2 8 2" xfId="34919" xr:uid="{00000000-0005-0000-0000-000039A00000}"/>
    <cellStyle name="Normal 3 3 2 9" xfId="23618" xr:uid="{00000000-0005-0000-0000-00003AA00000}"/>
    <cellStyle name="Normal 3 3 3" xfId="1173" xr:uid="{00000000-0005-0000-0000-00003BA00000}"/>
    <cellStyle name="Normal 3 3 3 2" xfId="2097" xr:uid="{00000000-0005-0000-0000-00003CA00000}"/>
    <cellStyle name="Normal 3 3 3 2 2" xfId="3241" xr:uid="{00000000-0005-0000-0000-00003DA00000}"/>
    <cellStyle name="Normal 3 3 3 2 2 2" xfId="6213" xr:uid="{00000000-0005-0000-0000-00003EA00000}"/>
    <cellStyle name="Normal 3 3 3 2 2 2 2" xfId="11863" xr:uid="{00000000-0005-0000-0000-00003FA00000}"/>
    <cellStyle name="Normal 3 3 3 2 2 2 2 2" xfId="23164" xr:uid="{00000000-0005-0000-0000-000040A00000}"/>
    <cellStyle name="Normal 3 3 3 2 2 2 2 2 2" xfId="45766" xr:uid="{00000000-0005-0000-0000-000041A00000}"/>
    <cellStyle name="Normal 3 3 3 2 2 2 2 3" xfId="34465" xr:uid="{00000000-0005-0000-0000-000042A00000}"/>
    <cellStyle name="Normal 3 3 3 2 2 2 3" xfId="17514" xr:uid="{00000000-0005-0000-0000-000043A00000}"/>
    <cellStyle name="Normal 3 3 3 2 2 2 3 2" xfId="40116" xr:uid="{00000000-0005-0000-0000-000044A00000}"/>
    <cellStyle name="Normal 3 3 3 2 2 2 4" xfId="28815" xr:uid="{00000000-0005-0000-0000-000045A00000}"/>
    <cellStyle name="Normal 3 3 3 2 2 3" xfId="9031" xr:uid="{00000000-0005-0000-0000-000046A00000}"/>
    <cellStyle name="Normal 3 3 3 2 2 3 2" xfId="20332" xr:uid="{00000000-0005-0000-0000-000047A00000}"/>
    <cellStyle name="Normal 3 3 3 2 2 3 2 2" xfId="42934" xr:uid="{00000000-0005-0000-0000-000048A00000}"/>
    <cellStyle name="Normal 3 3 3 2 2 3 3" xfId="31633" xr:uid="{00000000-0005-0000-0000-000049A00000}"/>
    <cellStyle name="Normal 3 3 3 2 2 4" xfId="14682" xr:uid="{00000000-0005-0000-0000-00004AA00000}"/>
    <cellStyle name="Normal 3 3 3 2 2 4 2" xfId="37284" xr:uid="{00000000-0005-0000-0000-00004BA00000}"/>
    <cellStyle name="Normal 3 3 3 2 2 5" xfId="25983" xr:uid="{00000000-0005-0000-0000-00004CA00000}"/>
    <cellStyle name="Normal 3 3 3 2 3" xfId="4979" xr:uid="{00000000-0005-0000-0000-00004DA00000}"/>
    <cellStyle name="Normal 3 3 3 2 3 2" xfId="10629" xr:uid="{00000000-0005-0000-0000-00004EA00000}"/>
    <cellStyle name="Normal 3 3 3 2 3 2 2" xfId="21930" xr:uid="{00000000-0005-0000-0000-00004FA00000}"/>
    <cellStyle name="Normal 3 3 3 2 3 2 2 2" xfId="44532" xr:uid="{00000000-0005-0000-0000-000050A00000}"/>
    <cellStyle name="Normal 3 3 3 2 3 2 3" xfId="33231" xr:uid="{00000000-0005-0000-0000-000051A00000}"/>
    <cellStyle name="Normal 3 3 3 2 3 3" xfId="16280" xr:uid="{00000000-0005-0000-0000-000052A00000}"/>
    <cellStyle name="Normal 3 3 3 2 3 3 2" xfId="38882" xr:uid="{00000000-0005-0000-0000-000053A00000}"/>
    <cellStyle name="Normal 3 3 3 2 3 4" xfId="27581" xr:uid="{00000000-0005-0000-0000-000054A00000}"/>
    <cellStyle name="Normal 3 3 3 2 4" xfId="7953" xr:uid="{00000000-0005-0000-0000-000055A00000}"/>
    <cellStyle name="Normal 3 3 3 2 4 2" xfId="19254" xr:uid="{00000000-0005-0000-0000-000056A00000}"/>
    <cellStyle name="Normal 3 3 3 2 4 2 2" xfId="41856" xr:uid="{00000000-0005-0000-0000-000057A00000}"/>
    <cellStyle name="Normal 3 3 3 2 4 3" xfId="30555" xr:uid="{00000000-0005-0000-0000-000058A00000}"/>
    <cellStyle name="Normal 3 3 3 2 5" xfId="13604" xr:uid="{00000000-0005-0000-0000-000059A00000}"/>
    <cellStyle name="Normal 3 3 3 2 5 2" xfId="36206" xr:uid="{00000000-0005-0000-0000-00005AA00000}"/>
    <cellStyle name="Normal 3 3 3 2 6" xfId="24905" xr:uid="{00000000-0005-0000-0000-00005BA00000}"/>
    <cellStyle name="Normal 3 3 3 3" xfId="2570" xr:uid="{00000000-0005-0000-0000-00005CA00000}"/>
    <cellStyle name="Normal 3 3 3 3 2" xfId="5589" xr:uid="{00000000-0005-0000-0000-00005DA00000}"/>
    <cellStyle name="Normal 3 3 3 3 2 2" xfId="11239" xr:uid="{00000000-0005-0000-0000-00005EA00000}"/>
    <cellStyle name="Normal 3 3 3 3 2 2 2" xfId="22540" xr:uid="{00000000-0005-0000-0000-00005FA00000}"/>
    <cellStyle name="Normal 3 3 3 3 2 2 2 2" xfId="45142" xr:uid="{00000000-0005-0000-0000-000060A00000}"/>
    <cellStyle name="Normal 3 3 3 3 2 2 3" xfId="33841" xr:uid="{00000000-0005-0000-0000-000061A00000}"/>
    <cellStyle name="Normal 3 3 3 3 2 3" xfId="16890" xr:uid="{00000000-0005-0000-0000-000062A00000}"/>
    <cellStyle name="Normal 3 3 3 3 2 3 2" xfId="39492" xr:uid="{00000000-0005-0000-0000-000063A00000}"/>
    <cellStyle name="Normal 3 3 3 3 2 4" xfId="28191" xr:uid="{00000000-0005-0000-0000-000064A00000}"/>
    <cellStyle name="Normal 3 3 3 3 3" xfId="8406" xr:uid="{00000000-0005-0000-0000-000065A00000}"/>
    <cellStyle name="Normal 3 3 3 3 3 2" xfId="19707" xr:uid="{00000000-0005-0000-0000-000066A00000}"/>
    <cellStyle name="Normal 3 3 3 3 3 2 2" xfId="42309" xr:uid="{00000000-0005-0000-0000-000067A00000}"/>
    <cellStyle name="Normal 3 3 3 3 3 3" xfId="31008" xr:uid="{00000000-0005-0000-0000-000068A00000}"/>
    <cellStyle name="Normal 3 3 3 3 4" xfId="14057" xr:uid="{00000000-0005-0000-0000-000069A00000}"/>
    <cellStyle name="Normal 3 3 3 3 4 2" xfId="36659" xr:uid="{00000000-0005-0000-0000-00006AA00000}"/>
    <cellStyle name="Normal 3 3 3 3 5" xfId="25358" xr:uid="{00000000-0005-0000-0000-00006BA00000}"/>
    <cellStyle name="Normal 3 3 3 4" xfId="4355" xr:uid="{00000000-0005-0000-0000-00006CA00000}"/>
    <cellStyle name="Normal 3 3 3 4 2" xfId="10005" xr:uid="{00000000-0005-0000-0000-00006DA00000}"/>
    <cellStyle name="Normal 3 3 3 4 2 2" xfId="21306" xr:uid="{00000000-0005-0000-0000-00006EA00000}"/>
    <cellStyle name="Normal 3 3 3 4 2 2 2" xfId="43908" xr:uid="{00000000-0005-0000-0000-00006FA00000}"/>
    <cellStyle name="Normal 3 3 3 4 2 3" xfId="32607" xr:uid="{00000000-0005-0000-0000-000070A00000}"/>
    <cellStyle name="Normal 3 3 3 4 3" xfId="15656" xr:uid="{00000000-0005-0000-0000-000071A00000}"/>
    <cellStyle name="Normal 3 3 3 4 3 2" xfId="38258" xr:uid="{00000000-0005-0000-0000-000072A00000}"/>
    <cellStyle name="Normal 3 3 3 4 4" xfId="26957" xr:uid="{00000000-0005-0000-0000-000073A00000}"/>
    <cellStyle name="Normal 3 3 3 5" xfId="7152" xr:uid="{00000000-0005-0000-0000-000074A00000}"/>
    <cellStyle name="Normal 3 3 3 5 2" xfId="18453" xr:uid="{00000000-0005-0000-0000-000075A00000}"/>
    <cellStyle name="Normal 3 3 3 5 2 2" xfId="41055" xr:uid="{00000000-0005-0000-0000-000076A00000}"/>
    <cellStyle name="Normal 3 3 3 5 3" xfId="29754" xr:uid="{00000000-0005-0000-0000-000077A00000}"/>
    <cellStyle name="Normal 3 3 3 6" xfId="12803" xr:uid="{00000000-0005-0000-0000-000078A00000}"/>
    <cellStyle name="Normal 3 3 3 6 2" xfId="35405" xr:uid="{00000000-0005-0000-0000-000079A00000}"/>
    <cellStyle name="Normal 3 3 3 7" xfId="24104" xr:uid="{00000000-0005-0000-0000-00007AA00000}"/>
    <cellStyle name="Normal 3 3 4" xfId="862" xr:uid="{00000000-0005-0000-0000-00007BA00000}"/>
    <cellStyle name="Normal 3 3 4 2" xfId="2934" xr:uid="{00000000-0005-0000-0000-00007CA00000}"/>
    <cellStyle name="Normal 3 3 4 2 2" xfId="5906" xr:uid="{00000000-0005-0000-0000-00007DA00000}"/>
    <cellStyle name="Normal 3 3 4 2 2 2" xfId="11556" xr:uid="{00000000-0005-0000-0000-00007EA00000}"/>
    <cellStyle name="Normal 3 3 4 2 2 2 2" xfId="22857" xr:uid="{00000000-0005-0000-0000-00007FA00000}"/>
    <cellStyle name="Normal 3 3 4 2 2 2 2 2" xfId="45459" xr:uid="{00000000-0005-0000-0000-000080A00000}"/>
    <cellStyle name="Normal 3 3 4 2 2 2 3" xfId="34158" xr:uid="{00000000-0005-0000-0000-000081A00000}"/>
    <cellStyle name="Normal 3 3 4 2 2 3" xfId="17207" xr:uid="{00000000-0005-0000-0000-000082A00000}"/>
    <cellStyle name="Normal 3 3 4 2 2 3 2" xfId="39809" xr:uid="{00000000-0005-0000-0000-000083A00000}"/>
    <cellStyle name="Normal 3 3 4 2 2 4" xfId="28508" xr:uid="{00000000-0005-0000-0000-000084A00000}"/>
    <cellStyle name="Normal 3 3 4 2 3" xfId="8724" xr:uid="{00000000-0005-0000-0000-000085A00000}"/>
    <cellStyle name="Normal 3 3 4 2 3 2" xfId="20025" xr:uid="{00000000-0005-0000-0000-000086A00000}"/>
    <cellStyle name="Normal 3 3 4 2 3 2 2" xfId="42627" xr:uid="{00000000-0005-0000-0000-000087A00000}"/>
    <cellStyle name="Normal 3 3 4 2 3 3" xfId="31326" xr:uid="{00000000-0005-0000-0000-000088A00000}"/>
    <cellStyle name="Normal 3 3 4 2 4" xfId="14375" xr:uid="{00000000-0005-0000-0000-000089A00000}"/>
    <cellStyle name="Normal 3 3 4 2 4 2" xfId="36977" xr:uid="{00000000-0005-0000-0000-00008AA00000}"/>
    <cellStyle name="Normal 3 3 4 2 5" xfId="25676" xr:uid="{00000000-0005-0000-0000-00008BA00000}"/>
    <cellStyle name="Normal 3 3 4 3" xfId="4672" xr:uid="{00000000-0005-0000-0000-00008CA00000}"/>
    <cellStyle name="Normal 3 3 4 3 2" xfId="10322" xr:uid="{00000000-0005-0000-0000-00008DA00000}"/>
    <cellStyle name="Normal 3 3 4 3 2 2" xfId="21623" xr:uid="{00000000-0005-0000-0000-00008EA00000}"/>
    <cellStyle name="Normal 3 3 4 3 2 2 2" xfId="44225" xr:uid="{00000000-0005-0000-0000-00008FA00000}"/>
    <cellStyle name="Normal 3 3 4 3 2 3" xfId="32924" xr:uid="{00000000-0005-0000-0000-000090A00000}"/>
    <cellStyle name="Normal 3 3 4 3 3" xfId="15973" xr:uid="{00000000-0005-0000-0000-000091A00000}"/>
    <cellStyle name="Normal 3 3 4 3 3 2" xfId="38575" xr:uid="{00000000-0005-0000-0000-000092A00000}"/>
    <cellStyle name="Normal 3 3 4 3 4" xfId="27274" xr:uid="{00000000-0005-0000-0000-000093A00000}"/>
    <cellStyle name="Normal 3 3 4 4" xfId="6859" xr:uid="{00000000-0005-0000-0000-000094A00000}"/>
    <cellStyle name="Normal 3 3 4 4 2" xfId="18160" xr:uid="{00000000-0005-0000-0000-000095A00000}"/>
    <cellStyle name="Normal 3 3 4 4 2 2" xfId="40762" xr:uid="{00000000-0005-0000-0000-000096A00000}"/>
    <cellStyle name="Normal 3 3 4 4 3" xfId="29461" xr:uid="{00000000-0005-0000-0000-000097A00000}"/>
    <cellStyle name="Normal 3 3 4 5" xfId="12510" xr:uid="{00000000-0005-0000-0000-000098A00000}"/>
    <cellStyle name="Normal 3 3 4 5 2" xfId="35112" xr:uid="{00000000-0005-0000-0000-000099A00000}"/>
    <cellStyle name="Normal 3 3 4 6" xfId="23811" xr:uid="{00000000-0005-0000-0000-00009AA00000}"/>
    <cellStyle name="Normal 3 3 5" xfId="2094" xr:uid="{00000000-0005-0000-0000-00009BA00000}"/>
    <cellStyle name="Normal 3 3 5 2" xfId="3854" xr:uid="{00000000-0005-0000-0000-00009CA00000}"/>
    <cellStyle name="Normal 3 3 5 2 2" xfId="9562" xr:uid="{00000000-0005-0000-0000-00009DA00000}"/>
    <cellStyle name="Normal 3 3 5 2 2 2" xfId="20863" xr:uid="{00000000-0005-0000-0000-00009EA00000}"/>
    <cellStyle name="Normal 3 3 5 2 2 2 2" xfId="43465" xr:uid="{00000000-0005-0000-0000-00009FA00000}"/>
    <cellStyle name="Normal 3 3 5 2 2 3" xfId="32164" xr:uid="{00000000-0005-0000-0000-0000A0A00000}"/>
    <cellStyle name="Normal 3 3 5 2 3" xfId="15213" xr:uid="{00000000-0005-0000-0000-0000A1A00000}"/>
    <cellStyle name="Normal 3 3 5 2 3 2" xfId="37815" xr:uid="{00000000-0005-0000-0000-0000A2A00000}"/>
    <cellStyle name="Normal 3 3 5 2 4" xfId="26514" xr:uid="{00000000-0005-0000-0000-0000A3A00000}"/>
    <cellStyle name="Normal 3 3 5 3" xfId="5282" xr:uid="{00000000-0005-0000-0000-0000A4A00000}"/>
    <cellStyle name="Normal 3 3 5 3 2" xfId="10932" xr:uid="{00000000-0005-0000-0000-0000A5A00000}"/>
    <cellStyle name="Normal 3 3 5 3 2 2" xfId="22233" xr:uid="{00000000-0005-0000-0000-0000A6A00000}"/>
    <cellStyle name="Normal 3 3 5 3 2 2 2" xfId="44835" xr:uid="{00000000-0005-0000-0000-0000A7A00000}"/>
    <cellStyle name="Normal 3 3 5 3 2 3" xfId="33534" xr:uid="{00000000-0005-0000-0000-0000A8A00000}"/>
    <cellStyle name="Normal 3 3 5 3 3" xfId="16583" xr:uid="{00000000-0005-0000-0000-0000A9A00000}"/>
    <cellStyle name="Normal 3 3 5 3 3 2" xfId="39185" xr:uid="{00000000-0005-0000-0000-0000AAA00000}"/>
    <cellStyle name="Normal 3 3 5 3 4" xfId="27884" xr:uid="{00000000-0005-0000-0000-0000ABA00000}"/>
    <cellStyle name="Normal 3 3 5 4" xfId="7950" xr:uid="{00000000-0005-0000-0000-0000ACA00000}"/>
    <cellStyle name="Normal 3 3 5 4 2" xfId="19251" xr:uid="{00000000-0005-0000-0000-0000ADA00000}"/>
    <cellStyle name="Normal 3 3 5 4 2 2" xfId="41853" xr:uid="{00000000-0005-0000-0000-0000AEA00000}"/>
    <cellStyle name="Normal 3 3 5 4 3" xfId="30552" xr:uid="{00000000-0005-0000-0000-0000AFA00000}"/>
    <cellStyle name="Normal 3 3 5 5" xfId="13601" xr:uid="{00000000-0005-0000-0000-0000B0A00000}"/>
    <cellStyle name="Normal 3 3 5 5 2" xfId="36203" xr:uid="{00000000-0005-0000-0000-0000B1A00000}"/>
    <cellStyle name="Normal 3 3 5 6" xfId="24902" xr:uid="{00000000-0005-0000-0000-0000B2A00000}"/>
    <cellStyle name="Normal 3 3 6" xfId="2259" xr:uid="{00000000-0005-0000-0000-0000B3A00000}"/>
    <cellStyle name="Normal 3 3 6 2" xfId="8096" xr:uid="{00000000-0005-0000-0000-0000B4A00000}"/>
    <cellStyle name="Normal 3 3 6 2 2" xfId="19397" xr:uid="{00000000-0005-0000-0000-0000B5A00000}"/>
    <cellStyle name="Normal 3 3 6 2 2 2" xfId="41999" xr:uid="{00000000-0005-0000-0000-0000B6A00000}"/>
    <cellStyle name="Normal 3 3 6 2 3" xfId="30698" xr:uid="{00000000-0005-0000-0000-0000B7A00000}"/>
    <cellStyle name="Normal 3 3 6 3" xfId="13747" xr:uid="{00000000-0005-0000-0000-0000B8A00000}"/>
    <cellStyle name="Normal 3 3 6 3 2" xfId="36349" xr:uid="{00000000-0005-0000-0000-0000B9A00000}"/>
    <cellStyle name="Normal 3 3 6 4" xfId="25048" xr:uid="{00000000-0005-0000-0000-0000BAA00000}"/>
    <cellStyle name="Normal 3 3 7" xfId="4048" xr:uid="{00000000-0005-0000-0000-0000BBA00000}"/>
    <cellStyle name="Normal 3 3 7 2" xfId="9698" xr:uid="{00000000-0005-0000-0000-0000BCA00000}"/>
    <cellStyle name="Normal 3 3 7 2 2" xfId="20999" xr:uid="{00000000-0005-0000-0000-0000BDA00000}"/>
    <cellStyle name="Normal 3 3 7 2 2 2" xfId="43601" xr:uid="{00000000-0005-0000-0000-0000BEA00000}"/>
    <cellStyle name="Normal 3 3 7 2 3" xfId="32300" xr:uid="{00000000-0005-0000-0000-0000BFA00000}"/>
    <cellStyle name="Normal 3 3 7 3" xfId="15349" xr:uid="{00000000-0005-0000-0000-0000C0A00000}"/>
    <cellStyle name="Normal 3 3 7 3 2" xfId="37951" xr:uid="{00000000-0005-0000-0000-0000C1A00000}"/>
    <cellStyle name="Normal 3 3 7 4" xfId="26650" xr:uid="{00000000-0005-0000-0000-0000C2A00000}"/>
    <cellStyle name="Normal 3 3 8" xfId="6499" xr:uid="{00000000-0005-0000-0000-0000C3A00000}"/>
    <cellStyle name="Normal 3 3 8 2" xfId="17800" xr:uid="{00000000-0005-0000-0000-0000C4A00000}"/>
    <cellStyle name="Normal 3 3 8 2 2" xfId="40402" xr:uid="{00000000-0005-0000-0000-0000C5A00000}"/>
    <cellStyle name="Normal 3 3 8 3" xfId="29101" xr:uid="{00000000-0005-0000-0000-0000C6A00000}"/>
    <cellStyle name="Normal 3 3 9" xfId="12150" xr:uid="{00000000-0005-0000-0000-0000C7A00000}"/>
    <cellStyle name="Normal 3 3 9 2" xfId="34752" xr:uid="{00000000-0005-0000-0000-0000C8A00000}"/>
    <cellStyle name="Normal 3 4" xfId="405" xr:uid="{00000000-0005-0000-0000-0000C9A00000}"/>
    <cellStyle name="Normal 3 4 10" xfId="23500" xr:uid="{00000000-0005-0000-0000-0000CAA00000}"/>
    <cellStyle name="Normal 3 4 2" xfId="650" xr:uid="{00000000-0005-0000-0000-0000CBA00000}"/>
    <cellStyle name="Normal 3 4 2 2" xfId="1360" xr:uid="{00000000-0005-0000-0000-0000CCA00000}"/>
    <cellStyle name="Normal 3 4 2 2 2" xfId="2100" xr:uid="{00000000-0005-0000-0000-0000CDA00000}"/>
    <cellStyle name="Normal 3 4 2 2 2 2" xfId="3429" xr:uid="{00000000-0005-0000-0000-0000CEA00000}"/>
    <cellStyle name="Normal 3 4 2 2 2 2 2" xfId="6401" xr:uid="{00000000-0005-0000-0000-0000CFA00000}"/>
    <cellStyle name="Normal 3 4 2 2 2 2 2 2" xfId="12051" xr:uid="{00000000-0005-0000-0000-0000D0A00000}"/>
    <cellStyle name="Normal 3 4 2 2 2 2 2 2 2" xfId="23352" xr:uid="{00000000-0005-0000-0000-0000D1A00000}"/>
    <cellStyle name="Normal 3 4 2 2 2 2 2 2 2 2" xfId="45954" xr:uid="{00000000-0005-0000-0000-0000D2A00000}"/>
    <cellStyle name="Normal 3 4 2 2 2 2 2 2 3" xfId="34653" xr:uid="{00000000-0005-0000-0000-0000D3A00000}"/>
    <cellStyle name="Normal 3 4 2 2 2 2 2 3" xfId="17702" xr:uid="{00000000-0005-0000-0000-0000D4A00000}"/>
    <cellStyle name="Normal 3 4 2 2 2 2 2 3 2" xfId="40304" xr:uid="{00000000-0005-0000-0000-0000D5A00000}"/>
    <cellStyle name="Normal 3 4 2 2 2 2 2 4" xfId="29003" xr:uid="{00000000-0005-0000-0000-0000D6A00000}"/>
    <cellStyle name="Normal 3 4 2 2 2 2 3" xfId="9219" xr:uid="{00000000-0005-0000-0000-0000D7A00000}"/>
    <cellStyle name="Normal 3 4 2 2 2 2 3 2" xfId="20520" xr:uid="{00000000-0005-0000-0000-0000D8A00000}"/>
    <cellStyle name="Normal 3 4 2 2 2 2 3 2 2" xfId="43122" xr:uid="{00000000-0005-0000-0000-0000D9A00000}"/>
    <cellStyle name="Normal 3 4 2 2 2 2 3 3" xfId="31821" xr:uid="{00000000-0005-0000-0000-0000DAA00000}"/>
    <cellStyle name="Normal 3 4 2 2 2 2 4" xfId="14870" xr:uid="{00000000-0005-0000-0000-0000DBA00000}"/>
    <cellStyle name="Normal 3 4 2 2 2 2 4 2" xfId="37472" xr:uid="{00000000-0005-0000-0000-0000DCA00000}"/>
    <cellStyle name="Normal 3 4 2 2 2 2 5" xfId="26171" xr:uid="{00000000-0005-0000-0000-0000DDA00000}"/>
    <cellStyle name="Normal 3 4 2 2 2 3" xfId="5167" xr:uid="{00000000-0005-0000-0000-0000DEA00000}"/>
    <cellStyle name="Normal 3 4 2 2 2 3 2" xfId="10817" xr:uid="{00000000-0005-0000-0000-0000DFA00000}"/>
    <cellStyle name="Normal 3 4 2 2 2 3 2 2" xfId="22118" xr:uid="{00000000-0005-0000-0000-0000E0A00000}"/>
    <cellStyle name="Normal 3 4 2 2 2 3 2 2 2" xfId="44720" xr:uid="{00000000-0005-0000-0000-0000E1A00000}"/>
    <cellStyle name="Normal 3 4 2 2 2 3 2 3" xfId="33419" xr:uid="{00000000-0005-0000-0000-0000E2A00000}"/>
    <cellStyle name="Normal 3 4 2 2 2 3 3" xfId="16468" xr:uid="{00000000-0005-0000-0000-0000E3A00000}"/>
    <cellStyle name="Normal 3 4 2 2 2 3 3 2" xfId="39070" xr:uid="{00000000-0005-0000-0000-0000E4A00000}"/>
    <cellStyle name="Normal 3 4 2 2 2 3 4" xfId="27769" xr:uid="{00000000-0005-0000-0000-0000E5A00000}"/>
    <cellStyle name="Normal 3 4 2 2 2 4" xfId="7956" xr:uid="{00000000-0005-0000-0000-0000E6A00000}"/>
    <cellStyle name="Normal 3 4 2 2 2 4 2" xfId="19257" xr:uid="{00000000-0005-0000-0000-0000E7A00000}"/>
    <cellStyle name="Normal 3 4 2 2 2 4 2 2" xfId="41859" xr:uid="{00000000-0005-0000-0000-0000E8A00000}"/>
    <cellStyle name="Normal 3 4 2 2 2 4 3" xfId="30558" xr:uid="{00000000-0005-0000-0000-0000E9A00000}"/>
    <cellStyle name="Normal 3 4 2 2 2 5" xfId="13607" xr:uid="{00000000-0005-0000-0000-0000EAA00000}"/>
    <cellStyle name="Normal 3 4 2 2 2 5 2" xfId="36209" xr:uid="{00000000-0005-0000-0000-0000EBA00000}"/>
    <cellStyle name="Normal 3 4 2 2 2 6" xfId="24908" xr:uid="{00000000-0005-0000-0000-0000ECA00000}"/>
    <cellStyle name="Normal 3 4 2 2 3" xfId="2758" xr:uid="{00000000-0005-0000-0000-0000EDA00000}"/>
    <cellStyle name="Normal 3 4 2 2 3 2" xfId="5777" xr:uid="{00000000-0005-0000-0000-0000EEA00000}"/>
    <cellStyle name="Normal 3 4 2 2 3 2 2" xfId="11427" xr:uid="{00000000-0005-0000-0000-0000EFA00000}"/>
    <cellStyle name="Normal 3 4 2 2 3 2 2 2" xfId="22728" xr:uid="{00000000-0005-0000-0000-0000F0A00000}"/>
    <cellStyle name="Normal 3 4 2 2 3 2 2 2 2" xfId="45330" xr:uid="{00000000-0005-0000-0000-0000F1A00000}"/>
    <cellStyle name="Normal 3 4 2 2 3 2 2 3" xfId="34029" xr:uid="{00000000-0005-0000-0000-0000F2A00000}"/>
    <cellStyle name="Normal 3 4 2 2 3 2 3" xfId="17078" xr:uid="{00000000-0005-0000-0000-0000F3A00000}"/>
    <cellStyle name="Normal 3 4 2 2 3 2 3 2" xfId="39680" xr:uid="{00000000-0005-0000-0000-0000F4A00000}"/>
    <cellStyle name="Normal 3 4 2 2 3 2 4" xfId="28379" xr:uid="{00000000-0005-0000-0000-0000F5A00000}"/>
    <cellStyle name="Normal 3 4 2 2 3 3" xfId="8594" xr:uid="{00000000-0005-0000-0000-0000F6A00000}"/>
    <cellStyle name="Normal 3 4 2 2 3 3 2" xfId="19895" xr:uid="{00000000-0005-0000-0000-0000F7A00000}"/>
    <cellStyle name="Normal 3 4 2 2 3 3 2 2" xfId="42497" xr:uid="{00000000-0005-0000-0000-0000F8A00000}"/>
    <cellStyle name="Normal 3 4 2 2 3 3 3" xfId="31196" xr:uid="{00000000-0005-0000-0000-0000F9A00000}"/>
    <cellStyle name="Normal 3 4 2 2 3 4" xfId="14245" xr:uid="{00000000-0005-0000-0000-0000FAA00000}"/>
    <cellStyle name="Normal 3 4 2 2 3 4 2" xfId="36847" xr:uid="{00000000-0005-0000-0000-0000FBA00000}"/>
    <cellStyle name="Normal 3 4 2 2 3 5" xfId="25546" xr:uid="{00000000-0005-0000-0000-0000FCA00000}"/>
    <cellStyle name="Normal 3 4 2 2 4" xfId="4543" xr:uid="{00000000-0005-0000-0000-0000FDA00000}"/>
    <cellStyle name="Normal 3 4 2 2 4 2" xfId="10193" xr:uid="{00000000-0005-0000-0000-0000FEA00000}"/>
    <cellStyle name="Normal 3 4 2 2 4 2 2" xfId="21494" xr:uid="{00000000-0005-0000-0000-0000FFA00000}"/>
    <cellStyle name="Normal 3 4 2 2 4 2 2 2" xfId="44096" xr:uid="{00000000-0005-0000-0000-000000A10000}"/>
    <cellStyle name="Normal 3 4 2 2 4 2 3" xfId="32795" xr:uid="{00000000-0005-0000-0000-000001A10000}"/>
    <cellStyle name="Normal 3 4 2 2 4 3" xfId="15844" xr:uid="{00000000-0005-0000-0000-000002A10000}"/>
    <cellStyle name="Normal 3 4 2 2 4 3 2" xfId="38446" xr:uid="{00000000-0005-0000-0000-000003A10000}"/>
    <cellStyle name="Normal 3 4 2 2 4 4" xfId="27145" xr:uid="{00000000-0005-0000-0000-000004A10000}"/>
    <cellStyle name="Normal 3 4 2 2 5" xfId="7339" xr:uid="{00000000-0005-0000-0000-000005A10000}"/>
    <cellStyle name="Normal 3 4 2 2 5 2" xfId="18640" xr:uid="{00000000-0005-0000-0000-000006A10000}"/>
    <cellStyle name="Normal 3 4 2 2 5 2 2" xfId="41242" xr:uid="{00000000-0005-0000-0000-000007A10000}"/>
    <cellStyle name="Normal 3 4 2 2 5 3" xfId="29941" xr:uid="{00000000-0005-0000-0000-000008A10000}"/>
    <cellStyle name="Normal 3 4 2 2 6" xfId="12990" xr:uid="{00000000-0005-0000-0000-000009A10000}"/>
    <cellStyle name="Normal 3 4 2 2 6 2" xfId="35592" xr:uid="{00000000-0005-0000-0000-00000AA10000}"/>
    <cellStyle name="Normal 3 4 2 2 7" xfId="24291" xr:uid="{00000000-0005-0000-0000-00000BA10000}"/>
    <cellStyle name="Normal 3 4 2 3" xfId="1058" xr:uid="{00000000-0005-0000-0000-00000CA10000}"/>
    <cellStyle name="Normal 3 4 2 3 2" xfId="3121" xr:uid="{00000000-0005-0000-0000-00000DA10000}"/>
    <cellStyle name="Normal 3 4 2 3 2 2" xfId="6093" xr:uid="{00000000-0005-0000-0000-00000EA10000}"/>
    <cellStyle name="Normal 3 4 2 3 2 2 2" xfId="11743" xr:uid="{00000000-0005-0000-0000-00000FA10000}"/>
    <cellStyle name="Normal 3 4 2 3 2 2 2 2" xfId="23044" xr:uid="{00000000-0005-0000-0000-000010A10000}"/>
    <cellStyle name="Normal 3 4 2 3 2 2 2 2 2" xfId="45646" xr:uid="{00000000-0005-0000-0000-000011A10000}"/>
    <cellStyle name="Normal 3 4 2 3 2 2 2 3" xfId="34345" xr:uid="{00000000-0005-0000-0000-000012A10000}"/>
    <cellStyle name="Normal 3 4 2 3 2 2 3" xfId="17394" xr:uid="{00000000-0005-0000-0000-000013A10000}"/>
    <cellStyle name="Normal 3 4 2 3 2 2 3 2" xfId="39996" xr:uid="{00000000-0005-0000-0000-000014A10000}"/>
    <cellStyle name="Normal 3 4 2 3 2 2 4" xfId="28695" xr:uid="{00000000-0005-0000-0000-000015A10000}"/>
    <cellStyle name="Normal 3 4 2 3 2 3" xfId="8911" xr:uid="{00000000-0005-0000-0000-000016A10000}"/>
    <cellStyle name="Normal 3 4 2 3 2 3 2" xfId="20212" xr:uid="{00000000-0005-0000-0000-000017A10000}"/>
    <cellStyle name="Normal 3 4 2 3 2 3 2 2" xfId="42814" xr:uid="{00000000-0005-0000-0000-000018A10000}"/>
    <cellStyle name="Normal 3 4 2 3 2 3 3" xfId="31513" xr:uid="{00000000-0005-0000-0000-000019A10000}"/>
    <cellStyle name="Normal 3 4 2 3 2 4" xfId="14562" xr:uid="{00000000-0005-0000-0000-00001AA10000}"/>
    <cellStyle name="Normal 3 4 2 3 2 4 2" xfId="37164" xr:uid="{00000000-0005-0000-0000-00001BA10000}"/>
    <cellStyle name="Normal 3 4 2 3 2 5" xfId="25863" xr:uid="{00000000-0005-0000-0000-00001CA10000}"/>
    <cellStyle name="Normal 3 4 2 3 3" xfId="4859" xr:uid="{00000000-0005-0000-0000-00001DA10000}"/>
    <cellStyle name="Normal 3 4 2 3 3 2" xfId="10509" xr:uid="{00000000-0005-0000-0000-00001EA10000}"/>
    <cellStyle name="Normal 3 4 2 3 3 2 2" xfId="21810" xr:uid="{00000000-0005-0000-0000-00001FA10000}"/>
    <cellStyle name="Normal 3 4 2 3 3 2 2 2" xfId="44412" xr:uid="{00000000-0005-0000-0000-000020A10000}"/>
    <cellStyle name="Normal 3 4 2 3 3 2 3" xfId="33111" xr:uid="{00000000-0005-0000-0000-000021A10000}"/>
    <cellStyle name="Normal 3 4 2 3 3 3" xfId="16160" xr:uid="{00000000-0005-0000-0000-000022A10000}"/>
    <cellStyle name="Normal 3 4 2 3 3 3 2" xfId="38762" xr:uid="{00000000-0005-0000-0000-000023A10000}"/>
    <cellStyle name="Normal 3 4 2 3 3 4" xfId="27461" xr:uid="{00000000-0005-0000-0000-000024A10000}"/>
    <cellStyle name="Normal 3 4 2 3 4" xfId="7046" xr:uid="{00000000-0005-0000-0000-000025A10000}"/>
    <cellStyle name="Normal 3 4 2 3 4 2" xfId="18347" xr:uid="{00000000-0005-0000-0000-000026A10000}"/>
    <cellStyle name="Normal 3 4 2 3 4 2 2" xfId="40949" xr:uid="{00000000-0005-0000-0000-000027A10000}"/>
    <cellStyle name="Normal 3 4 2 3 4 3" xfId="29648" xr:uid="{00000000-0005-0000-0000-000028A10000}"/>
    <cellStyle name="Normal 3 4 2 3 5" xfId="12697" xr:uid="{00000000-0005-0000-0000-000029A10000}"/>
    <cellStyle name="Normal 3 4 2 3 5 2" xfId="35299" xr:uid="{00000000-0005-0000-0000-00002AA10000}"/>
    <cellStyle name="Normal 3 4 2 3 6" xfId="23998" xr:uid="{00000000-0005-0000-0000-00002BA10000}"/>
    <cellStyle name="Normal 3 4 2 4" xfId="2099" xr:uid="{00000000-0005-0000-0000-00002CA10000}"/>
    <cellStyle name="Normal 3 4 2 4 2" xfId="3857" xr:uid="{00000000-0005-0000-0000-00002DA10000}"/>
    <cellStyle name="Normal 3 4 2 4 2 2" xfId="9565" xr:uid="{00000000-0005-0000-0000-00002EA10000}"/>
    <cellStyle name="Normal 3 4 2 4 2 2 2" xfId="20866" xr:uid="{00000000-0005-0000-0000-00002FA10000}"/>
    <cellStyle name="Normal 3 4 2 4 2 2 2 2" xfId="43468" xr:uid="{00000000-0005-0000-0000-000030A10000}"/>
    <cellStyle name="Normal 3 4 2 4 2 2 3" xfId="32167" xr:uid="{00000000-0005-0000-0000-000031A10000}"/>
    <cellStyle name="Normal 3 4 2 4 2 3" xfId="15216" xr:uid="{00000000-0005-0000-0000-000032A10000}"/>
    <cellStyle name="Normal 3 4 2 4 2 3 2" xfId="37818" xr:uid="{00000000-0005-0000-0000-000033A10000}"/>
    <cellStyle name="Normal 3 4 2 4 2 4" xfId="26517" xr:uid="{00000000-0005-0000-0000-000034A10000}"/>
    <cellStyle name="Normal 3 4 2 4 3" xfId="5469" xr:uid="{00000000-0005-0000-0000-000035A10000}"/>
    <cellStyle name="Normal 3 4 2 4 3 2" xfId="11119" xr:uid="{00000000-0005-0000-0000-000036A10000}"/>
    <cellStyle name="Normal 3 4 2 4 3 2 2" xfId="22420" xr:uid="{00000000-0005-0000-0000-000037A10000}"/>
    <cellStyle name="Normal 3 4 2 4 3 2 2 2" xfId="45022" xr:uid="{00000000-0005-0000-0000-000038A10000}"/>
    <cellStyle name="Normal 3 4 2 4 3 2 3" xfId="33721" xr:uid="{00000000-0005-0000-0000-000039A10000}"/>
    <cellStyle name="Normal 3 4 2 4 3 3" xfId="16770" xr:uid="{00000000-0005-0000-0000-00003AA10000}"/>
    <cellStyle name="Normal 3 4 2 4 3 3 2" xfId="39372" xr:uid="{00000000-0005-0000-0000-00003BA10000}"/>
    <cellStyle name="Normal 3 4 2 4 3 4" xfId="28071" xr:uid="{00000000-0005-0000-0000-00003CA10000}"/>
    <cellStyle name="Normal 3 4 2 4 4" xfId="7955" xr:uid="{00000000-0005-0000-0000-00003DA10000}"/>
    <cellStyle name="Normal 3 4 2 4 4 2" xfId="19256" xr:uid="{00000000-0005-0000-0000-00003EA10000}"/>
    <cellStyle name="Normal 3 4 2 4 4 2 2" xfId="41858" xr:uid="{00000000-0005-0000-0000-00003FA10000}"/>
    <cellStyle name="Normal 3 4 2 4 4 3" xfId="30557" xr:uid="{00000000-0005-0000-0000-000040A10000}"/>
    <cellStyle name="Normal 3 4 2 4 5" xfId="13606" xr:uid="{00000000-0005-0000-0000-000041A10000}"/>
    <cellStyle name="Normal 3 4 2 4 5 2" xfId="36208" xr:uid="{00000000-0005-0000-0000-000042A10000}"/>
    <cellStyle name="Normal 3 4 2 4 6" xfId="24907" xr:uid="{00000000-0005-0000-0000-000043A10000}"/>
    <cellStyle name="Normal 3 4 2 5" xfId="2450" xr:uid="{00000000-0005-0000-0000-000044A10000}"/>
    <cellStyle name="Normal 3 4 2 5 2" xfId="8286" xr:uid="{00000000-0005-0000-0000-000045A10000}"/>
    <cellStyle name="Normal 3 4 2 5 2 2" xfId="19587" xr:uid="{00000000-0005-0000-0000-000046A10000}"/>
    <cellStyle name="Normal 3 4 2 5 2 2 2" xfId="42189" xr:uid="{00000000-0005-0000-0000-000047A10000}"/>
    <cellStyle name="Normal 3 4 2 5 2 3" xfId="30888" xr:uid="{00000000-0005-0000-0000-000048A10000}"/>
    <cellStyle name="Normal 3 4 2 5 3" xfId="13937" xr:uid="{00000000-0005-0000-0000-000049A10000}"/>
    <cellStyle name="Normal 3 4 2 5 3 2" xfId="36539" xr:uid="{00000000-0005-0000-0000-00004AA10000}"/>
    <cellStyle name="Normal 3 4 2 5 4" xfId="25238" xr:uid="{00000000-0005-0000-0000-00004BA10000}"/>
    <cellStyle name="Normal 3 4 2 6" xfId="4235" xr:uid="{00000000-0005-0000-0000-00004CA10000}"/>
    <cellStyle name="Normal 3 4 2 6 2" xfId="9885" xr:uid="{00000000-0005-0000-0000-00004DA10000}"/>
    <cellStyle name="Normal 3 4 2 6 2 2" xfId="21186" xr:uid="{00000000-0005-0000-0000-00004EA10000}"/>
    <cellStyle name="Normal 3 4 2 6 2 2 2" xfId="43788" xr:uid="{00000000-0005-0000-0000-00004FA10000}"/>
    <cellStyle name="Normal 3 4 2 6 2 3" xfId="32487" xr:uid="{00000000-0005-0000-0000-000050A10000}"/>
    <cellStyle name="Normal 3 4 2 6 3" xfId="15536" xr:uid="{00000000-0005-0000-0000-000051A10000}"/>
    <cellStyle name="Normal 3 4 2 6 3 2" xfId="38138" xr:uid="{00000000-0005-0000-0000-000052A10000}"/>
    <cellStyle name="Normal 3 4 2 6 4" xfId="26837" xr:uid="{00000000-0005-0000-0000-000053A10000}"/>
    <cellStyle name="Normal 3 4 2 7" xfId="6715" xr:uid="{00000000-0005-0000-0000-000054A10000}"/>
    <cellStyle name="Normal 3 4 2 7 2" xfId="18016" xr:uid="{00000000-0005-0000-0000-000055A10000}"/>
    <cellStyle name="Normal 3 4 2 7 2 2" xfId="40618" xr:uid="{00000000-0005-0000-0000-000056A10000}"/>
    <cellStyle name="Normal 3 4 2 7 3" xfId="29317" xr:uid="{00000000-0005-0000-0000-000057A10000}"/>
    <cellStyle name="Normal 3 4 2 8" xfId="12366" xr:uid="{00000000-0005-0000-0000-000058A10000}"/>
    <cellStyle name="Normal 3 4 2 8 2" xfId="34968" xr:uid="{00000000-0005-0000-0000-000059A10000}"/>
    <cellStyle name="Normal 3 4 2 9" xfId="23667" xr:uid="{00000000-0005-0000-0000-00005AA10000}"/>
    <cellStyle name="Normal 3 4 3" xfId="1222" xr:uid="{00000000-0005-0000-0000-00005BA10000}"/>
    <cellStyle name="Normal 3 4 3 2" xfId="2101" xr:uid="{00000000-0005-0000-0000-00005CA10000}"/>
    <cellStyle name="Normal 3 4 3 2 2" xfId="3290" xr:uid="{00000000-0005-0000-0000-00005DA10000}"/>
    <cellStyle name="Normal 3 4 3 2 2 2" xfId="6262" xr:uid="{00000000-0005-0000-0000-00005EA10000}"/>
    <cellStyle name="Normal 3 4 3 2 2 2 2" xfId="11912" xr:uid="{00000000-0005-0000-0000-00005FA10000}"/>
    <cellStyle name="Normal 3 4 3 2 2 2 2 2" xfId="23213" xr:uid="{00000000-0005-0000-0000-000060A10000}"/>
    <cellStyle name="Normal 3 4 3 2 2 2 2 2 2" xfId="45815" xr:uid="{00000000-0005-0000-0000-000061A10000}"/>
    <cellStyle name="Normal 3 4 3 2 2 2 2 3" xfId="34514" xr:uid="{00000000-0005-0000-0000-000062A10000}"/>
    <cellStyle name="Normal 3 4 3 2 2 2 3" xfId="17563" xr:uid="{00000000-0005-0000-0000-000063A10000}"/>
    <cellStyle name="Normal 3 4 3 2 2 2 3 2" xfId="40165" xr:uid="{00000000-0005-0000-0000-000064A10000}"/>
    <cellStyle name="Normal 3 4 3 2 2 2 4" xfId="28864" xr:uid="{00000000-0005-0000-0000-000065A10000}"/>
    <cellStyle name="Normal 3 4 3 2 2 3" xfId="9080" xr:uid="{00000000-0005-0000-0000-000066A10000}"/>
    <cellStyle name="Normal 3 4 3 2 2 3 2" xfId="20381" xr:uid="{00000000-0005-0000-0000-000067A10000}"/>
    <cellStyle name="Normal 3 4 3 2 2 3 2 2" xfId="42983" xr:uid="{00000000-0005-0000-0000-000068A10000}"/>
    <cellStyle name="Normal 3 4 3 2 2 3 3" xfId="31682" xr:uid="{00000000-0005-0000-0000-000069A10000}"/>
    <cellStyle name="Normal 3 4 3 2 2 4" xfId="14731" xr:uid="{00000000-0005-0000-0000-00006AA10000}"/>
    <cellStyle name="Normal 3 4 3 2 2 4 2" xfId="37333" xr:uid="{00000000-0005-0000-0000-00006BA10000}"/>
    <cellStyle name="Normal 3 4 3 2 2 5" xfId="26032" xr:uid="{00000000-0005-0000-0000-00006CA10000}"/>
    <cellStyle name="Normal 3 4 3 2 3" xfId="5028" xr:uid="{00000000-0005-0000-0000-00006DA10000}"/>
    <cellStyle name="Normal 3 4 3 2 3 2" xfId="10678" xr:uid="{00000000-0005-0000-0000-00006EA10000}"/>
    <cellStyle name="Normal 3 4 3 2 3 2 2" xfId="21979" xr:uid="{00000000-0005-0000-0000-00006FA10000}"/>
    <cellStyle name="Normal 3 4 3 2 3 2 2 2" xfId="44581" xr:uid="{00000000-0005-0000-0000-000070A10000}"/>
    <cellStyle name="Normal 3 4 3 2 3 2 3" xfId="33280" xr:uid="{00000000-0005-0000-0000-000071A10000}"/>
    <cellStyle name="Normal 3 4 3 2 3 3" xfId="16329" xr:uid="{00000000-0005-0000-0000-000072A10000}"/>
    <cellStyle name="Normal 3 4 3 2 3 3 2" xfId="38931" xr:uid="{00000000-0005-0000-0000-000073A10000}"/>
    <cellStyle name="Normal 3 4 3 2 3 4" xfId="27630" xr:uid="{00000000-0005-0000-0000-000074A10000}"/>
    <cellStyle name="Normal 3 4 3 2 4" xfId="7957" xr:uid="{00000000-0005-0000-0000-000075A10000}"/>
    <cellStyle name="Normal 3 4 3 2 4 2" xfId="19258" xr:uid="{00000000-0005-0000-0000-000076A10000}"/>
    <cellStyle name="Normal 3 4 3 2 4 2 2" xfId="41860" xr:uid="{00000000-0005-0000-0000-000077A10000}"/>
    <cellStyle name="Normal 3 4 3 2 4 3" xfId="30559" xr:uid="{00000000-0005-0000-0000-000078A10000}"/>
    <cellStyle name="Normal 3 4 3 2 5" xfId="13608" xr:uid="{00000000-0005-0000-0000-000079A10000}"/>
    <cellStyle name="Normal 3 4 3 2 5 2" xfId="36210" xr:uid="{00000000-0005-0000-0000-00007AA10000}"/>
    <cellStyle name="Normal 3 4 3 2 6" xfId="24909" xr:uid="{00000000-0005-0000-0000-00007BA10000}"/>
    <cellStyle name="Normal 3 4 3 3" xfId="2619" xr:uid="{00000000-0005-0000-0000-00007CA10000}"/>
    <cellStyle name="Normal 3 4 3 3 2" xfId="5638" xr:uid="{00000000-0005-0000-0000-00007DA10000}"/>
    <cellStyle name="Normal 3 4 3 3 2 2" xfId="11288" xr:uid="{00000000-0005-0000-0000-00007EA10000}"/>
    <cellStyle name="Normal 3 4 3 3 2 2 2" xfId="22589" xr:uid="{00000000-0005-0000-0000-00007FA10000}"/>
    <cellStyle name="Normal 3 4 3 3 2 2 2 2" xfId="45191" xr:uid="{00000000-0005-0000-0000-000080A10000}"/>
    <cellStyle name="Normal 3 4 3 3 2 2 3" xfId="33890" xr:uid="{00000000-0005-0000-0000-000081A10000}"/>
    <cellStyle name="Normal 3 4 3 3 2 3" xfId="16939" xr:uid="{00000000-0005-0000-0000-000082A10000}"/>
    <cellStyle name="Normal 3 4 3 3 2 3 2" xfId="39541" xr:uid="{00000000-0005-0000-0000-000083A10000}"/>
    <cellStyle name="Normal 3 4 3 3 2 4" xfId="28240" xr:uid="{00000000-0005-0000-0000-000084A10000}"/>
    <cellStyle name="Normal 3 4 3 3 3" xfId="8455" xr:uid="{00000000-0005-0000-0000-000085A10000}"/>
    <cellStyle name="Normal 3 4 3 3 3 2" xfId="19756" xr:uid="{00000000-0005-0000-0000-000086A10000}"/>
    <cellStyle name="Normal 3 4 3 3 3 2 2" xfId="42358" xr:uid="{00000000-0005-0000-0000-000087A10000}"/>
    <cellStyle name="Normal 3 4 3 3 3 3" xfId="31057" xr:uid="{00000000-0005-0000-0000-000088A10000}"/>
    <cellStyle name="Normal 3 4 3 3 4" xfId="14106" xr:uid="{00000000-0005-0000-0000-000089A10000}"/>
    <cellStyle name="Normal 3 4 3 3 4 2" xfId="36708" xr:uid="{00000000-0005-0000-0000-00008AA10000}"/>
    <cellStyle name="Normal 3 4 3 3 5" xfId="25407" xr:uid="{00000000-0005-0000-0000-00008BA10000}"/>
    <cellStyle name="Normal 3 4 3 4" xfId="4404" xr:uid="{00000000-0005-0000-0000-00008CA10000}"/>
    <cellStyle name="Normal 3 4 3 4 2" xfId="10054" xr:uid="{00000000-0005-0000-0000-00008DA10000}"/>
    <cellStyle name="Normal 3 4 3 4 2 2" xfId="21355" xr:uid="{00000000-0005-0000-0000-00008EA10000}"/>
    <cellStyle name="Normal 3 4 3 4 2 2 2" xfId="43957" xr:uid="{00000000-0005-0000-0000-00008FA10000}"/>
    <cellStyle name="Normal 3 4 3 4 2 3" xfId="32656" xr:uid="{00000000-0005-0000-0000-000090A10000}"/>
    <cellStyle name="Normal 3 4 3 4 3" xfId="15705" xr:uid="{00000000-0005-0000-0000-000091A10000}"/>
    <cellStyle name="Normal 3 4 3 4 3 2" xfId="38307" xr:uid="{00000000-0005-0000-0000-000092A10000}"/>
    <cellStyle name="Normal 3 4 3 4 4" xfId="27006" xr:uid="{00000000-0005-0000-0000-000093A10000}"/>
    <cellStyle name="Normal 3 4 3 5" xfId="7201" xr:uid="{00000000-0005-0000-0000-000094A10000}"/>
    <cellStyle name="Normal 3 4 3 5 2" xfId="18502" xr:uid="{00000000-0005-0000-0000-000095A10000}"/>
    <cellStyle name="Normal 3 4 3 5 2 2" xfId="41104" xr:uid="{00000000-0005-0000-0000-000096A10000}"/>
    <cellStyle name="Normal 3 4 3 5 3" xfId="29803" xr:uid="{00000000-0005-0000-0000-000097A10000}"/>
    <cellStyle name="Normal 3 4 3 6" xfId="12852" xr:uid="{00000000-0005-0000-0000-000098A10000}"/>
    <cellStyle name="Normal 3 4 3 6 2" xfId="35454" xr:uid="{00000000-0005-0000-0000-000099A10000}"/>
    <cellStyle name="Normal 3 4 3 7" xfId="24153" xr:uid="{00000000-0005-0000-0000-00009AA10000}"/>
    <cellStyle name="Normal 3 4 4" xfId="913" xr:uid="{00000000-0005-0000-0000-00009BA10000}"/>
    <cellStyle name="Normal 3 4 4 2" xfId="2983" xr:uid="{00000000-0005-0000-0000-00009CA10000}"/>
    <cellStyle name="Normal 3 4 4 2 2" xfId="5955" xr:uid="{00000000-0005-0000-0000-00009DA10000}"/>
    <cellStyle name="Normal 3 4 4 2 2 2" xfId="11605" xr:uid="{00000000-0005-0000-0000-00009EA10000}"/>
    <cellStyle name="Normal 3 4 4 2 2 2 2" xfId="22906" xr:uid="{00000000-0005-0000-0000-00009FA10000}"/>
    <cellStyle name="Normal 3 4 4 2 2 2 2 2" xfId="45508" xr:uid="{00000000-0005-0000-0000-0000A0A10000}"/>
    <cellStyle name="Normal 3 4 4 2 2 2 3" xfId="34207" xr:uid="{00000000-0005-0000-0000-0000A1A10000}"/>
    <cellStyle name="Normal 3 4 4 2 2 3" xfId="17256" xr:uid="{00000000-0005-0000-0000-0000A2A10000}"/>
    <cellStyle name="Normal 3 4 4 2 2 3 2" xfId="39858" xr:uid="{00000000-0005-0000-0000-0000A3A10000}"/>
    <cellStyle name="Normal 3 4 4 2 2 4" xfId="28557" xr:uid="{00000000-0005-0000-0000-0000A4A10000}"/>
    <cellStyle name="Normal 3 4 4 2 3" xfId="8773" xr:uid="{00000000-0005-0000-0000-0000A5A10000}"/>
    <cellStyle name="Normal 3 4 4 2 3 2" xfId="20074" xr:uid="{00000000-0005-0000-0000-0000A6A10000}"/>
    <cellStyle name="Normal 3 4 4 2 3 2 2" xfId="42676" xr:uid="{00000000-0005-0000-0000-0000A7A10000}"/>
    <cellStyle name="Normal 3 4 4 2 3 3" xfId="31375" xr:uid="{00000000-0005-0000-0000-0000A8A10000}"/>
    <cellStyle name="Normal 3 4 4 2 4" xfId="14424" xr:uid="{00000000-0005-0000-0000-0000A9A10000}"/>
    <cellStyle name="Normal 3 4 4 2 4 2" xfId="37026" xr:uid="{00000000-0005-0000-0000-0000AAA10000}"/>
    <cellStyle name="Normal 3 4 4 2 5" xfId="25725" xr:uid="{00000000-0005-0000-0000-0000ABA10000}"/>
    <cellStyle name="Normal 3 4 4 3" xfId="4721" xr:uid="{00000000-0005-0000-0000-0000ACA10000}"/>
    <cellStyle name="Normal 3 4 4 3 2" xfId="10371" xr:uid="{00000000-0005-0000-0000-0000ADA10000}"/>
    <cellStyle name="Normal 3 4 4 3 2 2" xfId="21672" xr:uid="{00000000-0005-0000-0000-0000AEA10000}"/>
    <cellStyle name="Normal 3 4 4 3 2 2 2" xfId="44274" xr:uid="{00000000-0005-0000-0000-0000AFA10000}"/>
    <cellStyle name="Normal 3 4 4 3 2 3" xfId="32973" xr:uid="{00000000-0005-0000-0000-0000B0A10000}"/>
    <cellStyle name="Normal 3 4 4 3 3" xfId="16022" xr:uid="{00000000-0005-0000-0000-0000B1A10000}"/>
    <cellStyle name="Normal 3 4 4 3 3 2" xfId="38624" xr:uid="{00000000-0005-0000-0000-0000B2A10000}"/>
    <cellStyle name="Normal 3 4 4 3 4" xfId="27323" xr:uid="{00000000-0005-0000-0000-0000B3A10000}"/>
    <cellStyle name="Normal 3 4 4 4" xfId="6908" xr:uid="{00000000-0005-0000-0000-0000B4A10000}"/>
    <cellStyle name="Normal 3 4 4 4 2" xfId="18209" xr:uid="{00000000-0005-0000-0000-0000B5A10000}"/>
    <cellStyle name="Normal 3 4 4 4 2 2" xfId="40811" xr:uid="{00000000-0005-0000-0000-0000B6A10000}"/>
    <cellStyle name="Normal 3 4 4 4 3" xfId="29510" xr:uid="{00000000-0005-0000-0000-0000B7A10000}"/>
    <cellStyle name="Normal 3 4 4 5" xfId="12559" xr:uid="{00000000-0005-0000-0000-0000B8A10000}"/>
    <cellStyle name="Normal 3 4 4 5 2" xfId="35161" xr:uid="{00000000-0005-0000-0000-0000B9A10000}"/>
    <cellStyle name="Normal 3 4 4 6" xfId="23860" xr:uid="{00000000-0005-0000-0000-0000BAA10000}"/>
    <cellStyle name="Normal 3 4 5" xfId="2098" xr:uid="{00000000-0005-0000-0000-0000BBA10000}"/>
    <cellStyle name="Normal 3 4 5 2" xfId="3856" xr:uid="{00000000-0005-0000-0000-0000BCA10000}"/>
    <cellStyle name="Normal 3 4 5 2 2" xfId="9564" xr:uid="{00000000-0005-0000-0000-0000BDA10000}"/>
    <cellStyle name="Normal 3 4 5 2 2 2" xfId="20865" xr:uid="{00000000-0005-0000-0000-0000BEA10000}"/>
    <cellStyle name="Normal 3 4 5 2 2 2 2" xfId="43467" xr:uid="{00000000-0005-0000-0000-0000BFA10000}"/>
    <cellStyle name="Normal 3 4 5 2 2 3" xfId="32166" xr:uid="{00000000-0005-0000-0000-0000C0A10000}"/>
    <cellStyle name="Normal 3 4 5 2 3" xfId="15215" xr:uid="{00000000-0005-0000-0000-0000C1A10000}"/>
    <cellStyle name="Normal 3 4 5 2 3 2" xfId="37817" xr:uid="{00000000-0005-0000-0000-0000C2A10000}"/>
    <cellStyle name="Normal 3 4 5 2 4" xfId="26516" xr:uid="{00000000-0005-0000-0000-0000C3A10000}"/>
    <cellStyle name="Normal 3 4 5 3" xfId="5331" xr:uid="{00000000-0005-0000-0000-0000C4A10000}"/>
    <cellStyle name="Normal 3 4 5 3 2" xfId="10981" xr:uid="{00000000-0005-0000-0000-0000C5A10000}"/>
    <cellStyle name="Normal 3 4 5 3 2 2" xfId="22282" xr:uid="{00000000-0005-0000-0000-0000C6A10000}"/>
    <cellStyle name="Normal 3 4 5 3 2 2 2" xfId="44884" xr:uid="{00000000-0005-0000-0000-0000C7A10000}"/>
    <cellStyle name="Normal 3 4 5 3 2 3" xfId="33583" xr:uid="{00000000-0005-0000-0000-0000C8A10000}"/>
    <cellStyle name="Normal 3 4 5 3 3" xfId="16632" xr:uid="{00000000-0005-0000-0000-0000C9A10000}"/>
    <cellStyle name="Normal 3 4 5 3 3 2" xfId="39234" xr:uid="{00000000-0005-0000-0000-0000CAA10000}"/>
    <cellStyle name="Normal 3 4 5 3 4" xfId="27933" xr:uid="{00000000-0005-0000-0000-0000CBA10000}"/>
    <cellStyle name="Normal 3 4 5 4" xfId="7954" xr:uid="{00000000-0005-0000-0000-0000CCA10000}"/>
    <cellStyle name="Normal 3 4 5 4 2" xfId="19255" xr:uid="{00000000-0005-0000-0000-0000CDA10000}"/>
    <cellStyle name="Normal 3 4 5 4 2 2" xfId="41857" xr:uid="{00000000-0005-0000-0000-0000CEA10000}"/>
    <cellStyle name="Normal 3 4 5 4 3" xfId="30556" xr:uid="{00000000-0005-0000-0000-0000CFA10000}"/>
    <cellStyle name="Normal 3 4 5 5" xfId="13605" xr:uid="{00000000-0005-0000-0000-0000D0A10000}"/>
    <cellStyle name="Normal 3 4 5 5 2" xfId="36207" xr:uid="{00000000-0005-0000-0000-0000D1A10000}"/>
    <cellStyle name="Normal 3 4 5 6" xfId="24906" xr:uid="{00000000-0005-0000-0000-0000D2A10000}"/>
    <cellStyle name="Normal 3 4 6" xfId="2310" xr:uid="{00000000-0005-0000-0000-0000D3A10000}"/>
    <cellStyle name="Normal 3 4 6 2" xfId="8146" xr:uid="{00000000-0005-0000-0000-0000D4A10000}"/>
    <cellStyle name="Normal 3 4 6 2 2" xfId="19447" xr:uid="{00000000-0005-0000-0000-0000D5A10000}"/>
    <cellStyle name="Normal 3 4 6 2 2 2" xfId="42049" xr:uid="{00000000-0005-0000-0000-0000D6A10000}"/>
    <cellStyle name="Normal 3 4 6 2 3" xfId="30748" xr:uid="{00000000-0005-0000-0000-0000D7A10000}"/>
    <cellStyle name="Normal 3 4 6 3" xfId="13797" xr:uid="{00000000-0005-0000-0000-0000D8A10000}"/>
    <cellStyle name="Normal 3 4 6 3 2" xfId="36399" xr:uid="{00000000-0005-0000-0000-0000D9A10000}"/>
    <cellStyle name="Normal 3 4 6 4" xfId="25098" xr:uid="{00000000-0005-0000-0000-0000DAA10000}"/>
    <cellStyle name="Normal 3 4 7" xfId="4097" xr:uid="{00000000-0005-0000-0000-0000DBA10000}"/>
    <cellStyle name="Normal 3 4 7 2" xfId="9747" xr:uid="{00000000-0005-0000-0000-0000DCA10000}"/>
    <cellStyle name="Normal 3 4 7 2 2" xfId="21048" xr:uid="{00000000-0005-0000-0000-0000DDA10000}"/>
    <cellStyle name="Normal 3 4 7 2 2 2" xfId="43650" xr:uid="{00000000-0005-0000-0000-0000DEA10000}"/>
    <cellStyle name="Normal 3 4 7 2 3" xfId="32349" xr:uid="{00000000-0005-0000-0000-0000DFA10000}"/>
    <cellStyle name="Normal 3 4 7 3" xfId="15398" xr:uid="{00000000-0005-0000-0000-0000E0A10000}"/>
    <cellStyle name="Normal 3 4 7 3 2" xfId="38000" xr:uid="{00000000-0005-0000-0000-0000E1A10000}"/>
    <cellStyle name="Normal 3 4 7 4" xfId="26699" xr:uid="{00000000-0005-0000-0000-0000E2A10000}"/>
    <cellStyle name="Normal 3 4 8" xfId="6548" xr:uid="{00000000-0005-0000-0000-0000E3A10000}"/>
    <cellStyle name="Normal 3 4 8 2" xfId="17849" xr:uid="{00000000-0005-0000-0000-0000E4A10000}"/>
    <cellStyle name="Normal 3 4 8 2 2" xfId="40451" xr:uid="{00000000-0005-0000-0000-0000E5A10000}"/>
    <cellStyle name="Normal 3 4 8 3" xfId="29150" xr:uid="{00000000-0005-0000-0000-0000E6A10000}"/>
    <cellStyle name="Normal 3 4 9" xfId="12199" xr:uid="{00000000-0005-0000-0000-0000E7A10000}"/>
    <cellStyle name="Normal 3 4 9 2" xfId="34801" xr:uid="{00000000-0005-0000-0000-0000E8A10000}"/>
    <cellStyle name="Normal 3 5" xfId="524" xr:uid="{00000000-0005-0000-0000-0000E9A10000}"/>
    <cellStyle name="Normal 3 5 2" xfId="1126" xr:uid="{00000000-0005-0000-0000-0000EAA10000}"/>
    <cellStyle name="Normal 3 5 2 2" xfId="2103" xr:uid="{00000000-0005-0000-0000-0000EBA10000}"/>
    <cellStyle name="Normal 3 5 2 2 2" xfId="3193" xr:uid="{00000000-0005-0000-0000-0000ECA10000}"/>
    <cellStyle name="Normal 3 5 2 2 2 2" xfId="6165" xr:uid="{00000000-0005-0000-0000-0000EDA10000}"/>
    <cellStyle name="Normal 3 5 2 2 2 2 2" xfId="11815" xr:uid="{00000000-0005-0000-0000-0000EEA10000}"/>
    <cellStyle name="Normal 3 5 2 2 2 2 2 2" xfId="23116" xr:uid="{00000000-0005-0000-0000-0000EFA10000}"/>
    <cellStyle name="Normal 3 5 2 2 2 2 2 2 2" xfId="45718" xr:uid="{00000000-0005-0000-0000-0000F0A10000}"/>
    <cellStyle name="Normal 3 5 2 2 2 2 2 3" xfId="34417" xr:uid="{00000000-0005-0000-0000-0000F1A10000}"/>
    <cellStyle name="Normal 3 5 2 2 2 2 3" xfId="17466" xr:uid="{00000000-0005-0000-0000-0000F2A10000}"/>
    <cellStyle name="Normal 3 5 2 2 2 2 3 2" xfId="40068" xr:uid="{00000000-0005-0000-0000-0000F3A10000}"/>
    <cellStyle name="Normal 3 5 2 2 2 2 4" xfId="28767" xr:uid="{00000000-0005-0000-0000-0000F4A10000}"/>
    <cellStyle name="Normal 3 5 2 2 2 3" xfId="8983" xr:uid="{00000000-0005-0000-0000-0000F5A10000}"/>
    <cellStyle name="Normal 3 5 2 2 2 3 2" xfId="20284" xr:uid="{00000000-0005-0000-0000-0000F6A10000}"/>
    <cellStyle name="Normal 3 5 2 2 2 3 2 2" xfId="42886" xr:uid="{00000000-0005-0000-0000-0000F7A10000}"/>
    <cellStyle name="Normal 3 5 2 2 2 3 3" xfId="31585" xr:uid="{00000000-0005-0000-0000-0000F8A10000}"/>
    <cellStyle name="Normal 3 5 2 2 2 4" xfId="14634" xr:uid="{00000000-0005-0000-0000-0000F9A10000}"/>
    <cellStyle name="Normal 3 5 2 2 2 4 2" xfId="37236" xr:uid="{00000000-0005-0000-0000-0000FAA10000}"/>
    <cellStyle name="Normal 3 5 2 2 2 5" xfId="25935" xr:uid="{00000000-0005-0000-0000-0000FBA10000}"/>
    <cellStyle name="Normal 3 5 2 2 3" xfId="4931" xr:uid="{00000000-0005-0000-0000-0000FCA10000}"/>
    <cellStyle name="Normal 3 5 2 2 3 2" xfId="10581" xr:uid="{00000000-0005-0000-0000-0000FDA10000}"/>
    <cellStyle name="Normal 3 5 2 2 3 2 2" xfId="21882" xr:uid="{00000000-0005-0000-0000-0000FEA10000}"/>
    <cellStyle name="Normal 3 5 2 2 3 2 2 2" xfId="44484" xr:uid="{00000000-0005-0000-0000-0000FFA10000}"/>
    <cellStyle name="Normal 3 5 2 2 3 2 3" xfId="33183" xr:uid="{00000000-0005-0000-0000-000000A20000}"/>
    <cellStyle name="Normal 3 5 2 2 3 3" xfId="16232" xr:uid="{00000000-0005-0000-0000-000001A20000}"/>
    <cellStyle name="Normal 3 5 2 2 3 3 2" xfId="38834" xr:uid="{00000000-0005-0000-0000-000002A20000}"/>
    <cellStyle name="Normal 3 5 2 2 3 4" xfId="27533" xr:uid="{00000000-0005-0000-0000-000003A20000}"/>
    <cellStyle name="Normal 3 5 2 2 4" xfId="7959" xr:uid="{00000000-0005-0000-0000-000004A20000}"/>
    <cellStyle name="Normal 3 5 2 2 4 2" xfId="19260" xr:uid="{00000000-0005-0000-0000-000005A20000}"/>
    <cellStyle name="Normal 3 5 2 2 4 2 2" xfId="41862" xr:uid="{00000000-0005-0000-0000-000006A20000}"/>
    <cellStyle name="Normal 3 5 2 2 4 3" xfId="30561" xr:uid="{00000000-0005-0000-0000-000007A20000}"/>
    <cellStyle name="Normal 3 5 2 2 5" xfId="13610" xr:uid="{00000000-0005-0000-0000-000008A20000}"/>
    <cellStyle name="Normal 3 5 2 2 5 2" xfId="36212" xr:uid="{00000000-0005-0000-0000-000009A20000}"/>
    <cellStyle name="Normal 3 5 2 2 6" xfId="24911" xr:uid="{00000000-0005-0000-0000-00000AA20000}"/>
    <cellStyle name="Normal 3 5 2 3" xfId="2522" xr:uid="{00000000-0005-0000-0000-00000BA20000}"/>
    <cellStyle name="Normal 3 5 2 3 2" xfId="5541" xr:uid="{00000000-0005-0000-0000-00000CA20000}"/>
    <cellStyle name="Normal 3 5 2 3 2 2" xfId="11191" xr:uid="{00000000-0005-0000-0000-00000DA20000}"/>
    <cellStyle name="Normal 3 5 2 3 2 2 2" xfId="22492" xr:uid="{00000000-0005-0000-0000-00000EA20000}"/>
    <cellStyle name="Normal 3 5 2 3 2 2 2 2" xfId="45094" xr:uid="{00000000-0005-0000-0000-00000FA20000}"/>
    <cellStyle name="Normal 3 5 2 3 2 2 3" xfId="33793" xr:uid="{00000000-0005-0000-0000-000010A20000}"/>
    <cellStyle name="Normal 3 5 2 3 2 3" xfId="16842" xr:uid="{00000000-0005-0000-0000-000011A20000}"/>
    <cellStyle name="Normal 3 5 2 3 2 3 2" xfId="39444" xr:uid="{00000000-0005-0000-0000-000012A20000}"/>
    <cellStyle name="Normal 3 5 2 3 2 4" xfId="28143" xr:uid="{00000000-0005-0000-0000-000013A20000}"/>
    <cellStyle name="Normal 3 5 2 3 3" xfId="8358" xr:uid="{00000000-0005-0000-0000-000014A20000}"/>
    <cellStyle name="Normal 3 5 2 3 3 2" xfId="19659" xr:uid="{00000000-0005-0000-0000-000015A20000}"/>
    <cellStyle name="Normal 3 5 2 3 3 2 2" xfId="42261" xr:uid="{00000000-0005-0000-0000-000016A20000}"/>
    <cellStyle name="Normal 3 5 2 3 3 3" xfId="30960" xr:uid="{00000000-0005-0000-0000-000017A20000}"/>
    <cellStyle name="Normal 3 5 2 3 4" xfId="14009" xr:uid="{00000000-0005-0000-0000-000018A20000}"/>
    <cellStyle name="Normal 3 5 2 3 4 2" xfId="36611" xr:uid="{00000000-0005-0000-0000-000019A20000}"/>
    <cellStyle name="Normal 3 5 2 3 5" xfId="25310" xr:uid="{00000000-0005-0000-0000-00001AA20000}"/>
    <cellStyle name="Normal 3 5 2 4" xfId="4307" xr:uid="{00000000-0005-0000-0000-00001BA20000}"/>
    <cellStyle name="Normal 3 5 2 4 2" xfId="9957" xr:uid="{00000000-0005-0000-0000-00001CA20000}"/>
    <cellStyle name="Normal 3 5 2 4 2 2" xfId="21258" xr:uid="{00000000-0005-0000-0000-00001DA20000}"/>
    <cellStyle name="Normal 3 5 2 4 2 2 2" xfId="43860" xr:uid="{00000000-0005-0000-0000-00001EA20000}"/>
    <cellStyle name="Normal 3 5 2 4 2 3" xfId="32559" xr:uid="{00000000-0005-0000-0000-00001FA20000}"/>
    <cellStyle name="Normal 3 5 2 4 3" xfId="15608" xr:uid="{00000000-0005-0000-0000-000020A20000}"/>
    <cellStyle name="Normal 3 5 2 4 3 2" xfId="38210" xr:uid="{00000000-0005-0000-0000-000021A20000}"/>
    <cellStyle name="Normal 3 5 2 4 4" xfId="26909" xr:uid="{00000000-0005-0000-0000-000022A20000}"/>
    <cellStyle name="Normal 3 5 2 5" xfId="7105" xr:uid="{00000000-0005-0000-0000-000023A20000}"/>
    <cellStyle name="Normal 3 5 2 5 2" xfId="18406" xr:uid="{00000000-0005-0000-0000-000024A20000}"/>
    <cellStyle name="Normal 3 5 2 5 2 2" xfId="41008" xr:uid="{00000000-0005-0000-0000-000025A20000}"/>
    <cellStyle name="Normal 3 5 2 5 3" xfId="29707" xr:uid="{00000000-0005-0000-0000-000026A20000}"/>
    <cellStyle name="Normal 3 5 2 6" xfId="12756" xr:uid="{00000000-0005-0000-0000-000027A20000}"/>
    <cellStyle name="Normal 3 5 2 6 2" xfId="35358" xr:uid="{00000000-0005-0000-0000-000028A20000}"/>
    <cellStyle name="Normal 3 5 2 7" xfId="24057" xr:uid="{00000000-0005-0000-0000-000029A20000}"/>
    <cellStyle name="Normal 3 5 3" xfId="790" xr:uid="{00000000-0005-0000-0000-00002AA20000}"/>
    <cellStyle name="Normal 3 5 3 2" xfId="2887" xr:uid="{00000000-0005-0000-0000-00002BA20000}"/>
    <cellStyle name="Normal 3 5 3 2 2" xfId="5859" xr:uid="{00000000-0005-0000-0000-00002CA20000}"/>
    <cellStyle name="Normal 3 5 3 2 2 2" xfId="11509" xr:uid="{00000000-0005-0000-0000-00002DA20000}"/>
    <cellStyle name="Normal 3 5 3 2 2 2 2" xfId="22810" xr:uid="{00000000-0005-0000-0000-00002EA20000}"/>
    <cellStyle name="Normal 3 5 3 2 2 2 2 2" xfId="45412" xr:uid="{00000000-0005-0000-0000-00002FA20000}"/>
    <cellStyle name="Normal 3 5 3 2 2 2 3" xfId="34111" xr:uid="{00000000-0005-0000-0000-000030A20000}"/>
    <cellStyle name="Normal 3 5 3 2 2 3" xfId="17160" xr:uid="{00000000-0005-0000-0000-000031A20000}"/>
    <cellStyle name="Normal 3 5 3 2 2 3 2" xfId="39762" xr:uid="{00000000-0005-0000-0000-000032A20000}"/>
    <cellStyle name="Normal 3 5 3 2 2 4" xfId="28461" xr:uid="{00000000-0005-0000-0000-000033A20000}"/>
    <cellStyle name="Normal 3 5 3 2 3" xfId="8677" xr:uid="{00000000-0005-0000-0000-000034A20000}"/>
    <cellStyle name="Normal 3 5 3 2 3 2" xfId="19978" xr:uid="{00000000-0005-0000-0000-000035A20000}"/>
    <cellStyle name="Normal 3 5 3 2 3 2 2" xfId="42580" xr:uid="{00000000-0005-0000-0000-000036A20000}"/>
    <cellStyle name="Normal 3 5 3 2 3 3" xfId="31279" xr:uid="{00000000-0005-0000-0000-000037A20000}"/>
    <cellStyle name="Normal 3 5 3 2 4" xfId="14328" xr:uid="{00000000-0005-0000-0000-000038A20000}"/>
    <cellStyle name="Normal 3 5 3 2 4 2" xfId="36930" xr:uid="{00000000-0005-0000-0000-000039A20000}"/>
    <cellStyle name="Normal 3 5 3 2 5" xfId="25629" xr:uid="{00000000-0005-0000-0000-00003AA20000}"/>
    <cellStyle name="Normal 3 5 3 3" xfId="4625" xr:uid="{00000000-0005-0000-0000-00003BA20000}"/>
    <cellStyle name="Normal 3 5 3 3 2" xfId="10275" xr:uid="{00000000-0005-0000-0000-00003CA20000}"/>
    <cellStyle name="Normal 3 5 3 3 2 2" xfId="21576" xr:uid="{00000000-0005-0000-0000-00003DA20000}"/>
    <cellStyle name="Normal 3 5 3 3 2 2 2" xfId="44178" xr:uid="{00000000-0005-0000-0000-00003EA20000}"/>
    <cellStyle name="Normal 3 5 3 3 2 3" xfId="32877" xr:uid="{00000000-0005-0000-0000-00003FA20000}"/>
    <cellStyle name="Normal 3 5 3 3 3" xfId="15926" xr:uid="{00000000-0005-0000-0000-000040A20000}"/>
    <cellStyle name="Normal 3 5 3 3 3 2" xfId="38528" xr:uid="{00000000-0005-0000-0000-000041A20000}"/>
    <cellStyle name="Normal 3 5 3 3 4" xfId="27227" xr:uid="{00000000-0005-0000-0000-000042A20000}"/>
    <cellStyle name="Normal 3 5 3 4" xfId="6807" xr:uid="{00000000-0005-0000-0000-000043A20000}"/>
    <cellStyle name="Normal 3 5 3 4 2" xfId="18108" xr:uid="{00000000-0005-0000-0000-000044A20000}"/>
    <cellStyle name="Normal 3 5 3 4 2 2" xfId="40710" xr:uid="{00000000-0005-0000-0000-000045A20000}"/>
    <cellStyle name="Normal 3 5 3 4 3" xfId="29409" xr:uid="{00000000-0005-0000-0000-000046A20000}"/>
    <cellStyle name="Normal 3 5 3 5" xfId="12458" xr:uid="{00000000-0005-0000-0000-000047A20000}"/>
    <cellStyle name="Normal 3 5 3 5 2" xfId="35060" xr:uid="{00000000-0005-0000-0000-000048A20000}"/>
    <cellStyle name="Normal 3 5 3 6" xfId="23759" xr:uid="{00000000-0005-0000-0000-000049A20000}"/>
    <cellStyle name="Normal 3 5 4" xfId="2102" xr:uid="{00000000-0005-0000-0000-00004AA20000}"/>
    <cellStyle name="Normal 3 5 4 2" xfId="3858" xr:uid="{00000000-0005-0000-0000-00004BA20000}"/>
    <cellStyle name="Normal 3 5 4 2 2" xfId="9566" xr:uid="{00000000-0005-0000-0000-00004CA20000}"/>
    <cellStyle name="Normal 3 5 4 2 2 2" xfId="20867" xr:uid="{00000000-0005-0000-0000-00004DA20000}"/>
    <cellStyle name="Normal 3 5 4 2 2 2 2" xfId="43469" xr:uid="{00000000-0005-0000-0000-00004EA20000}"/>
    <cellStyle name="Normal 3 5 4 2 2 3" xfId="32168" xr:uid="{00000000-0005-0000-0000-00004FA20000}"/>
    <cellStyle name="Normal 3 5 4 2 3" xfId="15217" xr:uid="{00000000-0005-0000-0000-000050A20000}"/>
    <cellStyle name="Normal 3 5 4 2 3 2" xfId="37819" xr:uid="{00000000-0005-0000-0000-000051A20000}"/>
    <cellStyle name="Normal 3 5 4 2 4" xfId="26518" xr:uid="{00000000-0005-0000-0000-000052A20000}"/>
    <cellStyle name="Normal 3 5 4 3" xfId="5235" xr:uid="{00000000-0005-0000-0000-000053A20000}"/>
    <cellStyle name="Normal 3 5 4 3 2" xfId="10885" xr:uid="{00000000-0005-0000-0000-000054A20000}"/>
    <cellStyle name="Normal 3 5 4 3 2 2" xfId="22186" xr:uid="{00000000-0005-0000-0000-000055A20000}"/>
    <cellStyle name="Normal 3 5 4 3 2 2 2" xfId="44788" xr:uid="{00000000-0005-0000-0000-000056A20000}"/>
    <cellStyle name="Normal 3 5 4 3 2 3" xfId="33487" xr:uid="{00000000-0005-0000-0000-000057A20000}"/>
    <cellStyle name="Normal 3 5 4 3 3" xfId="16536" xr:uid="{00000000-0005-0000-0000-000058A20000}"/>
    <cellStyle name="Normal 3 5 4 3 3 2" xfId="39138" xr:uid="{00000000-0005-0000-0000-000059A20000}"/>
    <cellStyle name="Normal 3 5 4 3 4" xfId="27837" xr:uid="{00000000-0005-0000-0000-00005AA20000}"/>
    <cellStyle name="Normal 3 5 4 4" xfId="7958" xr:uid="{00000000-0005-0000-0000-00005BA20000}"/>
    <cellStyle name="Normal 3 5 4 4 2" xfId="19259" xr:uid="{00000000-0005-0000-0000-00005CA20000}"/>
    <cellStyle name="Normal 3 5 4 4 2 2" xfId="41861" xr:uid="{00000000-0005-0000-0000-00005DA20000}"/>
    <cellStyle name="Normal 3 5 4 4 3" xfId="30560" xr:uid="{00000000-0005-0000-0000-00005EA20000}"/>
    <cellStyle name="Normal 3 5 4 5" xfId="13609" xr:uid="{00000000-0005-0000-0000-00005FA20000}"/>
    <cellStyle name="Normal 3 5 4 5 2" xfId="36211" xr:uid="{00000000-0005-0000-0000-000060A20000}"/>
    <cellStyle name="Normal 3 5 4 6" xfId="24910" xr:uid="{00000000-0005-0000-0000-000061A20000}"/>
    <cellStyle name="Normal 3 5 5" xfId="2206" xr:uid="{00000000-0005-0000-0000-000062A20000}"/>
    <cellStyle name="Normal 3 5 5 2" xfId="8049" xr:uid="{00000000-0005-0000-0000-000063A20000}"/>
    <cellStyle name="Normal 3 5 5 2 2" xfId="19350" xr:uid="{00000000-0005-0000-0000-000064A20000}"/>
    <cellStyle name="Normal 3 5 5 2 2 2" xfId="41952" xr:uid="{00000000-0005-0000-0000-000065A20000}"/>
    <cellStyle name="Normal 3 5 5 2 3" xfId="30651" xr:uid="{00000000-0005-0000-0000-000066A20000}"/>
    <cellStyle name="Normal 3 5 5 3" xfId="13700" xr:uid="{00000000-0005-0000-0000-000067A20000}"/>
    <cellStyle name="Normal 3 5 5 3 2" xfId="36302" xr:uid="{00000000-0005-0000-0000-000068A20000}"/>
    <cellStyle name="Normal 3 5 5 4" xfId="25001" xr:uid="{00000000-0005-0000-0000-000069A20000}"/>
    <cellStyle name="Normal 3 5 6" xfId="4001" xr:uid="{00000000-0005-0000-0000-00006AA20000}"/>
    <cellStyle name="Normal 3 5 6 2" xfId="9651" xr:uid="{00000000-0005-0000-0000-00006BA20000}"/>
    <cellStyle name="Normal 3 5 6 2 2" xfId="20952" xr:uid="{00000000-0005-0000-0000-00006CA20000}"/>
    <cellStyle name="Normal 3 5 6 2 2 2" xfId="43554" xr:uid="{00000000-0005-0000-0000-00006DA20000}"/>
    <cellStyle name="Normal 3 5 6 2 3" xfId="32253" xr:uid="{00000000-0005-0000-0000-00006EA20000}"/>
    <cellStyle name="Normal 3 5 6 3" xfId="15302" xr:uid="{00000000-0005-0000-0000-00006FA20000}"/>
    <cellStyle name="Normal 3 5 6 3 2" xfId="37904" xr:uid="{00000000-0005-0000-0000-000070A20000}"/>
    <cellStyle name="Normal 3 5 6 4" xfId="26603" xr:uid="{00000000-0005-0000-0000-000071A20000}"/>
    <cellStyle name="Normal 3 5 7" xfId="6619" xr:uid="{00000000-0005-0000-0000-000072A20000}"/>
    <cellStyle name="Normal 3 5 7 2" xfId="17920" xr:uid="{00000000-0005-0000-0000-000073A20000}"/>
    <cellStyle name="Normal 3 5 7 2 2" xfId="40522" xr:uid="{00000000-0005-0000-0000-000074A20000}"/>
    <cellStyle name="Normal 3 5 7 3" xfId="29221" xr:uid="{00000000-0005-0000-0000-000075A20000}"/>
    <cellStyle name="Normal 3 5 8" xfId="12270" xr:uid="{00000000-0005-0000-0000-000076A20000}"/>
    <cellStyle name="Normal 3 5 8 2" xfId="34872" xr:uid="{00000000-0005-0000-0000-000077A20000}"/>
    <cellStyle name="Normal 3 5 9" xfId="23571" xr:uid="{00000000-0005-0000-0000-000078A20000}"/>
    <cellStyle name="Normal 3 6" xfId="695" xr:uid="{00000000-0005-0000-0000-000079A20000}"/>
    <cellStyle name="Normal 3 7" xfId="1474" xr:uid="{00000000-0005-0000-0000-00007AA20000}"/>
    <cellStyle name="Normal 3 7 2" xfId="3480" xr:uid="{00000000-0005-0000-0000-00007BA20000}"/>
    <cellStyle name="Normal 3 7 3" xfId="3583" xr:uid="{00000000-0005-0000-0000-00007CA20000}"/>
    <cellStyle name="Normal 3 8" xfId="3586" xr:uid="{00000000-0005-0000-0000-00007DA20000}"/>
    <cellStyle name="Normal 3 8 2" xfId="9309" xr:uid="{00000000-0005-0000-0000-00007EA20000}"/>
    <cellStyle name="Normal 3 8 2 2" xfId="20610" xr:uid="{00000000-0005-0000-0000-00007FA20000}"/>
    <cellStyle name="Normal 3 8 2 2 2" xfId="43212" xr:uid="{00000000-0005-0000-0000-000080A20000}"/>
    <cellStyle name="Normal 3 8 2 3" xfId="31911" xr:uid="{00000000-0005-0000-0000-000081A20000}"/>
    <cellStyle name="Normal 3 8 3" xfId="14960" xr:uid="{00000000-0005-0000-0000-000082A20000}"/>
    <cellStyle name="Normal 3 8 3 2" xfId="37562" xr:uid="{00000000-0005-0000-0000-000083A20000}"/>
    <cellStyle name="Normal 3 8 4" xfId="26261" xr:uid="{00000000-0005-0000-0000-000084A20000}"/>
    <cellStyle name="Normal 3 9" xfId="3917" xr:uid="{00000000-0005-0000-0000-000085A20000}"/>
    <cellStyle name="Normal 3 9 2" xfId="3914" xr:uid="{00000000-0005-0000-0000-000086A20000}"/>
    <cellStyle name="Normal 4" xfId="86" xr:uid="{00000000-0005-0000-0000-000087A20000}"/>
    <cellStyle name="Normal 4 2" xfId="252" xr:uid="{00000000-0005-0000-0000-000088A20000}"/>
    <cellStyle name="Normal 4 3" xfId="357" xr:uid="{00000000-0005-0000-0000-000089A20000}"/>
    <cellStyle name="Normal 4 3 10" xfId="23465" xr:uid="{00000000-0005-0000-0000-00008AA20000}"/>
    <cellStyle name="Normal 4 3 2" xfId="615" xr:uid="{00000000-0005-0000-0000-00008BA20000}"/>
    <cellStyle name="Normal 4 3 2 2" xfId="1325" xr:uid="{00000000-0005-0000-0000-00008CA20000}"/>
    <cellStyle name="Normal 4 3 2 2 2" xfId="2106" xr:uid="{00000000-0005-0000-0000-00008DA20000}"/>
    <cellStyle name="Normal 4 3 2 2 2 2" xfId="3394" xr:uid="{00000000-0005-0000-0000-00008EA20000}"/>
    <cellStyle name="Normal 4 3 2 2 2 2 2" xfId="6366" xr:uid="{00000000-0005-0000-0000-00008FA20000}"/>
    <cellStyle name="Normal 4 3 2 2 2 2 2 2" xfId="12016" xr:uid="{00000000-0005-0000-0000-000090A20000}"/>
    <cellStyle name="Normal 4 3 2 2 2 2 2 2 2" xfId="23317" xr:uid="{00000000-0005-0000-0000-000091A20000}"/>
    <cellStyle name="Normal 4 3 2 2 2 2 2 2 2 2" xfId="45919" xr:uid="{00000000-0005-0000-0000-000092A20000}"/>
    <cellStyle name="Normal 4 3 2 2 2 2 2 2 3" xfId="34618" xr:uid="{00000000-0005-0000-0000-000093A20000}"/>
    <cellStyle name="Normal 4 3 2 2 2 2 2 3" xfId="17667" xr:uid="{00000000-0005-0000-0000-000094A20000}"/>
    <cellStyle name="Normal 4 3 2 2 2 2 2 3 2" xfId="40269" xr:uid="{00000000-0005-0000-0000-000095A20000}"/>
    <cellStyle name="Normal 4 3 2 2 2 2 2 4" xfId="28968" xr:uid="{00000000-0005-0000-0000-000096A20000}"/>
    <cellStyle name="Normal 4 3 2 2 2 2 3" xfId="9184" xr:uid="{00000000-0005-0000-0000-000097A20000}"/>
    <cellStyle name="Normal 4 3 2 2 2 2 3 2" xfId="20485" xr:uid="{00000000-0005-0000-0000-000098A20000}"/>
    <cellStyle name="Normal 4 3 2 2 2 2 3 2 2" xfId="43087" xr:uid="{00000000-0005-0000-0000-000099A20000}"/>
    <cellStyle name="Normal 4 3 2 2 2 2 3 3" xfId="31786" xr:uid="{00000000-0005-0000-0000-00009AA20000}"/>
    <cellStyle name="Normal 4 3 2 2 2 2 4" xfId="14835" xr:uid="{00000000-0005-0000-0000-00009BA20000}"/>
    <cellStyle name="Normal 4 3 2 2 2 2 4 2" xfId="37437" xr:uid="{00000000-0005-0000-0000-00009CA20000}"/>
    <cellStyle name="Normal 4 3 2 2 2 2 5" xfId="26136" xr:uid="{00000000-0005-0000-0000-00009DA20000}"/>
    <cellStyle name="Normal 4 3 2 2 2 3" xfId="5132" xr:uid="{00000000-0005-0000-0000-00009EA20000}"/>
    <cellStyle name="Normal 4 3 2 2 2 3 2" xfId="10782" xr:uid="{00000000-0005-0000-0000-00009FA20000}"/>
    <cellStyle name="Normal 4 3 2 2 2 3 2 2" xfId="22083" xr:uid="{00000000-0005-0000-0000-0000A0A20000}"/>
    <cellStyle name="Normal 4 3 2 2 2 3 2 2 2" xfId="44685" xr:uid="{00000000-0005-0000-0000-0000A1A20000}"/>
    <cellStyle name="Normal 4 3 2 2 2 3 2 3" xfId="33384" xr:uid="{00000000-0005-0000-0000-0000A2A20000}"/>
    <cellStyle name="Normal 4 3 2 2 2 3 3" xfId="16433" xr:uid="{00000000-0005-0000-0000-0000A3A20000}"/>
    <cellStyle name="Normal 4 3 2 2 2 3 3 2" xfId="39035" xr:uid="{00000000-0005-0000-0000-0000A4A20000}"/>
    <cellStyle name="Normal 4 3 2 2 2 3 4" xfId="27734" xr:uid="{00000000-0005-0000-0000-0000A5A20000}"/>
    <cellStyle name="Normal 4 3 2 2 2 4" xfId="7962" xr:uid="{00000000-0005-0000-0000-0000A6A20000}"/>
    <cellStyle name="Normal 4 3 2 2 2 4 2" xfId="19263" xr:uid="{00000000-0005-0000-0000-0000A7A20000}"/>
    <cellStyle name="Normal 4 3 2 2 2 4 2 2" xfId="41865" xr:uid="{00000000-0005-0000-0000-0000A8A20000}"/>
    <cellStyle name="Normal 4 3 2 2 2 4 3" xfId="30564" xr:uid="{00000000-0005-0000-0000-0000A9A20000}"/>
    <cellStyle name="Normal 4 3 2 2 2 5" xfId="13613" xr:uid="{00000000-0005-0000-0000-0000AAA20000}"/>
    <cellStyle name="Normal 4 3 2 2 2 5 2" xfId="36215" xr:uid="{00000000-0005-0000-0000-0000ABA20000}"/>
    <cellStyle name="Normal 4 3 2 2 2 6" xfId="24914" xr:uid="{00000000-0005-0000-0000-0000ACA20000}"/>
    <cellStyle name="Normal 4 3 2 2 3" xfId="2723" xr:uid="{00000000-0005-0000-0000-0000ADA20000}"/>
    <cellStyle name="Normal 4 3 2 2 3 2" xfId="5742" xr:uid="{00000000-0005-0000-0000-0000AEA20000}"/>
    <cellStyle name="Normal 4 3 2 2 3 2 2" xfId="11392" xr:uid="{00000000-0005-0000-0000-0000AFA20000}"/>
    <cellStyle name="Normal 4 3 2 2 3 2 2 2" xfId="22693" xr:uid="{00000000-0005-0000-0000-0000B0A20000}"/>
    <cellStyle name="Normal 4 3 2 2 3 2 2 2 2" xfId="45295" xr:uid="{00000000-0005-0000-0000-0000B1A20000}"/>
    <cellStyle name="Normal 4 3 2 2 3 2 2 3" xfId="33994" xr:uid="{00000000-0005-0000-0000-0000B2A20000}"/>
    <cellStyle name="Normal 4 3 2 2 3 2 3" xfId="17043" xr:uid="{00000000-0005-0000-0000-0000B3A20000}"/>
    <cellStyle name="Normal 4 3 2 2 3 2 3 2" xfId="39645" xr:uid="{00000000-0005-0000-0000-0000B4A20000}"/>
    <cellStyle name="Normal 4 3 2 2 3 2 4" xfId="28344" xr:uid="{00000000-0005-0000-0000-0000B5A20000}"/>
    <cellStyle name="Normal 4 3 2 2 3 3" xfId="8559" xr:uid="{00000000-0005-0000-0000-0000B6A20000}"/>
    <cellStyle name="Normal 4 3 2 2 3 3 2" xfId="19860" xr:uid="{00000000-0005-0000-0000-0000B7A20000}"/>
    <cellStyle name="Normal 4 3 2 2 3 3 2 2" xfId="42462" xr:uid="{00000000-0005-0000-0000-0000B8A20000}"/>
    <cellStyle name="Normal 4 3 2 2 3 3 3" xfId="31161" xr:uid="{00000000-0005-0000-0000-0000B9A20000}"/>
    <cellStyle name="Normal 4 3 2 2 3 4" xfId="14210" xr:uid="{00000000-0005-0000-0000-0000BAA20000}"/>
    <cellStyle name="Normal 4 3 2 2 3 4 2" xfId="36812" xr:uid="{00000000-0005-0000-0000-0000BBA20000}"/>
    <cellStyle name="Normal 4 3 2 2 3 5" xfId="25511" xr:uid="{00000000-0005-0000-0000-0000BCA20000}"/>
    <cellStyle name="Normal 4 3 2 2 4" xfId="4508" xr:uid="{00000000-0005-0000-0000-0000BDA20000}"/>
    <cellStyle name="Normal 4 3 2 2 4 2" xfId="10158" xr:uid="{00000000-0005-0000-0000-0000BEA20000}"/>
    <cellStyle name="Normal 4 3 2 2 4 2 2" xfId="21459" xr:uid="{00000000-0005-0000-0000-0000BFA20000}"/>
    <cellStyle name="Normal 4 3 2 2 4 2 2 2" xfId="44061" xr:uid="{00000000-0005-0000-0000-0000C0A20000}"/>
    <cellStyle name="Normal 4 3 2 2 4 2 3" xfId="32760" xr:uid="{00000000-0005-0000-0000-0000C1A20000}"/>
    <cellStyle name="Normal 4 3 2 2 4 3" xfId="15809" xr:uid="{00000000-0005-0000-0000-0000C2A20000}"/>
    <cellStyle name="Normal 4 3 2 2 4 3 2" xfId="38411" xr:uid="{00000000-0005-0000-0000-0000C3A20000}"/>
    <cellStyle name="Normal 4 3 2 2 4 4" xfId="27110" xr:uid="{00000000-0005-0000-0000-0000C4A20000}"/>
    <cellStyle name="Normal 4 3 2 2 5" xfId="7304" xr:uid="{00000000-0005-0000-0000-0000C5A20000}"/>
    <cellStyle name="Normal 4 3 2 2 5 2" xfId="18605" xr:uid="{00000000-0005-0000-0000-0000C6A20000}"/>
    <cellStyle name="Normal 4 3 2 2 5 2 2" xfId="41207" xr:uid="{00000000-0005-0000-0000-0000C7A20000}"/>
    <cellStyle name="Normal 4 3 2 2 5 3" xfId="29906" xr:uid="{00000000-0005-0000-0000-0000C8A20000}"/>
    <cellStyle name="Normal 4 3 2 2 6" xfId="12955" xr:uid="{00000000-0005-0000-0000-0000C9A20000}"/>
    <cellStyle name="Normal 4 3 2 2 6 2" xfId="35557" xr:uid="{00000000-0005-0000-0000-0000CAA20000}"/>
    <cellStyle name="Normal 4 3 2 2 7" xfId="24256" xr:uid="{00000000-0005-0000-0000-0000CBA20000}"/>
    <cellStyle name="Normal 4 3 2 3" xfId="1023" xr:uid="{00000000-0005-0000-0000-0000CCA20000}"/>
    <cellStyle name="Normal 4 3 2 3 2" xfId="3086" xr:uid="{00000000-0005-0000-0000-0000CDA20000}"/>
    <cellStyle name="Normal 4 3 2 3 2 2" xfId="6058" xr:uid="{00000000-0005-0000-0000-0000CEA20000}"/>
    <cellStyle name="Normal 4 3 2 3 2 2 2" xfId="11708" xr:uid="{00000000-0005-0000-0000-0000CFA20000}"/>
    <cellStyle name="Normal 4 3 2 3 2 2 2 2" xfId="23009" xr:uid="{00000000-0005-0000-0000-0000D0A20000}"/>
    <cellStyle name="Normal 4 3 2 3 2 2 2 2 2" xfId="45611" xr:uid="{00000000-0005-0000-0000-0000D1A20000}"/>
    <cellStyle name="Normal 4 3 2 3 2 2 2 3" xfId="34310" xr:uid="{00000000-0005-0000-0000-0000D2A20000}"/>
    <cellStyle name="Normal 4 3 2 3 2 2 3" xfId="17359" xr:uid="{00000000-0005-0000-0000-0000D3A20000}"/>
    <cellStyle name="Normal 4 3 2 3 2 2 3 2" xfId="39961" xr:uid="{00000000-0005-0000-0000-0000D4A20000}"/>
    <cellStyle name="Normal 4 3 2 3 2 2 4" xfId="28660" xr:uid="{00000000-0005-0000-0000-0000D5A20000}"/>
    <cellStyle name="Normal 4 3 2 3 2 3" xfId="8876" xr:uid="{00000000-0005-0000-0000-0000D6A20000}"/>
    <cellStyle name="Normal 4 3 2 3 2 3 2" xfId="20177" xr:uid="{00000000-0005-0000-0000-0000D7A20000}"/>
    <cellStyle name="Normal 4 3 2 3 2 3 2 2" xfId="42779" xr:uid="{00000000-0005-0000-0000-0000D8A20000}"/>
    <cellStyle name="Normal 4 3 2 3 2 3 3" xfId="31478" xr:uid="{00000000-0005-0000-0000-0000D9A20000}"/>
    <cellStyle name="Normal 4 3 2 3 2 4" xfId="14527" xr:uid="{00000000-0005-0000-0000-0000DAA20000}"/>
    <cellStyle name="Normal 4 3 2 3 2 4 2" xfId="37129" xr:uid="{00000000-0005-0000-0000-0000DBA20000}"/>
    <cellStyle name="Normal 4 3 2 3 2 5" xfId="25828" xr:uid="{00000000-0005-0000-0000-0000DCA20000}"/>
    <cellStyle name="Normal 4 3 2 3 3" xfId="4824" xr:uid="{00000000-0005-0000-0000-0000DDA20000}"/>
    <cellStyle name="Normal 4 3 2 3 3 2" xfId="10474" xr:uid="{00000000-0005-0000-0000-0000DEA20000}"/>
    <cellStyle name="Normal 4 3 2 3 3 2 2" xfId="21775" xr:uid="{00000000-0005-0000-0000-0000DFA20000}"/>
    <cellStyle name="Normal 4 3 2 3 3 2 2 2" xfId="44377" xr:uid="{00000000-0005-0000-0000-0000E0A20000}"/>
    <cellStyle name="Normal 4 3 2 3 3 2 3" xfId="33076" xr:uid="{00000000-0005-0000-0000-0000E1A20000}"/>
    <cellStyle name="Normal 4 3 2 3 3 3" xfId="16125" xr:uid="{00000000-0005-0000-0000-0000E2A20000}"/>
    <cellStyle name="Normal 4 3 2 3 3 3 2" xfId="38727" xr:uid="{00000000-0005-0000-0000-0000E3A20000}"/>
    <cellStyle name="Normal 4 3 2 3 3 4" xfId="27426" xr:uid="{00000000-0005-0000-0000-0000E4A20000}"/>
    <cellStyle name="Normal 4 3 2 3 4" xfId="7011" xr:uid="{00000000-0005-0000-0000-0000E5A20000}"/>
    <cellStyle name="Normal 4 3 2 3 4 2" xfId="18312" xr:uid="{00000000-0005-0000-0000-0000E6A20000}"/>
    <cellStyle name="Normal 4 3 2 3 4 2 2" xfId="40914" xr:uid="{00000000-0005-0000-0000-0000E7A20000}"/>
    <cellStyle name="Normal 4 3 2 3 4 3" xfId="29613" xr:uid="{00000000-0005-0000-0000-0000E8A20000}"/>
    <cellStyle name="Normal 4 3 2 3 5" xfId="12662" xr:uid="{00000000-0005-0000-0000-0000E9A20000}"/>
    <cellStyle name="Normal 4 3 2 3 5 2" xfId="35264" xr:uid="{00000000-0005-0000-0000-0000EAA20000}"/>
    <cellStyle name="Normal 4 3 2 3 6" xfId="23963" xr:uid="{00000000-0005-0000-0000-0000EBA20000}"/>
    <cellStyle name="Normal 4 3 2 4" xfId="2105" xr:uid="{00000000-0005-0000-0000-0000ECA20000}"/>
    <cellStyle name="Normal 4 3 2 4 2" xfId="3860" xr:uid="{00000000-0005-0000-0000-0000EDA20000}"/>
    <cellStyle name="Normal 4 3 2 4 2 2" xfId="9568" xr:uid="{00000000-0005-0000-0000-0000EEA20000}"/>
    <cellStyle name="Normal 4 3 2 4 2 2 2" xfId="20869" xr:uid="{00000000-0005-0000-0000-0000EFA20000}"/>
    <cellStyle name="Normal 4 3 2 4 2 2 2 2" xfId="43471" xr:uid="{00000000-0005-0000-0000-0000F0A20000}"/>
    <cellStyle name="Normal 4 3 2 4 2 2 3" xfId="32170" xr:uid="{00000000-0005-0000-0000-0000F1A20000}"/>
    <cellStyle name="Normal 4 3 2 4 2 3" xfId="15219" xr:uid="{00000000-0005-0000-0000-0000F2A20000}"/>
    <cellStyle name="Normal 4 3 2 4 2 3 2" xfId="37821" xr:uid="{00000000-0005-0000-0000-0000F3A20000}"/>
    <cellStyle name="Normal 4 3 2 4 2 4" xfId="26520" xr:uid="{00000000-0005-0000-0000-0000F4A20000}"/>
    <cellStyle name="Normal 4 3 2 4 3" xfId="5434" xr:uid="{00000000-0005-0000-0000-0000F5A20000}"/>
    <cellStyle name="Normal 4 3 2 4 3 2" xfId="11084" xr:uid="{00000000-0005-0000-0000-0000F6A20000}"/>
    <cellStyle name="Normal 4 3 2 4 3 2 2" xfId="22385" xr:uid="{00000000-0005-0000-0000-0000F7A20000}"/>
    <cellStyle name="Normal 4 3 2 4 3 2 2 2" xfId="44987" xr:uid="{00000000-0005-0000-0000-0000F8A20000}"/>
    <cellStyle name="Normal 4 3 2 4 3 2 3" xfId="33686" xr:uid="{00000000-0005-0000-0000-0000F9A20000}"/>
    <cellStyle name="Normal 4 3 2 4 3 3" xfId="16735" xr:uid="{00000000-0005-0000-0000-0000FAA20000}"/>
    <cellStyle name="Normal 4 3 2 4 3 3 2" xfId="39337" xr:uid="{00000000-0005-0000-0000-0000FBA20000}"/>
    <cellStyle name="Normal 4 3 2 4 3 4" xfId="28036" xr:uid="{00000000-0005-0000-0000-0000FCA20000}"/>
    <cellStyle name="Normal 4 3 2 4 4" xfId="7961" xr:uid="{00000000-0005-0000-0000-0000FDA20000}"/>
    <cellStyle name="Normal 4 3 2 4 4 2" xfId="19262" xr:uid="{00000000-0005-0000-0000-0000FEA20000}"/>
    <cellStyle name="Normal 4 3 2 4 4 2 2" xfId="41864" xr:uid="{00000000-0005-0000-0000-0000FFA20000}"/>
    <cellStyle name="Normal 4 3 2 4 4 3" xfId="30563" xr:uid="{00000000-0005-0000-0000-000000A30000}"/>
    <cellStyle name="Normal 4 3 2 4 5" xfId="13612" xr:uid="{00000000-0005-0000-0000-000001A30000}"/>
    <cellStyle name="Normal 4 3 2 4 5 2" xfId="36214" xr:uid="{00000000-0005-0000-0000-000002A30000}"/>
    <cellStyle name="Normal 4 3 2 4 6" xfId="24913" xr:uid="{00000000-0005-0000-0000-000003A30000}"/>
    <cellStyle name="Normal 4 3 2 5" xfId="2415" xr:uid="{00000000-0005-0000-0000-000004A30000}"/>
    <cellStyle name="Normal 4 3 2 5 2" xfId="8251" xr:uid="{00000000-0005-0000-0000-000005A30000}"/>
    <cellStyle name="Normal 4 3 2 5 2 2" xfId="19552" xr:uid="{00000000-0005-0000-0000-000006A30000}"/>
    <cellStyle name="Normal 4 3 2 5 2 2 2" xfId="42154" xr:uid="{00000000-0005-0000-0000-000007A30000}"/>
    <cellStyle name="Normal 4 3 2 5 2 3" xfId="30853" xr:uid="{00000000-0005-0000-0000-000008A30000}"/>
    <cellStyle name="Normal 4 3 2 5 3" xfId="13902" xr:uid="{00000000-0005-0000-0000-000009A30000}"/>
    <cellStyle name="Normal 4 3 2 5 3 2" xfId="36504" xr:uid="{00000000-0005-0000-0000-00000AA30000}"/>
    <cellStyle name="Normal 4 3 2 5 4" xfId="25203" xr:uid="{00000000-0005-0000-0000-00000BA30000}"/>
    <cellStyle name="Normal 4 3 2 6" xfId="4200" xr:uid="{00000000-0005-0000-0000-00000CA30000}"/>
    <cellStyle name="Normal 4 3 2 6 2" xfId="9850" xr:uid="{00000000-0005-0000-0000-00000DA30000}"/>
    <cellStyle name="Normal 4 3 2 6 2 2" xfId="21151" xr:uid="{00000000-0005-0000-0000-00000EA30000}"/>
    <cellStyle name="Normal 4 3 2 6 2 2 2" xfId="43753" xr:uid="{00000000-0005-0000-0000-00000FA30000}"/>
    <cellStyle name="Normal 4 3 2 6 2 3" xfId="32452" xr:uid="{00000000-0005-0000-0000-000010A30000}"/>
    <cellStyle name="Normal 4 3 2 6 3" xfId="15501" xr:uid="{00000000-0005-0000-0000-000011A30000}"/>
    <cellStyle name="Normal 4 3 2 6 3 2" xfId="38103" xr:uid="{00000000-0005-0000-0000-000012A30000}"/>
    <cellStyle name="Normal 4 3 2 6 4" xfId="26802" xr:uid="{00000000-0005-0000-0000-000013A30000}"/>
    <cellStyle name="Normal 4 3 2 7" xfId="6680" xr:uid="{00000000-0005-0000-0000-000014A30000}"/>
    <cellStyle name="Normal 4 3 2 7 2" xfId="17981" xr:uid="{00000000-0005-0000-0000-000015A30000}"/>
    <cellStyle name="Normal 4 3 2 7 2 2" xfId="40583" xr:uid="{00000000-0005-0000-0000-000016A30000}"/>
    <cellStyle name="Normal 4 3 2 7 3" xfId="29282" xr:uid="{00000000-0005-0000-0000-000017A30000}"/>
    <cellStyle name="Normal 4 3 2 8" xfId="12331" xr:uid="{00000000-0005-0000-0000-000018A30000}"/>
    <cellStyle name="Normal 4 3 2 8 2" xfId="34933" xr:uid="{00000000-0005-0000-0000-000019A30000}"/>
    <cellStyle name="Normal 4 3 2 9" xfId="23632" xr:uid="{00000000-0005-0000-0000-00001AA30000}"/>
    <cellStyle name="Normal 4 3 3" xfId="1187" xr:uid="{00000000-0005-0000-0000-00001BA30000}"/>
    <cellStyle name="Normal 4 3 3 2" xfId="2107" xr:uid="{00000000-0005-0000-0000-00001CA30000}"/>
    <cellStyle name="Normal 4 3 3 2 2" xfId="3255" xr:uid="{00000000-0005-0000-0000-00001DA30000}"/>
    <cellStyle name="Normal 4 3 3 2 2 2" xfId="6227" xr:uid="{00000000-0005-0000-0000-00001EA30000}"/>
    <cellStyle name="Normal 4 3 3 2 2 2 2" xfId="11877" xr:uid="{00000000-0005-0000-0000-00001FA30000}"/>
    <cellStyle name="Normal 4 3 3 2 2 2 2 2" xfId="23178" xr:uid="{00000000-0005-0000-0000-000020A30000}"/>
    <cellStyle name="Normal 4 3 3 2 2 2 2 2 2" xfId="45780" xr:uid="{00000000-0005-0000-0000-000021A30000}"/>
    <cellStyle name="Normal 4 3 3 2 2 2 2 3" xfId="34479" xr:uid="{00000000-0005-0000-0000-000022A30000}"/>
    <cellStyle name="Normal 4 3 3 2 2 2 3" xfId="17528" xr:uid="{00000000-0005-0000-0000-000023A30000}"/>
    <cellStyle name="Normal 4 3 3 2 2 2 3 2" xfId="40130" xr:uid="{00000000-0005-0000-0000-000024A30000}"/>
    <cellStyle name="Normal 4 3 3 2 2 2 4" xfId="28829" xr:uid="{00000000-0005-0000-0000-000025A30000}"/>
    <cellStyle name="Normal 4 3 3 2 2 3" xfId="9045" xr:uid="{00000000-0005-0000-0000-000026A30000}"/>
    <cellStyle name="Normal 4 3 3 2 2 3 2" xfId="20346" xr:uid="{00000000-0005-0000-0000-000027A30000}"/>
    <cellStyle name="Normal 4 3 3 2 2 3 2 2" xfId="42948" xr:uid="{00000000-0005-0000-0000-000028A30000}"/>
    <cellStyle name="Normal 4 3 3 2 2 3 3" xfId="31647" xr:uid="{00000000-0005-0000-0000-000029A30000}"/>
    <cellStyle name="Normal 4 3 3 2 2 4" xfId="14696" xr:uid="{00000000-0005-0000-0000-00002AA30000}"/>
    <cellStyle name="Normal 4 3 3 2 2 4 2" xfId="37298" xr:uid="{00000000-0005-0000-0000-00002BA30000}"/>
    <cellStyle name="Normal 4 3 3 2 2 5" xfId="25997" xr:uid="{00000000-0005-0000-0000-00002CA30000}"/>
    <cellStyle name="Normal 4 3 3 2 3" xfId="4993" xr:uid="{00000000-0005-0000-0000-00002DA30000}"/>
    <cellStyle name="Normal 4 3 3 2 3 2" xfId="10643" xr:uid="{00000000-0005-0000-0000-00002EA30000}"/>
    <cellStyle name="Normal 4 3 3 2 3 2 2" xfId="21944" xr:uid="{00000000-0005-0000-0000-00002FA30000}"/>
    <cellStyle name="Normal 4 3 3 2 3 2 2 2" xfId="44546" xr:uid="{00000000-0005-0000-0000-000030A30000}"/>
    <cellStyle name="Normal 4 3 3 2 3 2 3" xfId="33245" xr:uid="{00000000-0005-0000-0000-000031A30000}"/>
    <cellStyle name="Normal 4 3 3 2 3 3" xfId="16294" xr:uid="{00000000-0005-0000-0000-000032A30000}"/>
    <cellStyle name="Normal 4 3 3 2 3 3 2" xfId="38896" xr:uid="{00000000-0005-0000-0000-000033A30000}"/>
    <cellStyle name="Normal 4 3 3 2 3 4" xfId="27595" xr:uid="{00000000-0005-0000-0000-000034A30000}"/>
    <cellStyle name="Normal 4 3 3 2 4" xfId="7963" xr:uid="{00000000-0005-0000-0000-000035A30000}"/>
    <cellStyle name="Normal 4 3 3 2 4 2" xfId="19264" xr:uid="{00000000-0005-0000-0000-000036A30000}"/>
    <cellStyle name="Normal 4 3 3 2 4 2 2" xfId="41866" xr:uid="{00000000-0005-0000-0000-000037A30000}"/>
    <cellStyle name="Normal 4 3 3 2 4 3" xfId="30565" xr:uid="{00000000-0005-0000-0000-000038A30000}"/>
    <cellStyle name="Normal 4 3 3 2 5" xfId="13614" xr:uid="{00000000-0005-0000-0000-000039A30000}"/>
    <cellStyle name="Normal 4 3 3 2 5 2" xfId="36216" xr:uid="{00000000-0005-0000-0000-00003AA30000}"/>
    <cellStyle name="Normal 4 3 3 2 6" xfId="24915" xr:uid="{00000000-0005-0000-0000-00003BA30000}"/>
    <cellStyle name="Normal 4 3 3 3" xfId="2584" xr:uid="{00000000-0005-0000-0000-00003CA30000}"/>
    <cellStyle name="Normal 4 3 3 3 2" xfId="5603" xr:uid="{00000000-0005-0000-0000-00003DA30000}"/>
    <cellStyle name="Normal 4 3 3 3 2 2" xfId="11253" xr:uid="{00000000-0005-0000-0000-00003EA30000}"/>
    <cellStyle name="Normal 4 3 3 3 2 2 2" xfId="22554" xr:uid="{00000000-0005-0000-0000-00003FA30000}"/>
    <cellStyle name="Normal 4 3 3 3 2 2 2 2" xfId="45156" xr:uid="{00000000-0005-0000-0000-000040A30000}"/>
    <cellStyle name="Normal 4 3 3 3 2 2 3" xfId="33855" xr:uid="{00000000-0005-0000-0000-000041A30000}"/>
    <cellStyle name="Normal 4 3 3 3 2 3" xfId="16904" xr:uid="{00000000-0005-0000-0000-000042A30000}"/>
    <cellStyle name="Normal 4 3 3 3 2 3 2" xfId="39506" xr:uid="{00000000-0005-0000-0000-000043A30000}"/>
    <cellStyle name="Normal 4 3 3 3 2 4" xfId="28205" xr:uid="{00000000-0005-0000-0000-000044A30000}"/>
    <cellStyle name="Normal 4 3 3 3 3" xfId="8420" xr:uid="{00000000-0005-0000-0000-000045A30000}"/>
    <cellStyle name="Normal 4 3 3 3 3 2" xfId="19721" xr:uid="{00000000-0005-0000-0000-000046A30000}"/>
    <cellStyle name="Normal 4 3 3 3 3 2 2" xfId="42323" xr:uid="{00000000-0005-0000-0000-000047A30000}"/>
    <cellStyle name="Normal 4 3 3 3 3 3" xfId="31022" xr:uid="{00000000-0005-0000-0000-000048A30000}"/>
    <cellStyle name="Normal 4 3 3 3 4" xfId="14071" xr:uid="{00000000-0005-0000-0000-000049A30000}"/>
    <cellStyle name="Normal 4 3 3 3 4 2" xfId="36673" xr:uid="{00000000-0005-0000-0000-00004AA30000}"/>
    <cellStyle name="Normal 4 3 3 3 5" xfId="25372" xr:uid="{00000000-0005-0000-0000-00004BA30000}"/>
    <cellStyle name="Normal 4 3 3 4" xfId="4369" xr:uid="{00000000-0005-0000-0000-00004CA30000}"/>
    <cellStyle name="Normal 4 3 3 4 2" xfId="10019" xr:uid="{00000000-0005-0000-0000-00004DA30000}"/>
    <cellStyle name="Normal 4 3 3 4 2 2" xfId="21320" xr:uid="{00000000-0005-0000-0000-00004EA30000}"/>
    <cellStyle name="Normal 4 3 3 4 2 2 2" xfId="43922" xr:uid="{00000000-0005-0000-0000-00004FA30000}"/>
    <cellStyle name="Normal 4 3 3 4 2 3" xfId="32621" xr:uid="{00000000-0005-0000-0000-000050A30000}"/>
    <cellStyle name="Normal 4 3 3 4 3" xfId="15670" xr:uid="{00000000-0005-0000-0000-000051A30000}"/>
    <cellStyle name="Normal 4 3 3 4 3 2" xfId="38272" xr:uid="{00000000-0005-0000-0000-000052A30000}"/>
    <cellStyle name="Normal 4 3 3 4 4" xfId="26971" xr:uid="{00000000-0005-0000-0000-000053A30000}"/>
    <cellStyle name="Normal 4 3 3 5" xfId="7166" xr:uid="{00000000-0005-0000-0000-000054A30000}"/>
    <cellStyle name="Normal 4 3 3 5 2" xfId="18467" xr:uid="{00000000-0005-0000-0000-000055A30000}"/>
    <cellStyle name="Normal 4 3 3 5 2 2" xfId="41069" xr:uid="{00000000-0005-0000-0000-000056A30000}"/>
    <cellStyle name="Normal 4 3 3 5 3" xfId="29768" xr:uid="{00000000-0005-0000-0000-000057A30000}"/>
    <cellStyle name="Normal 4 3 3 6" xfId="12817" xr:uid="{00000000-0005-0000-0000-000058A30000}"/>
    <cellStyle name="Normal 4 3 3 6 2" xfId="35419" xr:uid="{00000000-0005-0000-0000-000059A30000}"/>
    <cellStyle name="Normal 4 3 3 7" xfId="24118" xr:uid="{00000000-0005-0000-0000-00005AA30000}"/>
    <cellStyle name="Normal 4 3 4" xfId="877" xr:uid="{00000000-0005-0000-0000-00005BA30000}"/>
    <cellStyle name="Normal 4 3 4 2" xfId="2948" xr:uid="{00000000-0005-0000-0000-00005CA30000}"/>
    <cellStyle name="Normal 4 3 4 2 2" xfId="5920" xr:uid="{00000000-0005-0000-0000-00005DA30000}"/>
    <cellStyle name="Normal 4 3 4 2 2 2" xfId="11570" xr:uid="{00000000-0005-0000-0000-00005EA30000}"/>
    <cellStyle name="Normal 4 3 4 2 2 2 2" xfId="22871" xr:uid="{00000000-0005-0000-0000-00005FA30000}"/>
    <cellStyle name="Normal 4 3 4 2 2 2 2 2" xfId="45473" xr:uid="{00000000-0005-0000-0000-000060A30000}"/>
    <cellStyle name="Normal 4 3 4 2 2 2 3" xfId="34172" xr:uid="{00000000-0005-0000-0000-000061A30000}"/>
    <cellStyle name="Normal 4 3 4 2 2 3" xfId="17221" xr:uid="{00000000-0005-0000-0000-000062A30000}"/>
    <cellStyle name="Normal 4 3 4 2 2 3 2" xfId="39823" xr:uid="{00000000-0005-0000-0000-000063A30000}"/>
    <cellStyle name="Normal 4 3 4 2 2 4" xfId="28522" xr:uid="{00000000-0005-0000-0000-000064A30000}"/>
    <cellStyle name="Normal 4 3 4 2 3" xfId="8738" xr:uid="{00000000-0005-0000-0000-000065A30000}"/>
    <cellStyle name="Normal 4 3 4 2 3 2" xfId="20039" xr:uid="{00000000-0005-0000-0000-000066A30000}"/>
    <cellStyle name="Normal 4 3 4 2 3 2 2" xfId="42641" xr:uid="{00000000-0005-0000-0000-000067A30000}"/>
    <cellStyle name="Normal 4 3 4 2 3 3" xfId="31340" xr:uid="{00000000-0005-0000-0000-000068A30000}"/>
    <cellStyle name="Normal 4 3 4 2 4" xfId="14389" xr:uid="{00000000-0005-0000-0000-000069A30000}"/>
    <cellStyle name="Normal 4 3 4 2 4 2" xfId="36991" xr:uid="{00000000-0005-0000-0000-00006AA30000}"/>
    <cellStyle name="Normal 4 3 4 2 5" xfId="25690" xr:uid="{00000000-0005-0000-0000-00006BA30000}"/>
    <cellStyle name="Normal 4 3 4 3" xfId="4686" xr:uid="{00000000-0005-0000-0000-00006CA30000}"/>
    <cellStyle name="Normal 4 3 4 3 2" xfId="10336" xr:uid="{00000000-0005-0000-0000-00006DA30000}"/>
    <cellStyle name="Normal 4 3 4 3 2 2" xfId="21637" xr:uid="{00000000-0005-0000-0000-00006EA30000}"/>
    <cellStyle name="Normal 4 3 4 3 2 2 2" xfId="44239" xr:uid="{00000000-0005-0000-0000-00006FA30000}"/>
    <cellStyle name="Normal 4 3 4 3 2 3" xfId="32938" xr:uid="{00000000-0005-0000-0000-000070A30000}"/>
    <cellStyle name="Normal 4 3 4 3 3" xfId="15987" xr:uid="{00000000-0005-0000-0000-000071A30000}"/>
    <cellStyle name="Normal 4 3 4 3 3 2" xfId="38589" xr:uid="{00000000-0005-0000-0000-000072A30000}"/>
    <cellStyle name="Normal 4 3 4 3 4" xfId="27288" xr:uid="{00000000-0005-0000-0000-000073A30000}"/>
    <cellStyle name="Normal 4 3 4 4" xfId="6873" xr:uid="{00000000-0005-0000-0000-000074A30000}"/>
    <cellStyle name="Normal 4 3 4 4 2" xfId="18174" xr:uid="{00000000-0005-0000-0000-000075A30000}"/>
    <cellStyle name="Normal 4 3 4 4 2 2" xfId="40776" xr:uid="{00000000-0005-0000-0000-000076A30000}"/>
    <cellStyle name="Normal 4 3 4 4 3" xfId="29475" xr:uid="{00000000-0005-0000-0000-000077A30000}"/>
    <cellStyle name="Normal 4 3 4 5" xfId="12524" xr:uid="{00000000-0005-0000-0000-000078A30000}"/>
    <cellStyle name="Normal 4 3 4 5 2" xfId="35126" xr:uid="{00000000-0005-0000-0000-000079A30000}"/>
    <cellStyle name="Normal 4 3 4 6" xfId="23825" xr:uid="{00000000-0005-0000-0000-00007AA30000}"/>
    <cellStyle name="Normal 4 3 5" xfId="2104" xr:uid="{00000000-0005-0000-0000-00007BA30000}"/>
    <cellStyle name="Normal 4 3 5 2" xfId="3859" xr:uid="{00000000-0005-0000-0000-00007CA30000}"/>
    <cellStyle name="Normal 4 3 5 2 2" xfId="9567" xr:uid="{00000000-0005-0000-0000-00007DA30000}"/>
    <cellStyle name="Normal 4 3 5 2 2 2" xfId="20868" xr:uid="{00000000-0005-0000-0000-00007EA30000}"/>
    <cellStyle name="Normal 4 3 5 2 2 2 2" xfId="43470" xr:uid="{00000000-0005-0000-0000-00007FA30000}"/>
    <cellStyle name="Normal 4 3 5 2 2 3" xfId="32169" xr:uid="{00000000-0005-0000-0000-000080A30000}"/>
    <cellStyle name="Normal 4 3 5 2 3" xfId="15218" xr:uid="{00000000-0005-0000-0000-000081A30000}"/>
    <cellStyle name="Normal 4 3 5 2 3 2" xfId="37820" xr:uid="{00000000-0005-0000-0000-000082A30000}"/>
    <cellStyle name="Normal 4 3 5 2 4" xfId="26519" xr:uid="{00000000-0005-0000-0000-000083A30000}"/>
    <cellStyle name="Normal 4 3 5 3" xfId="5296" xr:uid="{00000000-0005-0000-0000-000084A30000}"/>
    <cellStyle name="Normal 4 3 5 3 2" xfId="10946" xr:uid="{00000000-0005-0000-0000-000085A30000}"/>
    <cellStyle name="Normal 4 3 5 3 2 2" xfId="22247" xr:uid="{00000000-0005-0000-0000-000086A30000}"/>
    <cellStyle name="Normal 4 3 5 3 2 2 2" xfId="44849" xr:uid="{00000000-0005-0000-0000-000087A30000}"/>
    <cellStyle name="Normal 4 3 5 3 2 3" xfId="33548" xr:uid="{00000000-0005-0000-0000-000088A30000}"/>
    <cellStyle name="Normal 4 3 5 3 3" xfId="16597" xr:uid="{00000000-0005-0000-0000-000089A30000}"/>
    <cellStyle name="Normal 4 3 5 3 3 2" xfId="39199" xr:uid="{00000000-0005-0000-0000-00008AA30000}"/>
    <cellStyle name="Normal 4 3 5 3 4" xfId="27898" xr:uid="{00000000-0005-0000-0000-00008BA30000}"/>
    <cellStyle name="Normal 4 3 5 4" xfId="7960" xr:uid="{00000000-0005-0000-0000-00008CA30000}"/>
    <cellStyle name="Normal 4 3 5 4 2" xfId="19261" xr:uid="{00000000-0005-0000-0000-00008DA30000}"/>
    <cellStyle name="Normal 4 3 5 4 2 2" xfId="41863" xr:uid="{00000000-0005-0000-0000-00008EA30000}"/>
    <cellStyle name="Normal 4 3 5 4 3" xfId="30562" xr:uid="{00000000-0005-0000-0000-00008FA30000}"/>
    <cellStyle name="Normal 4 3 5 5" xfId="13611" xr:uid="{00000000-0005-0000-0000-000090A30000}"/>
    <cellStyle name="Normal 4 3 5 5 2" xfId="36213" xr:uid="{00000000-0005-0000-0000-000091A30000}"/>
    <cellStyle name="Normal 4 3 5 6" xfId="24912" xr:uid="{00000000-0005-0000-0000-000092A30000}"/>
    <cellStyle name="Normal 4 3 6" xfId="2275" xr:uid="{00000000-0005-0000-0000-000093A30000}"/>
    <cellStyle name="Normal 4 3 6 2" xfId="8111" xr:uid="{00000000-0005-0000-0000-000094A30000}"/>
    <cellStyle name="Normal 4 3 6 2 2" xfId="19412" xr:uid="{00000000-0005-0000-0000-000095A30000}"/>
    <cellStyle name="Normal 4 3 6 2 2 2" xfId="42014" xr:uid="{00000000-0005-0000-0000-000096A30000}"/>
    <cellStyle name="Normal 4 3 6 2 3" xfId="30713" xr:uid="{00000000-0005-0000-0000-000097A30000}"/>
    <cellStyle name="Normal 4 3 6 3" xfId="13762" xr:uid="{00000000-0005-0000-0000-000098A30000}"/>
    <cellStyle name="Normal 4 3 6 3 2" xfId="36364" xr:uid="{00000000-0005-0000-0000-000099A30000}"/>
    <cellStyle name="Normal 4 3 6 4" xfId="25063" xr:uid="{00000000-0005-0000-0000-00009AA30000}"/>
    <cellStyle name="Normal 4 3 7" xfId="4062" xr:uid="{00000000-0005-0000-0000-00009BA30000}"/>
    <cellStyle name="Normal 4 3 7 2" xfId="9712" xr:uid="{00000000-0005-0000-0000-00009CA30000}"/>
    <cellStyle name="Normal 4 3 7 2 2" xfId="21013" xr:uid="{00000000-0005-0000-0000-00009DA30000}"/>
    <cellStyle name="Normal 4 3 7 2 2 2" xfId="43615" xr:uid="{00000000-0005-0000-0000-00009EA30000}"/>
    <cellStyle name="Normal 4 3 7 2 3" xfId="32314" xr:uid="{00000000-0005-0000-0000-00009FA30000}"/>
    <cellStyle name="Normal 4 3 7 3" xfId="15363" xr:uid="{00000000-0005-0000-0000-0000A0A30000}"/>
    <cellStyle name="Normal 4 3 7 3 2" xfId="37965" xr:uid="{00000000-0005-0000-0000-0000A1A30000}"/>
    <cellStyle name="Normal 4 3 7 4" xfId="26664" xr:uid="{00000000-0005-0000-0000-0000A2A30000}"/>
    <cellStyle name="Normal 4 3 8" xfId="6513" xr:uid="{00000000-0005-0000-0000-0000A3A30000}"/>
    <cellStyle name="Normal 4 3 8 2" xfId="17814" xr:uid="{00000000-0005-0000-0000-0000A4A30000}"/>
    <cellStyle name="Normal 4 3 8 2 2" xfId="40416" xr:uid="{00000000-0005-0000-0000-0000A5A30000}"/>
    <cellStyle name="Normal 4 3 8 3" xfId="29115" xr:uid="{00000000-0005-0000-0000-0000A6A30000}"/>
    <cellStyle name="Normal 4 3 9" xfId="12164" xr:uid="{00000000-0005-0000-0000-0000A7A30000}"/>
    <cellStyle name="Normal 4 3 9 2" xfId="34766" xr:uid="{00000000-0005-0000-0000-0000A8A30000}"/>
    <cellStyle name="Normal 4 4" xfId="419" xr:uid="{00000000-0005-0000-0000-0000A9A30000}"/>
    <cellStyle name="Normal 4 4 10" xfId="23514" xr:uid="{00000000-0005-0000-0000-0000AAA30000}"/>
    <cellStyle name="Normal 4 4 2" xfId="664" xr:uid="{00000000-0005-0000-0000-0000ABA30000}"/>
    <cellStyle name="Normal 4 4 2 2" xfId="1374" xr:uid="{00000000-0005-0000-0000-0000ACA30000}"/>
    <cellStyle name="Normal 4 4 2 2 2" xfId="2110" xr:uid="{00000000-0005-0000-0000-0000ADA30000}"/>
    <cellStyle name="Normal 4 4 2 2 2 2" xfId="3443" xr:uid="{00000000-0005-0000-0000-0000AEA30000}"/>
    <cellStyle name="Normal 4 4 2 2 2 2 2" xfId="6415" xr:uid="{00000000-0005-0000-0000-0000AFA30000}"/>
    <cellStyle name="Normal 4 4 2 2 2 2 2 2" xfId="12065" xr:uid="{00000000-0005-0000-0000-0000B0A30000}"/>
    <cellStyle name="Normal 4 4 2 2 2 2 2 2 2" xfId="23366" xr:uid="{00000000-0005-0000-0000-0000B1A30000}"/>
    <cellStyle name="Normal 4 4 2 2 2 2 2 2 2 2" xfId="45968" xr:uid="{00000000-0005-0000-0000-0000B2A30000}"/>
    <cellStyle name="Normal 4 4 2 2 2 2 2 2 3" xfId="34667" xr:uid="{00000000-0005-0000-0000-0000B3A30000}"/>
    <cellStyle name="Normal 4 4 2 2 2 2 2 3" xfId="17716" xr:uid="{00000000-0005-0000-0000-0000B4A30000}"/>
    <cellStyle name="Normal 4 4 2 2 2 2 2 3 2" xfId="40318" xr:uid="{00000000-0005-0000-0000-0000B5A30000}"/>
    <cellStyle name="Normal 4 4 2 2 2 2 2 4" xfId="29017" xr:uid="{00000000-0005-0000-0000-0000B6A30000}"/>
    <cellStyle name="Normal 4 4 2 2 2 2 3" xfId="9233" xr:uid="{00000000-0005-0000-0000-0000B7A30000}"/>
    <cellStyle name="Normal 4 4 2 2 2 2 3 2" xfId="20534" xr:uid="{00000000-0005-0000-0000-0000B8A30000}"/>
    <cellStyle name="Normal 4 4 2 2 2 2 3 2 2" xfId="43136" xr:uid="{00000000-0005-0000-0000-0000B9A30000}"/>
    <cellStyle name="Normal 4 4 2 2 2 2 3 3" xfId="31835" xr:uid="{00000000-0005-0000-0000-0000BAA30000}"/>
    <cellStyle name="Normal 4 4 2 2 2 2 4" xfId="14884" xr:uid="{00000000-0005-0000-0000-0000BBA30000}"/>
    <cellStyle name="Normal 4 4 2 2 2 2 4 2" xfId="37486" xr:uid="{00000000-0005-0000-0000-0000BCA30000}"/>
    <cellStyle name="Normal 4 4 2 2 2 2 5" xfId="26185" xr:uid="{00000000-0005-0000-0000-0000BDA30000}"/>
    <cellStyle name="Normal 4 4 2 2 2 3" xfId="5181" xr:uid="{00000000-0005-0000-0000-0000BEA30000}"/>
    <cellStyle name="Normal 4 4 2 2 2 3 2" xfId="10831" xr:uid="{00000000-0005-0000-0000-0000BFA30000}"/>
    <cellStyle name="Normal 4 4 2 2 2 3 2 2" xfId="22132" xr:uid="{00000000-0005-0000-0000-0000C0A30000}"/>
    <cellStyle name="Normal 4 4 2 2 2 3 2 2 2" xfId="44734" xr:uid="{00000000-0005-0000-0000-0000C1A30000}"/>
    <cellStyle name="Normal 4 4 2 2 2 3 2 3" xfId="33433" xr:uid="{00000000-0005-0000-0000-0000C2A30000}"/>
    <cellStyle name="Normal 4 4 2 2 2 3 3" xfId="16482" xr:uid="{00000000-0005-0000-0000-0000C3A30000}"/>
    <cellStyle name="Normal 4 4 2 2 2 3 3 2" xfId="39084" xr:uid="{00000000-0005-0000-0000-0000C4A30000}"/>
    <cellStyle name="Normal 4 4 2 2 2 3 4" xfId="27783" xr:uid="{00000000-0005-0000-0000-0000C5A30000}"/>
    <cellStyle name="Normal 4 4 2 2 2 4" xfId="7966" xr:uid="{00000000-0005-0000-0000-0000C6A30000}"/>
    <cellStyle name="Normal 4 4 2 2 2 4 2" xfId="19267" xr:uid="{00000000-0005-0000-0000-0000C7A30000}"/>
    <cellStyle name="Normal 4 4 2 2 2 4 2 2" xfId="41869" xr:uid="{00000000-0005-0000-0000-0000C8A30000}"/>
    <cellStyle name="Normal 4 4 2 2 2 4 3" xfId="30568" xr:uid="{00000000-0005-0000-0000-0000C9A30000}"/>
    <cellStyle name="Normal 4 4 2 2 2 5" xfId="13617" xr:uid="{00000000-0005-0000-0000-0000CAA30000}"/>
    <cellStyle name="Normal 4 4 2 2 2 5 2" xfId="36219" xr:uid="{00000000-0005-0000-0000-0000CBA30000}"/>
    <cellStyle name="Normal 4 4 2 2 2 6" xfId="24918" xr:uid="{00000000-0005-0000-0000-0000CCA30000}"/>
    <cellStyle name="Normal 4 4 2 2 3" xfId="2772" xr:uid="{00000000-0005-0000-0000-0000CDA30000}"/>
    <cellStyle name="Normal 4 4 2 2 3 2" xfId="5791" xr:uid="{00000000-0005-0000-0000-0000CEA30000}"/>
    <cellStyle name="Normal 4 4 2 2 3 2 2" xfId="11441" xr:uid="{00000000-0005-0000-0000-0000CFA30000}"/>
    <cellStyle name="Normal 4 4 2 2 3 2 2 2" xfId="22742" xr:uid="{00000000-0005-0000-0000-0000D0A30000}"/>
    <cellStyle name="Normal 4 4 2 2 3 2 2 2 2" xfId="45344" xr:uid="{00000000-0005-0000-0000-0000D1A30000}"/>
    <cellStyle name="Normal 4 4 2 2 3 2 2 3" xfId="34043" xr:uid="{00000000-0005-0000-0000-0000D2A30000}"/>
    <cellStyle name="Normal 4 4 2 2 3 2 3" xfId="17092" xr:uid="{00000000-0005-0000-0000-0000D3A30000}"/>
    <cellStyle name="Normal 4 4 2 2 3 2 3 2" xfId="39694" xr:uid="{00000000-0005-0000-0000-0000D4A30000}"/>
    <cellStyle name="Normal 4 4 2 2 3 2 4" xfId="28393" xr:uid="{00000000-0005-0000-0000-0000D5A30000}"/>
    <cellStyle name="Normal 4 4 2 2 3 3" xfId="8608" xr:uid="{00000000-0005-0000-0000-0000D6A30000}"/>
    <cellStyle name="Normal 4 4 2 2 3 3 2" xfId="19909" xr:uid="{00000000-0005-0000-0000-0000D7A30000}"/>
    <cellStyle name="Normal 4 4 2 2 3 3 2 2" xfId="42511" xr:uid="{00000000-0005-0000-0000-0000D8A30000}"/>
    <cellStyle name="Normal 4 4 2 2 3 3 3" xfId="31210" xr:uid="{00000000-0005-0000-0000-0000D9A30000}"/>
    <cellStyle name="Normal 4 4 2 2 3 4" xfId="14259" xr:uid="{00000000-0005-0000-0000-0000DAA30000}"/>
    <cellStyle name="Normal 4 4 2 2 3 4 2" xfId="36861" xr:uid="{00000000-0005-0000-0000-0000DBA30000}"/>
    <cellStyle name="Normal 4 4 2 2 3 5" xfId="25560" xr:uid="{00000000-0005-0000-0000-0000DCA30000}"/>
    <cellStyle name="Normal 4 4 2 2 4" xfId="4557" xr:uid="{00000000-0005-0000-0000-0000DDA30000}"/>
    <cellStyle name="Normal 4 4 2 2 4 2" xfId="10207" xr:uid="{00000000-0005-0000-0000-0000DEA30000}"/>
    <cellStyle name="Normal 4 4 2 2 4 2 2" xfId="21508" xr:uid="{00000000-0005-0000-0000-0000DFA30000}"/>
    <cellStyle name="Normal 4 4 2 2 4 2 2 2" xfId="44110" xr:uid="{00000000-0005-0000-0000-0000E0A30000}"/>
    <cellStyle name="Normal 4 4 2 2 4 2 3" xfId="32809" xr:uid="{00000000-0005-0000-0000-0000E1A30000}"/>
    <cellStyle name="Normal 4 4 2 2 4 3" xfId="15858" xr:uid="{00000000-0005-0000-0000-0000E2A30000}"/>
    <cellStyle name="Normal 4 4 2 2 4 3 2" xfId="38460" xr:uid="{00000000-0005-0000-0000-0000E3A30000}"/>
    <cellStyle name="Normal 4 4 2 2 4 4" xfId="27159" xr:uid="{00000000-0005-0000-0000-0000E4A30000}"/>
    <cellStyle name="Normal 4 4 2 2 5" xfId="7353" xr:uid="{00000000-0005-0000-0000-0000E5A30000}"/>
    <cellStyle name="Normal 4 4 2 2 5 2" xfId="18654" xr:uid="{00000000-0005-0000-0000-0000E6A30000}"/>
    <cellStyle name="Normal 4 4 2 2 5 2 2" xfId="41256" xr:uid="{00000000-0005-0000-0000-0000E7A30000}"/>
    <cellStyle name="Normal 4 4 2 2 5 3" xfId="29955" xr:uid="{00000000-0005-0000-0000-0000E8A30000}"/>
    <cellStyle name="Normal 4 4 2 2 6" xfId="13004" xr:uid="{00000000-0005-0000-0000-0000E9A30000}"/>
    <cellStyle name="Normal 4 4 2 2 6 2" xfId="35606" xr:uid="{00000000-0005-0000-0000-0000EAA30000}"/>
    <cellStyle name="Normal 4 4 2 2 7" xfId="24305" xr:uid="{00000000-0005-0000-0000-0000EBA30000}"/>
    <cellStyle name="Normal 4 4 2 3" xfId="1072" xr:uid="{00000000-0005-0000-0000-0000ECA30000}"/>
    <cellStyle name="Normal 4 4 2 3 2" xfId="3135" xr:uid="{00000000-0005-0000-0000-0000EDA30000}"/>
    <cellStyle name="Normal 4 4 2 3 2 2" xfId="6107" xr:uid="{00000000-0005-0000-0000-0000EEA30000}"/>
    <cellStyle name="Normal 4 4 2 3 2 2 2" xfId="11757" xr:uid="{00000000-0005-0000-0000-0000EFA30000}"/>
    <cellStyle name="Normal 4 4 2 3 2 2 2 2" xfId="23058" xr:uid="{00000000-0005-0000-0000-0000F0A30000}"/>
    <cellStyle name="Normal 4 4 2 3 2 2 2 2 2" xfId="45660" xr:uid="{00000000-0005-0000-0000-0000F1A30000}"/>
    <cellStyle name="Normal 4 4 2 3 2 2 2 3" xfId="34359" xr:uid="{00000000-0005-0000-0000-0000F2A30000}"/>
    <cellStyle name="Normal 4 4 2 3 2 2 3" xfId="17408" xr:uid="{00000000-0005-0000-0000-0000F3A30000}"/>
    <cellStyle name="Normal 4 4 2 3 2 2 3 2" xfId="40010" xr:uid="{00000000-0005-0000-0000-0000F4A30000}"/>
    <cellStyle name="Normal 4 4 2 3 2 2 4" xfId="28709" xr:uid="{00000000-0005-0000-0000-0000F5A30000}"/>
    <cellStyle name="Normal 4 4 2 3 2 3" xfId="8925" xr:uid="{00000000-0005-0000-0000-0000F6A30000}"/>
    <cellStyle name="Normal 4 4 2 3 2 3 2" xfId="20226" xr:uid="{00000000-0005-0000-0000-0000F7A30000}"/>
    <cellStyle name="Normal 4 4 2 3 2 3 2 2" xfId="42828" xr:uid="{00000000-0005-0000-0000-0000F8A30000}"/>
    <cellStyle name="Normal 4 4 2 3 2 3 3" xfId="31527" xr:uid="{00000000-0005-0000-0000-0000F9A30000}"/>
    <cellStyle name="Normal 4 4 2 3 2 4" xfId="14576" xr:uid="{00000000-0005-0000-0000-0000FAA30000}"/>
    <cellStyle name="Normal 4 4 2 3 2 4 2" xfId="37178" xr:uid="{00000000-0005-0000-0000-0000FBA30000}"/>
    <cellStyle name="Normal 4 4 2 3 2 5" xfId="25877" xr:uid="{00000000-0005-0000-0000-0000FCA30000}"/>
    <cellStyle name="Normal 4 4 2 3 3" xfId="4873" xr:uid="{00000000-0005-0000-0000-0000FDA30000}"/>
    <cellStyle name="Normal 4 4 2 3 3 2" xfId="10523" xr:uid="{00000000-0005-0000-0000-0000FEA30000}"/>
    <cellStyle name="Normal 4 4 2 3 3 2 2" xfId="21824" xr:uid="{00000000-0005-0000-0000-0000FFA30000}"/>
    <cellStyle name="Normal 4 4 2 3 3 2 2 2" xfId="44426" xr:uid="{00000000-0005-0000-0000-000000A40000}"/>
    <cellStyle name="Normal 4 4 2 3 3 2 3" xfId="33125" xr:uid="{00000000-0005-0000-0000-000001A40000}"/>
    <cellStyle name="Normal 4 4 2 3 3 3" xfId="16174" xr:uid="{00000000-0005-0000-0000-000002A40000}"/>
    <cellStyle name="Normal 4 4 2 3 3 3 2" xfId="38776" xr:uid="{00000000-0005-0000-0000-000003A40000}"/>
    <cellStyle name="Normal 4 4 2 3 3 4" xfId="27475" xr:uid="{00000000-0005-0000-0000-000004A40000}"/>
    <cellStyle name="Normal 4 4 2 3 4" xfId="7060" xr:uid="{00000000-0005-0000-0000-000005A40000}"/>
    <cellStyle name="Normal 4 4 2 3 4 2" xfId="18361" xr:uid="{00000000-0005-0000-0000-000006A40000}"/>
    <cellStyle name="Normal 4 4 2 3 4 2 2" xfId="40963" xr:uid="{00000000-0005-0000-0000-000007A40000}"/>
    <cellStyle name="Normal 4 4 2 3 4 3" xfId="29662" xr:uid="{00000000-0005-0000-0000-000008A40000}"/>
    <cellStyle name="Normal 4 4 2 3 5" xfId="12711" xr:uid="{00000000-0005-0000-0000-000009A40000}"/>
    <cellStyle name="Normal 4 4 2 3 5 2" xfId="35313" xr:uid="{00000000-0005-0000-0000-00000AA40000}"/>
    <cellStyle name="Normal 4 4 2 3 6" xfId="24012" xr:uid="{00000000-0005-0000-0000-00000BA40000}"/>
    <cellStyle name="Normal 4 4 2 4" xfId="2109" xr:uid="{00000000-0005-0000-0000-00000CA40000}"/>
    <cellStyle name="Normal 4 4 2 4 2" xfId="3862" xr:uid="{00000000-0005-0000-0000-00000DA40000}"/>
    <cellStyle name="Normal 4 4 2 4 2 2" xfId="9570" xr:uid="{00000000-0005-0000-0000-00000EA40000}"/>
    <cellStyle name="Normal 4 4 2 4 2 2 2" xfId="20871" xr:uid="{00000000-0005-0000-0000-00000FA40000}"/>
    <cellStyle name="Normal 4 4 2 4 2 2 2 2" xfId="43473" xr:uid="{00000000-0005-0000-0000-000010A40000}"/>
    <cellStyle name="Normal 4 4 2 4 2 2 3" xfId="32172" xr:uid="{00000000-0005-0000-0000-000011A40000}"/>
    <cellStyle name="Normal 4 4 2 4 2 3" xfId="15221" xr:uid="{00000000-0005-0000-0000-000012A40000}"/>
    <cellStyle name="Normal 4 4 2 4 2 3 2" xfId="37823" xr:uid="{00000000-0005-0000-0000-000013A40000}"/>
    <cellStyle name="Normal 4 4 2 4 2 4" xfId="26522" xr:uid="{00000000-0005-0000-0000-000014A40000}"/>
    <cellStyle name="Normal 4 4 2 4 3" xfId="5483" xr:uid="{00000000-0005-0000-0000-000015A40000}"/>
    <cellStyle name="Normal 4 4 2 4 3 2" xfId="11133" xr:uid="{00000000-0005-0000-0000-000016A40000}"/>
    <cellStyle name="Normal 4 4 2 4 3 2 2" xfId="22434" xr:uid="{00000000-0005-0000-0000-000017A40000}"/>
    <cellStyle name="Normal 4 4 2 4 3 2 2 2" xfId="45036" xr:uid="{00000000-0005-0000-0000-000018A40000}"/>
    <cellStyle name="Normal 4 4 2 4 3 2 3" xfId="33735" xr:uid="{00000000-0005-0000-0000-000019A40000}"/>
    <cellStyle name="Normal 4 4 2 4 3 3" xfId="16784" xr:uid="{00000000-0005-0000-0000-00001AA40000}"/>
    <cellStyle name="Normal 4 4 2 4 3 3 2" xfId="39386" xr:uid="{00000000-0005-0000-0000-00001BA40000}"/>
    <cellStyle name="Normal 4 4 2 4 3 4" xfId="28085" xr:uid="{00000000-0005-0000-0000-00001CA40000}"/>
    <cellStyle name="Normal 4 4 2 4 4" xfId="7965" xr:uid="{00000000-0005-0000-0000-00001DA40000}"/>
    <cellStyle name="Normal 4 4 2 4 4 2" xfId="19266" xr:uid="{00000000-0005-0000-0000-00001EA40000}"/>
    <cellStyle name="Normal 4 4 2 4 4 2 2" xfId="41868" xr:uid="{00000000-0005-0000-0000-00001FA40000}"/>
    <cellStyle name="Normal 4 4 2 4 4 3" xfId="30567" xr:uid="{00000000-0005-0000-0000-000020A40000}"/>
    <cellStyle name="Normal 4 4 2 4 5" xfId="13616" xr:uid="{00000000-0005-0000-0000-000021A40000}"/>
    <cellStyle name="Normal 4 4 2 4 5 2" xfId="36218" xr:uid="{00000000-0005-0000-0000-000022A40000}"/>
    <cellStyle name="Normal 4 4 2 4 6" xfId="24917" xr:uid="{00000000-0005-0000-0000-000023A40000}"/>
    <cellStyle name="Normal 4 4 2 5" xfId="2464" xr:uid="{00000000-0005-0000-0000-000024A40000}"/>
    <cellStyle name="Normal 4 4 2 5 2" xfId="8300" xr:uid="{00000000-0005-0000-0000-000025A40000}"/>
    <cellStyle name="Normal 4 4 2 5 2 2" xfId="19601" xr:uid="{00000000-0005-0000-0000-000026A40000}"/>
    <cellStyle name="Normal 4 4 2 5 2 2 2" xfId="42203" xr:uid="{00000000-0005-0000-0000-000027A40000}"/>
    <cellStyle name="Normal 4 4 2 5 2 3" xfId="30902" xr:uid="{00000000-0005-0000-0000-000028A40000}"/>
    <cellStyle name="Normal 4 4 2 5 3" xfId="13951" xr:uid="{00000000-0005-0000-0000-000029A40000}"/>
    <cellStyle name="Normal 4 4 2 5 3 2" xfId="36553" xr:uid="{00000000-0005-0000-0000-00002AA40000}"/>
    <cellStyle name="Normal 4 4 2 5 4" xfId="25252" xr:uid="{00000000-0005-0000-0000-00002BA40000}"/>
    <cellStyle name="Normal 4 4 2 6" xfId="4249" xr:uid="{00000000-0005-0000-0000-00002CA40000}"/>
    <cellStyle name="Normal 4 4 2 6 2" xfId="9899" xr:uid="{00000000-0005-0000-0000-00002DA40000}"/>
    <cellStyle name="Normal 4 4 2 6 2 2" xfId="21200" xr:uid="{00000000-0005-0000-0000-00002EA40000}"/>
    <cellStyle name="Normal 4 4 2 6 2 2 2" xfId="43802" xr:uid="{00000000-0005-0000-0000-00002FA40000}"/>
    <cellStyle name="Normal 4 4 2 6 2 3" xfId="32501" xr:uid="{00000000-0005-0000-0000-000030A40000}"/>
    <cellStyle name="Normal 4 4 2 6 3" xfId="15550" xr:uid="{00000000-0005-0000-0000-000031A40000}"/>
    <cellStyle name="Normal 4 4 2 6 3 2" xfId="38152" xr:uid="{00000000-0005-0000-0000-000032A40000}"/>
    <cellStyle name="Normal 4 4 2 6 4" xfId="26851" xr:uid="{00000000-0005-0000-0000-000033A40000}"/>
    <cellStyle name="Normal 4 4 2 7" xfId="6729" xr:uid="{00000000-0005-0000-0000-000034A40000}"/>
    <cellStyle name="Normal 4 4 2 7 2" xfId="18030" xr:uid="{00000000-0005-0000-0000-000035A40000}"/>
    <cellStyle name="Normal 4 4 2 7 2 2" xfId="40632" xr:uid="{00000000-0005-0000-0000-000036A40000}"/>
    <cellStyle name="Normal 4 4 2 7 3" xfId="29331" xr:uid="{00000000-0005-0000-0000-000037A40000}"/>
    <cellStyle name="Normal 4 4 2 8" xfId="12380" xr:uid="{00000000-0005-0000-0000-000038A40000}"/>
    <cellStyle name="Normal 4 4 2 8 2" xfId="34982" xr:uid="{00000000-0005-0000-0000-000039A40000}"/>
    <cellStyle name="Normal 4 4 2 9" xfId="23681" xr:uid="{00000000-0005-0000-0000-00003AA40000}"/>
    <cellStyle name="Normal 4 4 3" xfId="1236" xr:uid="{00000000-0005-0000-0000-00003BA40000}"/>
    <cellStyle name="Normal 4 4 3 2" xfId="2111" xr:uid="{00000000-0005-0000-0000-00003CA40000}"/>
    <cellStyle name="Normal 4 4 3 2 2" xfId="3304" xr:uid="{00000000-0005-0000-0000-00003DA40000}"/>
    <cellStyle name="Normal 4 4 3 2 2 2" xfId="6276" xr:uid="{00000000-0005-0000-0000-00003EA40000}"/>
    <cellStyle name="Normal 4 4 3 2 2 2 2" xfId="11926" xr:uid="{00000000-0005-0000-0000-00003FA40000}"/>
    <cellStyle name="Normal 4 4 3 2 2 2 2 2" xfId="23227" xr:uid="{00000000-0005-0000-0000-000040A40000}"/>
    <cellStyle name="Normal 4 4 3 2 2 2 2 2 2" xfId="45829" xr:uid="{00000000-0005-0000-0000-000041A40000}"/>
    <cellStyle name="Normal 4 4 3 2 2 2 2 3" xfId="34528" xr:uid="{00000000-0005-0000-0000-000042A40000}"/>
    <cellStyle name="Normal 4 4 3 2 2 2 3" xfId="17577" xr:uid="{00000000-0005-0000-0000-000043A40000}"/>
    <cellStyle name="Normal 4 4 3 2 2 2 3 2" xfId="40179" xr:uid="{00000000-0005-0000-0000-000044A40000}"/>
    <cellStyle name="Normal 4 4 3 2 2 2 4" xfId="28878" xr:uid="{00000000-0005-0000-0000-000045A40000}"/>
    <cellStyle name="Normal 4 4 3 2 2 3" xfId="9094" xr:uid="{00000000-0005-0000-0000-000046A40000}"/>
    <cellStyle name="Normal 4 4 3 2 2 3 2" xfId="20395" xr:uid="{00000000-0005-0000-0000-000047A40000}"/>
    <cellStyle name="Normal 4 4 3 2 2 3 2 2" xfId="42997" xr:uid="{00000000-0005-0000-0000-000048A40000}"/>
    <cellStyle name="Normal 4 4 3 2 2 3 3" xfId="31696" xr:uid="{00000000-0005-0000-0000-000049A40000}"/>
    <cellStyle name="Normal 4 4 3 2 2 4" xfId="14745" xr:uid="{00000000-0005-0000-0000-00004AA40000}"/>
    <cellStyle name="Normal 4 4 3 2 2 4 2" xfId="37347" xr:uid="{00000000-0005-0000-0000-00004BA40000}"/>
    <cellStyle name="Normal 4 4 3 2 2 5" xfId="26046" xr:uid="{00000000-0005-0000-0000-00004CA40000}"/>
    <cellStyle name="Normal 4 4 3 2 3" xfId="5042" xr:uid="{00000000-0005-0000-0000-00004DA40000}"/>
    <cellStyle name="Normal 4 4 3 2 3 2" xfId="10692" xr:uid="{00000000-0005-0000-0000-00004EA40000}"/>
    <cellStyle name="Normal 4 4 3 2 3 2 2" xfId="21993" xr:uid="{00000000-0005-0000-0000-00004FA40000}"/>
    <cellStyle name="Normal 4 4 3 2 3 2 2 2" xfId="44595" xr:uid="{00000000-0005-0000-0000-000050A40000}"/>
    <cellStyle name="Normal 4 4 3 2 3 2 3" xfId="33294" xr:uid="{00000000-0005-0000-0000-000051A40000}"/>
    <cellStyle name="Normal 4 4 3 2 3 3" xfId="16343" xr:uid="{00000000-0005-0000-0000-000052A40000}"/>
    <cellStyle name="Normal 4 4 3 2 3 3 2" xfId="38945" xr:uid="{00000000-0005-0000-0000-000053A40000}"/>
    <cellStyle name="Normal 4 4 3 2 3 4" xfId="27644" xr:uid="{00000000-0005-0000-0000-000054A40000}"/>
    <cellStyle name="Normal 4 4 3 2 4" xfId="7967" xr:uid="{00000000-0005-0000-0000-000055A40000}"/>
    <cellStyle name="Normal 4 4 3 2 4 2" xfId="19268" xr:uid="{00000000-0005-0000-0000-000056A40000}"/>
    <cellStyle name="Normal 4 4 3 2 4 2 2" xfId="41870" xr:uid="{00000000-0005-0000-0000-000057A40000}"/>
    <cellStyle name="Normal 4 4 3 2 4 3" xfId="30569" xr:uid="{00000000-0005-0000-0000-000058A40000}"/>
    <cellStyle name="Normal 4 4 3 2 5" xfId="13618" xr:uid="{00000000-0005-0000-0000-000059A40000}"/>
    <cellStyle name="Normal 4 4 3 2 5 2" xfId="36220" xr:uid="{00000000-0005-0000-0000-00005AA40000}"/>
    <cellStyle name="Normal 4 4 3 2 6" xfId="24919" xr:uid="{00000000-0005-0000-0000-00005BA40000}"/>
    <cellStyle name="Normal 4 4 3 3" xfId="2633" xr:uid="{00000000-0005-0000-0000-00005CA40000}"/>
    <cellStyle name="Normal 4 4 3 3 2" xfId="5652" xr:uid="{00000000-0005-0000-0000-00005DA40000}"/>
    <cellStyle name="Normal 4 4 3 3 2 2" xfId="11302" xr:uid="{00000000-0005-0000-0000-00005EA40000}"/>
    <cellStyle name="Normal 4 4 3 3 2 2 2" xfId="22603" xr:uid="{00000000-0005-0000-0000-00005FA40000}"/>
    <cellStyle name="Normal 4 4 3 3 2 2 2 2" xfId="45205" xr:uid="{00000000-0005-0000-0000-000060A40000}"/>
    <cellStyle name="Normal 4 4 3 3 2 2 3" xfId="33904" xr:uid="{00000000-0005-0000-0000-000061A40000}"/>
    <cellStyle name="Normal 4 4 3 3 2 3" xfId="16953" xr:uid="{00000000-0005-0000-0000-000062A40000}"/>
    <cellStyle name="Normal 4 4 3 3 2 3 2" xfId="39555" xr:uid="{00000000-0005-0000-0000-000063A40000}"/>
    <cellStyle name="Normal 4 4 3 3 2 4" xfId="28254" xr:uid="{00000000-0005-0000-0000-000064A40000}"/>
    <cellStyle name="Normal 4 4 3 3 3" xfId="8469" xr:uid="{00000000-0005-0000-0000-000065A40000}"/>
    <cellStyle name="Normal 4 4 3 3 3 2" xfId="19770" xr:uid="{00000000-0005-0000-0000-000066A40000}"/>
    <cellStyle name="Normal 4 4 3 3 3 2 2" xfId="42372" xr:uid="{00000000-0005-0000-0000-000067A40000}"/>
    <cellStyle name="Normal 4 4 3 3 3 3" xfId="31071" xr:uid="{00000000-0005-0000-0000-000068A40000}"/>
    <cellStyle name="Normal 4 4 3 3 4" xfId="14120" xr:uid="{00000000-0005-0000-0000-000069A40000}"/>
    <cellStyle name="Normal 4 4 3 3 4 2" xfId="36722" xr:uid="{00000000-0005-0000-0000-00006AA40000}"/>
    <cellStyle name="Normal 4 4 3 3 5" xfId="25421" xr:uid="{00000000-0005-0000-0000-00006BA40000}"/>
    <cellStyle name="Normal 4 4 3 4" xfId="4418" xr:uid="{00000000-0005-0000-0000-00006CA40000}"/>
    <cellStyle name="Normal 4 4 3 4 2" xfId="10068" xr:uid="{00000000-0005-0000-0000-00006DA40000}"/>
    <cellStyle name="Normal 4 4 3 4 2 2" xfId="21369" xr:uid="{00000000-0005-0000-0000-00006EA40000}"/>
    <cellStyle name="Normal 4 4 3 4 2 2 2" xfId="43971" xr:uid="{00000000-0005-0000-0000-00006FA40000}"/>
    <cellStyle name="Normal 4 4 3 4 2 3" xfId="32670" xr:uid="{00000000-0005-0000-0000-000070A40000}"/>
    <cellStyle name="Normal 4 4 3 4 3" xfId="15719" xr:uid="{00000000-0005-0000-0000-000071A40000}"/>
    <cellStyle name="Normal 4 4 3 4 3 2" xfId="38321" xr:uid="{00000000-0005-0000-0000-000072A40000}"/>
    <cellStyle name="Normal 4 4 3 4 4" xfId="27020" xr:uid="{00000000-0005-0000-0000-000073A40000}"/>
    <cellStyle name="Normal 4 4 3 5" xfId="7215" xr:uid="{00000000-0005-0000-0000-000074A40000}"/>
    <cellStyle name="Normal 4 4 3 5 2" xfId="18516" xr:uid="{00000000-0005-0000-0000-000075A40000}"/>
    <cellStyle name="Normal 4 4 3 5 2 2" xfId="41118" xr:uid="{00000000-0005-0000-0000-000076A40000}"/>
    <cellStyle name="Normal 4 4 3 5 3" xfId="29817" xr:uid="{00000000-0005-0000-0000-000077A40000}"/>
    <cellStyle name="Normal 4 4 3 6" xfId="12866" xr:uid="{00000000-0005-0000-0000-000078A40000}"/>
    <cellStyle name="Normal 4 4 3 6 2" xfId="35468" xr:uid="{00000000-0005-0000-0000-000079A40000}"/>
    <cellStyle name="Normal 4 4 3 7" xfId="24167" xr:uid="{00000000-0005-0000-0000-00007AA40000}"/>
    <cellStyle name="Normal 4 4 4" xfId="927" xr:uid="{00000000-0005-0000-0000-00007BA40000}"/>
    <cellStyle name="Normal 4 4 4 2" xfId="2997" xr:uid="{00000000-0005-0000-0000-00007CA40000}"/>
    <cellStyle name="Normal 4 4 4 2 2" xfId="5969" xr:uid="{00000000-0005-0000-0000-00007DA40000}"/>
    <cellStyle name="Normal 4 4 4 2 2 2" xfId="11619" xr:uid="{00000000-0005-0000-0000-00007EA40000}"/>
    <cellStyle name="Normal 4 4 4 2 2 2 2" xfId="22920" xr:uid="{00000000-0005-0000-0000-00007FA40000}"/>
    <cellStyle name="Normal 4 4 4 2 2 2 2 2" xfId="45522" xr:uid="{00000000-0005-0000-0000-000080A40000}"/>
    <cellStyle name="Normal 4 4 4 2 2 2 3" xfId="34221" xr:uid="{00000000-0005-0000-0000-000081A40000}"/>
    <cellStyle name="Normal 4 4 4 2 2 3" xfId="17270" xr:uid="{00000000-0005-0000-0000-000082A40000}"/>
    <cellStyle name="Normal 4 4 4 2 2 3 2" xfId="39872" xr:uid="{00000000-0005-0000-0000-000083A40000}"/>
    <cellStyle name="Normal 4 4 4 2 2 4" xfId="28571" xr:uid="{00000000-0005-0000-0000-000084A40000}"/>
    <cellStyle name="Normal 4 4 4 2 3" xfId="8787" xr:uid="{00000000-0005-0000-0000-000085A40000}"/>
    <cellStyle name="Normal 4 4 4 2 3 2" xfId="20088" xr:uid="{00000000-0005-0000-0000-000086A40000}"/>
    <cellStyle name="Normal 4 4 4 2 3 2 2" xfId="42690" xr:uid="{00000000-0005-0000-0000-000087A40000}"/>
    <cellStyle name="Normal 4 4 4 2 3 3" xfId="31389" xr:uid="{00000000-0005-0000-0000-000088A40000}"/>
    <cellStyle name="Normal 4 4 4 2 4" xfId="14438" xr:uid="{00000000-0005-0000-0000-000089A40000}"/>
    <cellStyle name="Normal 4 4 4 2 4 2" xfId="37040" xr:uid="{00000000-0005-0000-0000-00008AA40000}"/>
    <cellStyle name="Normal 4 4 4 2 5" xfId="25739" xr:uid="{00000000-0005-0000-0000-00008BA40000}"/>
    <cellStyle name="Normal 4 4 4 3" xfId="4735" xr:uid="{00000000-0005-0000-0000-00008CA40000}"/>
    <cellStyle name="Normal 4 4 4 3 2" xfId="10385" xr:uid="{00000000-0005-0000-0000-00008DA40000}"/>
    <cellStyle name="Normal 4 4 4 3 2 2" xfId="21686" xr:uid="{00000000-0005-0000-0000-00008EA40000}"/>
    <cellStyle name="Normal 4 4 4 3 2 2 2" xfId="44288" xr:uid="{00000000-0005-0000-0000-00008FA40000}"/>
    <cellStyle name="Normal 4 4 4 3 2 3" xfId="32987" xr:uid="{00000000-0005-0000-0000-000090A40000}"/>
    <cellStyle name="Normal 4 4 4 3 3" xfId="16036" xr:uid="{00000000-0005-0000-0000-000091A40000}"/>
    <cellStyle name="Normal 4 4 4 3 3 2" xfId="38638" xr:uid="{00000000-0005-0000-0000-000092A40000}"/>
    <cellStyle name="Normal 4 4 4 3 4" xfId="27337" xr:uid="{00000000-0005-0000-0000-000093A40000}"/>
    <cellStyle name="Normal 4 4 4 4" xfId="6922" xr:uid="{00000000-0005-0000-0000-000094A40000}"/>
    <cellStyle name="Normal 4 4 4 4 2" xfId="18223" xr:uid="{00000000-0005-0000-0000-000095A40000}"/>
    <cellStyle name="Normal 4 4 4 4 2 2" xfId="40825" xr:uid="{00000000-0005-0000-0000-000096A40000}"/>
    <cellStyle name="Normal 4 4 4 4 3" xfId="29524" xr:uid="{00000000-0005-0000-0000-000097A40000}"/>
    <cellStyle name="Normal 4 4 4 5" xfId="12573" xr:uid="{00000000-0005-0000-0000-000098A40000}"/>
    <cellStyle name="Normal 4 4 4 5 2" xfId="35175" xr:uid="{00000000-0005-0000-0000-000099A40000}"/>
    <cellStyle name="Normal 4 4 4 6" xfId="23874" xr:uid="{00000000-0005-0000-0000-00009AA40000}"/>
    <cellStyle name="Normal 4 4 5" xfId="2108" xr:uid="{00000000-0005-0000-0000-00009BA40000}"/>
    <cellStyle name="Normal 4 4 5 2" xfId="3861" xr:uid="{00000000-0005-0000-0000-00009CA40000}"/>
    <cellStyle name="Normal 4 4 5 2 2" xfId="9569" xr:uid="{00000000-0005-0000-0000-00009DA40000}"/>
    <cellStyle name="Normal 4 4 5 2 2 2" xfId="20870" xr:uid="{00000000-0005-0000-0000-00009EA40000}"/>
    <cellStyle name="Normal 4 4 5 2 2 2 2" xfId="43472" xr:uid="{00000000-0005-0000-0000-00009FA40000}"/>
    <cellStyle name="Normal 4 4 5 2 2 3" xfId="32171" xr:uid="{00000000-0005-0000-0000-0000A0A40000}"/>
    <cellStyle name="Normal 4 4 5 2 3" xfId="15220" xr:uid="{00000000-0005-0000-0000-0000A1A40000}"/>
    <cellStyle name="Normal 4 4 5 2 3 2" xfId="37822" xr:uid="{00000000-0005-0000-0000-0000A2A40000}"/>
    <cellStyle name="Normal 4 4 5 2 4" xfId="26521" xr:uid="{00000000-0005-0000-0000-0000A3A40000}"/>
    <cellStyle name="Normal 4 4 5 3" xfId="5345" xr:uid="{00000000-0005-0000-0000-0000A4A40000}"/>
    <cellStyle name="Normal 4 4 5 3 2" xfId="10995" xr:uid="{00000000-0005-0000-0000-0000A5A40000}"/>
    <cellStyle name="Normal 4 4 5 3 2 2" xfId="22296" xr:uid="{00000000-0005-0000-0000-0000A6A40000}"/>
    <cellStyle name="Normal 4 4 5 3 2 2 2" xfId="44898" xr:uid="{00000000-0005-0000-0000-0000A7A40000}"/>
    <cellStyle name="Normal 4 4 5 3 2 3" xfId="33597" xr:uid="{00000000-0005-0000-0000-0000A8A40000}"/>
    <cellStyle name="Normal 4 4 5 3 3" xfId="16646" xr:uid="{00000000-0005-0000-0000-0000A9A40000}"/>
    <cellStyle name="Normal 4 4 5 3 3 2" xfId="39248" xr:uid="{00000000-0005-0000-0000-0000AAA40000}"/>
    <cellStyle name="Normal 4 4 5 3 4" xfId="27947" xr:uid="{00000000-0005-0000-0000-0000ABA40000}"/>
    <cellStyle name="Normal 4 4 5 4" xfId="7964" xr:uid="{00000000-0005-0000-0000-0000ACA40000}"/>
    <cellStyle name="Normal 4 4 5 4 2" xfId="19265" xr:uid="{00000000-0005-0000-0000-0000ADA40000}"/>
    <cellStyle name="Normal 4 4 5 4 2 2" xfId="41867" xr:uid="{00000000-0005-0000-0000-0000AEA40000}"/>
    <cellStyle name="Normal 4 4 5 4 3" xfId="30566" xr:uid="{00000000-0005-0000-0000-0000AFA40000}"/>
    <cellStyle name="Normal 4 4 5 5" xfId="13615" xr:uid="{00000000-0005-0000-0000-0000B0A40000}"/>
    <cellStyle name="Normal 4 4 5 5 2" xfId="36217" xr:uid="{00000000-0005-0000-0000-0000B1A40000}"/>
    <cellStyle name="Normal 4 4 5 6" xfId="24916" xr:uid="{00000000-0005-0000-0000-0000B2A40000}"/>
    <cellStyle name="Normal 4 4 6" xfId="2324" xr:uid="{00000000-0005-0000-0000-0000B3A40000}"/>
    <cellStyle name="Normal 4 4 6 2" xfId="8160" xr:uid="{00000000-0005-0000-0000-0000B4A40000}"/>
    <cellStyle name="Normal 4 4 6 2 2" xfId="19461" xr:uid="{00000000-0005-0000-0000-0000B5A40000}"/>
    <cellStyle name="Normal 4 4 6 2 2 2" xfId="42063" xr:uid="{00000000-0005-0000-0000-0000B6A40000}"/>
    <cellStyle name="Normal 4 4 6 2 3" xfId="30762" xr:uid="{00000000-0005-0000-0000-0000B7A40000}"/>
    <cellStyle name="Normal 4 4 6 3" xfId="13811" xr:uid="{00000000-0005-0000-0000-0000B8A40000}"/>
    <cellStyle name="Normal 4 4 6 3 2" xfId="36413" xr:uid="{00000000-0005-0000-0000-0000B9A40000}"/>
    <cellStyle name="Normal 4 4 6 4" xfId="25112" xr:uid="{00000000-0005-0000-0000-0000BAA40000}"/>
    <cellStyle name="Normal 4 4 7" xfId="4111" xr:uid="{00000000-0005-0000-0000-0000BBA40000}"/>
    <cellStyle name="Normal 4 4 7 2" xfId="9761" xr:uid="{00000000-0005-0000-0000-0000BCA40000}"/>
    <cellStyle name="Normal 4 4 7 2 2" xfId="21062" xr:uid="{00000000-0005-0000-0000-0000BDA40000}"/>
    <cellStyle name="Normal 4 4 7 2 2 2" xfId="43664" xr:uid="{00000000-0005-0000-0000-0000BEA40000}"/>
    <cellStyle name="Normal 4 4 7 2 3" xfId="32363" xr:uid="{00000000-0005-0000-0000-0000BFA40000}"/>
    <cellStyle name="Normal 4 4 7 3" xfId="15412" xr:uid="{00000000-0005-0000-0000-0000C0A40000}"/>
    <cellStyle name="Normal 4 4 7 3 2" xfId="38014" xr:uid="{00000000-0005-0000-0000-0000C1A40000}"/>
    <cellStyle name="Normal 4 4 7 4" xfId="26713" xr:uid="{00000000-0005-0000-0000-0000C2A40000}"/>
    <cellStyle name="Normal 4 4 8" xfId="6562" xr:uid="{00000000-0005-0000-0000-0000C3A40000}"/>
    <cellStyle name="Normal 4 4 8 2" xfId="17863" xr:uid="{00000000-0005-0000-0000-0000C4A40000}"/>
    <cellStyle name="Normal 4 4 8 2 2" xfId="40465" xr:uid="{00000000-0005-0000-0000-0000C5A40000}"/>
    <cellStyle name="Normal 4 4 8 3" xfId="29164" xr:uid="{00000000-0005-0000-0000-0000C6A40000}"/>
    <cellStyle name="Normal 4 4 9" xfId="12213" xr:uid="{00000000-0005-0000-0000-0000C7A40000}"/>
    <cellStyle name="Normal 4 4 9 2" xfId="34815" xr:uid="{00000000-0005-0000-0000-0000C8A40000}"/>
    <cellStyle name="Normal 4 5" xfId="566" xr:uid="{00000000-0005-0000-0000-0000C9A40000}"/>
    <cellStyle name="Normal 4 5 2" xfId="1140" xr:uid="{00000000-0005-0000-0000-0000CAA40000}"/>
    <cellStyle name="Normal 4 5 2 2" xfId="2113" xr:uid="{00000000-0005-0000-0000-0000CBA40000}"/>
    <cellStyle name="Normal 4 5 2 2 2" xfId="3208" xr:uid="{00000000-0005-0000-0000-0000CCA40000}"/>
    <cellStyle name="Normal 4 5 2 2 2 2" xfId="6180" xr:uid="{00000000-0005-0000-0000-0000CDA40000}"/>
    <cellStyle name="Normal 4 5 2 2 2 2 2" xfId="11830" xr:uid="{00000000-0005-0000-0000-0000CEA40000}"/>
    <cellStyle name="Normal 4 5 2 2 2 2 2 2" xfId="23131" xr:uid="{00000000-0005-0000-0000-0000CFA40000}"/>
    <cellStyle name="Normal 4 5 2 2 2 2 2 2 2" xfId="45733" xr:uid="{00000000-0005-0000-0000-0000D0A40000}"/>
    <cellStyle name="Normal 4 5 2 2 2 2 2 3" xfId="34432" xr:uid="{00000000-0005-0000-0000-0000D1A40000}"/>
    <cellStyle name="Normal 4 5 2 2 2 2 3" xfId="17481" xr:uid="{00000000-0005-0000-0000-0000D2A40000}"/>
    <cellStyle name="Normal 4 5 2 2 2 2 3 2" xfId="40083" xr:uid="{00000000-0005-0000-0000-0000D3A40000}"/>
    <cellStyle name="Normal 4 5 2 2 2 2 4" xfId="28782" xr:uid="{00000000-0005-0000-0000-0000D4A40000}"/>
    <cellStyle name="Normal 4 5 2 2 2 3" xfId="8998" xr:uid="{00000000-0005-0000-0000-0000D5A40000}"/>
    <cellStyle name="Normal 4 5 2 2 2 3 2" xfId="20299" xr:uid="{00000000-0005-0000-0000-0000D6A40000}"/>
    <cellStyle name="Normal 4 5 2 2 2 3 2 2" xfId="42901" xr:uid="{00000000-0005-0000-0000-0000D7A40000}"/>
    <cellStyle name="Normal 4 5 2 2 2 3 3" xfId="31600" xr:uid="{00000000-0005-0000-0000-0000D8A40000}"/>
    <cellStyle name="Normal 4 5 2 2 2 4" xfId="14649" xr:uid="{00000000-0005-0000-0000-0000D9A40000}"/>
    <cellStyle name="Normal 4 5 2 2 2 4 2" xfId="37251" xr:uid="{00000000-0005-0000-0000-0000DAA40000}"/>
    <cellStyle name="Normal 4 5 2 2 2 5" xfId="25950" xr:uid="{00000000-0005-0000-0000-0000DBA40000}"/>
    <cellStyle name="Normal 4 5 2 2 3" xfId="4946" xr:uid="{00000000-0005-0000-0000-0000DCA40000}"/>
    <cellStyle name="Normal 4 5 2 2 3 2" xfId="10596" xr:uid="{00000000-0005-0000-0000-0000DDA40000}"/>
    <cellStyle name="Normal 4 5 2 2 3 2 2" xfId="21897" xr:uid="{00000000-0005-0000-0000-0000DEA40000}"/>
    <cellStyle name="Normal 4 5 2 2 3 2 2 2" xfId="44499" xr:uid="{00000000-0005-0000-0000-0000DFA40000}"/>
    <cellStyle name="Normal 4 5 2 2 3 2 3" xfId="33198" xr:uid="{00000000-0005-0000-0000-0000E0A40000}"/>
    <cellStyle name="Normal 4 5 2 2 3 3" xfId="16247" xr:uid="{00000000-0005-0000-0000-0000E1A40000}"/>
    <cellStyle name="Normal 4 5 2 2 3 3 2" xfId="38849" xr:uid="{00000000-0005-0000-0000-0000E2A40000}"/>
    <cellStyle name="Normal 4 5 2 2 3 4" xfId="27548" xr:uid="{00000000-0005-0000-0000-0000E3A40000}"/>
    <cellStyle name="Normal 4 5 2 2 4" xfId="7969" xr:uid="{00000000-0005-0000-0000-0000E4A40000}"/>
    <cellStyle name="Normal 4 5 2 2 4 2" xfId="19270" xr:uid="{00000000-0005-0000-0000-0000E5A40000}"/>
    <cellStyle name="Normal 4 5 2 2 4 2 2" xfId="41872" xr:uid="{00000000-0005-0000-0000-0000E6A40000}"/>
    <cellStyle name="Normal 4 5 2 2 4 3" xfId="30571" xr:uid="{00000000-0005-0000-0000-0000E7A40000}"/>
    <cellStyle name="Normal 4 5 2 2 5" xfId="13620" xr:uid="{00000000-0005-0000-0000-0000E8A40000}"/>
    <cellStyle name="Normal 4 5 2 2 5 2" xfId="36222" xr:uid="{00000000-0005-0000-0000-0000E9A40000}"/>
    <cellStyle name="Normal 4 5 2 2 6" xfId="24921" xr:uid="{00000000-0005-0000-0000-0000EAA40000}"/>
    <cellStyle name="Normal 4 5 2 3" xfId="2537" xr:uid="{00000000-0005-0000-0000-0000EBA40000}"/>
    <cellStyle name="Normal 4 5 2 3 2" xfId="5556" xr:uid="{00000000-0005-0000-0000-0000ECA40000}"/>
    <cellStyle name="Normal 4 5 2 3 2 2" xfId="11206" xr:uid="{00000000-0005-0000-0000-0000EDA40000}"/>
    <cellStyle name="Normal 4 5 2 3 2 2 2" xfId="22507" xr:uid="{00000000-0005-0000-0000-0000EEA40000}"/>
    <cellStyle name="Normal 4 5 2 3 2 2 2 2" xfId="45109" xr:uid="{00000000-0005-0000-0000-0000EFA40000}"/>
    <cellStyle name="Normal 4 5 2 3 2 2 3" xfId="33808" xr:uid="{00000000-0005-0000-0000-0000F0A40000}"/>
    <cellStyle name="Normal 4 5 2 3 2 3" xfId="16857" xr:uid="{00000000-0005-0000-0000-0000F1A40000}"/>
    <cellStyle name="Normal 4 5 2 3 2 3 2" xfId="39459" xr:uid="{00000000-0005-0000-0000-0000F2A40000}"/>
    <cellStyle name="Normal 4 5 2 3 2 4" xfId="28158" xr:uid="{00000000-0005-0000-0000-0000F3A40000}"/>
    <cellStyle name="Normal 4 5 2 3 3" xfId="8373" xr:uid="{00000000-0005-0000-0000-0000F4A40000}"/>
    <cellStyle name="Normal 4 5 2 3 3 2" xfId="19674" xr:uid="{00000000-0005-0000-0000-0000F5A40000}"/>
    <cellStyle name="Normal 4 5 2 3 3 2 2" xfId="42276" xr:uid="{00000000-0005-0000-0000-0000F6A40000}"/>
    <cellStyle name="Normal 4 5 2 3 3 3" xfId="30975" xr:uid="{00000000-0005-0000-0000-0000F7A40000}"/>
    <cellStyle name="Normal 4 5 2 3 4" xfId="14024" xr:uid="{00000000-0005-0000-0000-0000F8A40000}"/>
    <cellStyle name="Normal 4 5 2 3 4 2" xfId="36626" xr:uid="{00000000-0005-0000-0000-0000F9A40000}"/>
    <cellStyle name="Normal 4 5 2 3 5" xfId="25325" xr:uid="{00000000-0005-0000-0000-0000FAA40000}"/>
    <cellStyle name="Normal 4 5 2 4" xfId="4322" xr:uid="{00000000-0005-0000-0000-0000FBA40000}"/>
    <cellStyle name="Normal 4 5 2 4 2" xfId="9972" xr:uid="{00000000-0005-0000-0000-0000FCA40000}"/>
    <cellStyle name="Normal 4 5 2 4 2 2" xfId="21273" xr:uid="{00000000-0005-0000-0000-0000FDA40000}"/>
    <cellStyle name="Normal 4 5 2 4 2 2 2" xfId="43875" xr:uid="{00000000-0005-0000-0000-0000FEA40000}"/>
    <cellStyle name="Normal 4 5 2 4 2 3" xfId="32574" xr:uid="{00000000-0005-0000-0000-0000FFA40000}"/>
    <cellStyle name="Normal 4 5 2 4 3" xfId="15623" xr:uid="{00000000-0005-0000-0000-000000A50000}"/>
    <cellStyle name="Normal 4 5 2 4 3 2" xfId="38225" xr:uid="{00000000-0005-0000-0000-000001A50000}"/>
    <cellStyle name="Normal 4 5 2 4 4" xfId="26924" xr:uid="{00000000-0005-0000-0000-000002A50000}"/>
    <cellStyle name="Normal 4 5 2 5" xfId="7119" xr:uid="{00000000-0005-0000-0000-000003A50000}"/>
    <cellStyle name="Normal 4 5 2 5 2" xfId="18420" xr:uid="{00000000-0005-0000-0000-000004A50000}"/>
    <cellStyle name="Normal 4 5 2 5 2 2" xfId="41022" xr:uid="{00000000-0005-0000-0000-000005A50000}"/>
    <cellStyle name="Normal 4 5 2 5 3" xfId="29721" xr:uid="{00000000-0005-0000-0000-000006A50000}"/>
    <cellStyle name="Normal 4 5 2 6" xfId="12770" xr:uid="{00000000-0005-0000-0000-000007A50000}"/>
    <cellStyle name="Normal 4 5 2 6 2" xfId="35372" xr:uid="{00000000-0005-0000-0000-000008A50000}"/>
    <cellStyle name="Normal 4 5 2 7" xfId="24071" xr:uid="{00000000-0005-0000-0000-000009A50000}"/>
    <cellStyle name="Normal 4 5 3" xfId="814" xr:uid="{00000000-0005-0000-0000-00000AA50000}"/>
    <cellStyle name="Normal 4 5 3 2" xfId="2901" xr:uid="{00000000-0005-0000-0000-00000BA50000}"/>
    <cellStyle name="Normal 4 5 3 2 2" xfId="5873" xr:uid="{00000000-0005-0000-0000-00000CA50000}"/>
    <cellStyle name="Normal 4 5 3 2 2 2" xfId="11523" xr:uid="{00000000-0005-0000-0000-00000DA50000}"/>
    <cellStyle name="Normal 4 5 3 2 2 2 2" xfId="22824" xr:uid="{00000000-0005-0000-0000-00000EA50000}"/>
    <cellStyle name="Normal 4 5 3 2 2 2 2 2" xfId="45426" xr:uid="{00000000-0005-0000-0000-00000FA50000}"/>
    <cellStyle name="Normal 4 5 3 2 2 2 3" xfId="34125" xr:uid="{00000000-0005-0000-0000-000010A50000}"/>
    <cellStyle name="Normal 4 5 3 2 2 3" xfId="17174" xr:uid="{00000000-0005-0000-0000-000011A50000}"/>
    <cellStyle name="Normal 4 5 3 2 2 3 2" xfId="39776" xr:uid="{00000000-0005-0000-0000-000012A50000}"/>
    <cellStyle name="Normal 4 5 3 2 2 4" xfId="28475" xr:uid="{00000000-0005-0000-0000-000013A50000}"/>
    <cellStyle name="Normal 4 5 3 2 3" xfId="8691" xr:uid="{00000000-0005-0000-0000-000014A50000}"/>
    <cellStyle name="Normal 4 5 3 2 3 2" xfId="19992" xr:uid="{00000000-0005-0000-0000-000015A50000}"/>
    <cellStyle name="Normal 4 5 3 2 3 2 2" xfId="42594" xr:uid="{00000000-0005-0000-0000-000016A50000}"/>
    <cellStyle name="Normal 4 5 3 2 3 3" xfId="31293" xr:uid="{00000000-0005-0000-0000-000017A50000}"/>
    <cellStyle name="Normal 4 5 3 2 4" xfId="14342" xr:uid="{00000000-0005-0000-0000-000018A50000}"/>
    <cellStyle name="Normal 4 5 3 2 4 2" xfId="36944" xr:uid="{00000000-0005-0000-0000-000019A50000}"/>
    <cellStyle name="Normal 4 5 3 2 5" xfId="25643" xr:uid="{00000000-0005-0000-0000-00001AA50000}"/>
    <cellStyle name="Normal 4 5 3 3" xfId="4639" xr:uid="{00000000-0005-0000-0000-00001BA50000}"/>
    <cellStyle name="Normal 4 5 3 3 2" xfId="10289" xr:uid="{00000000-0005-0000-0000-00001CA50000}"/>
    <cellStyle name="Normal 4 5 3 3 2 2" xfId="21590" xr:uid="{00000000-0005-0000-0000-00001DA50000}"/>
    <cellStyle name="Normal 4 5 3 3 2 2 2" xfId="44192" xr:uid="{00000000-0005-0000-0000-00001EA50000}"/>
    <cellStyle name="Normal 4 5 3 3 2 3" xfId="32891" xr:uid="{00000000-0005-0000-0000-00001FA50000}"/>
    <cellStyle name="Normal 4 5 3 3 3" xfId="15940" xr:uid="{00000000-0005-0000-0000-000020A50000}"/>
    <cellStyle name="Normal 4 5 3 3 3 2" xfId="38542" xr:uid="{00000000-0005-0000-0000-000021A50000}"/>
    <cellStyle name="Normal 4 5 3 3 4" xfId="27241" xr:uid="{00000000-0005-0000-0000-000022A50000}"/>
    <cellStyle name="Normal 4 5 3 4" xfId="6822" xr:uid="{00000000-0005-0000-0000-000023A50000}"/>
    <cellStyle name="Normal 4 5 3 4 2" xfId="18123" xr:uid="{00000000-0005-0000-0000-000024A50000}"/>
    <cellStyle name="Normal 4 5 3 4 2 2" xfId="40725" xr:uid="{00000000-0005-0000-0000-000025A50000}"/>
    <cellStyle name="Normal 4 5 3 4 3" xfId="29424" xr:uid="{00000000-0005-0000-0000-000026A50000}"/>
    <cellStyle name="Normal 4 5 3 5" xfId="12473" xr:uid="{00000000-0005-0000-0000-000027A50000}"/>
    <cellStyle name="Normal 4 5 3 5 2" xfId="35075" xr:uid="{00000000-0005-0000-0000-000028A50000}"/>
    <cellStyle name="Normal 4 5 3 6" xfId="23774" xr:uid="{00000000-0005-0000-0000-000029A50000}"/>
    <cellStyle name="Normal 4 5 4" xfId="2112" xr:uid="{00000000-0005-0000-0000-00002AA50000}"/>
    <cellStyle name="Normal 4 5 4 2" xfId="3863" xr:uid="{00000000-0005-0000-0000-00002BA50000}"/>
    <cellStyle name="Normal 4 5 4 2 2" xfId="9571" xr:uid="{00000000-0005-0000-0000-00002CA50000}"/>
    <cellStyle name="Normal 4 5 4 2 2 2" xfId="20872" xr:uid="{00000000-0005-0000-0000-00002DA50000}"/>
    <cellStyle name="Normal 4 5 4 2 2 2 2" xfId="43474" xr:uid="{00000000-0005-0000-0000-00002EA50000}"/>
    <cellStyle name="Normal 4 5 4 2 2 3" xfId="32173" xr:uid="{00000000-0005-0000-0000-00002FA50000}"/>
    <cellStyle name="Normal 4 5 4 2 3" xfId="15222" xr:uid="{00000000-0005-0000-0000-000030A50000}"/>
    <cellStyle name="Normal 4 5 4 2 3 2" xfId="37824" xr:uid="{00000000-0005-0000-0000-000031A50000}"/>
    <cellStyle name="Normal 4 5 4 2 4" xfId="26523" xr:uid="{00000000-0005-0000-0000-000032A50000}"/>
    <cellStyle name="Normal 4 5 4 3" xfId="5249" xr:uid="{00000000-0005-0000-0000-000033A50000}"/>
    <cellStyle name="Normal 4 5 4 3 2" xfId="10899" xr:uid="{00000000-0005-0000-0000-000034A50000}"/>
    <cellStyle name="Normal 4 5 4 3 2 2" xfId="22200" xr:uid="{00000000-0005-0000-0000-000035A50000}"/>
    <cellStyle name="Normal 4 5 4 3 2 2 2" xfId="44802" xr:uid="{00000000-0005-0000-0000-000036A50000}"/>
    <cellStyle name="Normal 4 5 4 3 2 3" xfId="33501" xr:uid="{00000000-0005-0000-0000-000037A50000}"/>
    <cellStyle name="Normal 4 5 4 3 3" xfId="16550" xr:uid="{00000000-0005-0000-0000-000038A50000}"/>
    <cellStyle name="Normal 4 5 4 3 3 2" xfId="39152" xr:uid="{00000000-0005-0000-0000-000039A50000}"/>
    <cellStyle name="Normal 4 5 4 3 4" xfId="27851" xr:uid="{00000000-0005-0000-0000-00003AA50000}"/>
    <cellStyle name="Normal 4 5 4 4" xfId="7968" xr:uid="{00000000-0005-0000-0000-00003BA50000}"/>
    <cellStyle name="Normal 4 5 4 4 2" xfId="19269" xr:uid="{00000000-0005-0000-0000-00003CA50000}"/>
    <cellStyle name="Normal 4 5 4 4 2 2" xfId="41871" xr:uid="{00000000-0005-0000-0000-00003DA50000}"/>
    <cellStyle name="Normal 4 5 4 4 3" xfId="30570" xr:uid="{00000000-0005-0000-0000-00003EA50000}"/>
    <cellStyle name="Normal 4 5 4 5" xfId="13619" xr:uid="{00000000-0005-0000-0000-00003FA50000}"/>
    <cellStyle name="Normal 4 5 4 5 2" xfId="36221" xr:uid="{00000000-0005-0000-0000-000040A50000}"/>
    <cellStyle name="Normal 4 5 4 6" xfId="24920" xr:uid="{00000000-0005-0000-0000-000041A50000}"/>
    <cellStyle name="Normal 4 5 5" xfId="2221" xr:uid="{00000000-0005-0000-0000-000042A50000}"/>
    <cellStyle name="Normal 4 5 5 2" xfId="8063" xr:uid="{00000000-0005-0000-0000-000043A50000}"/>
    <cellStyle name="Normal 4 5 5 2 2" xfId="19364" xr:uid="{00000000-0005-0000-0000-000044A50000}"/>
    <cellStyle name="Normal 4 5 5 2 2 2" xfId="41966" xr:uid="{00000000-0005-0000-0000-000045A50000}"/>
    <cellStyle name="Normal 4 5 5 2 3" xfId="30665" xr:uid="{00000000-0005-0000-0000-000046A50000}"/>
    <cellStyle name="Normal 4 5 5 3" xfId="13714" xr:uid="{00000000-0005-0000-0000-000047A50000}"/>
    <cellStyle name="Normal 4 5 5 3 2" xfId="36316" xr:uid="{00000000-0005-0000-0000-000048A50000}"/>
    <cellStyle name="Normal 4 5 5 4" xfId="25015" xr:uid="{00000000-0005-0000-0000-000049A50000}"/>
    <cellStyle name="Normal 4 5 6" xfId="4015" xr:uid="{00000000-0005-0000-0000-00004AA50000}"/>
    <cellStyle name="Normal 4 5 6 2" xfId="9665" xr:uid="{00000000-0005-0000-0000-00004BA50000}"/>
    <cellStyle name="Normal 4 5 6 2 2" xfId="20966" xr:uid="{00000000-0005-0000-0000-00004CA50000}"/>
    <cellStyle name="Normal 4 5 6 2 2 2" xfId="43568" xr:uid="{00000000-0005-0000-0000-00004DA50000}"/>
    <cellStyle name="Normal 4 5 6 2 3" xfId="32267" xr:uid="{00000000-0005-0000-0000-00004EA50000}"/>
    <cellStyle name="Normal 4 5 6 3" xfId="15316" xr:uid="{00000000-0005-0000-0000-00004FA50000}"/>
    <cellStyle name="Normal 4 5 6 3 2" xfId="37918" xr:uid="{00000000-0005-0000-0000-000050A50000}"/>
    <cellStyle name="Normal 4 5 6 4" xfId="26617" xr:uid="{00000000-0005-0000-0000-000051A50000}"/>
    <cellStyle name="Normal 4 5 7" xfId="6633" xr:uid="{00000000-0005-0000-0000-000052A50000}"/>
    <cellStyle name="Normal 4 5 7 2" xfId="17934" xr:uid="{00000000-0005-0000-0000-000053A50000}"/>
    <cellStyle name="Normal 4 5 7 2 2" xfId="40536" xr:uid="{00000000-0005-0000-0000-000054A50000}"/>
    <cellStyle name="Normal 4 5 7 3" xfId="29235" xr:uid="{00000000-0005-0000-0000-000055A50000}"/>
    <cellStyle name="Normal 4 5 8" xfId="12284" xr:uid="{00000000-0005-0000-0000-000056A50000}"/>
    <cellStyle name="Normal 4 5 8 2" xfId="34886" xr:uid="{00000000-0005-0000-0000-000057A50000}"/>
    <cellStyle name="Normal 4 5 9" xfId="23585" xr:uid="{00000000-0005-0000-0000-000058A50000}"/>
    <cellStyle name="Normal 4 6" xfId="234" xr:uid="{00000000-0005-0000-0000-000059A50000}"/>
    <cellStyle name="Normal 4 6 2" xfId="12117" xr:uid="{00000000-0005-0000-0000-00005AA50000}"/>
    <cellStyle name="Normal 4 6 2 2" xfId="34719" xr:uid="{00000000-0005-0000-0000-00005BA50000}"/>
    <cellStyle name="Normal 4 6 3" xfId="23418" xr:uid="{00000000-0005-0000-0000-00005CA50000}"/>
    <cellStyle name="Normal 4 7" xfId="6466" xr:uid="{00000000-0005-0000-0000-00005DA50000}"/>
    <cellStyle name="Normal 4 7 2" xfId="17767" xr:uid="{00000000-0005-0000-0000-00005EA50000}"/>
    <cellStyle name="Normal 4 7 2 2" xfId="40369" xr:uid="{00000000-0005-0000-0000-00005FA50000}"/>
    <cellStyle name="Normal 4 7 3" xfId="29068" xr:uid="{00000000-0005-0000-0000-000060A50000}"/>
    <cellStyle name="Normal 5" xfId="100" xr:uid="{00000000-0005-0000-0000-000061A50000}"/>
    <cellStyle name="Normal 5 10" xfId="3972" xr:uid="{00000000-0005-0000-0000-000062A50000}"/>
    <cellStyle name="Normal 5 10 2" xfId="9622" xr:uid="{00000000-0005-0000-0000-000063A50000}"/>
    <cellStyle name="Normal 5 10 2 2" xfId="20923" xr:uid="{00000000-0005-0000-0000-000064A50000}"/>
    <cellStyle name="Normal 5 10 2 2 2" xfId="43525" xr:uid="{00000000-0005-0000-0000-000065A50000}"/>
    <cellStyle name="Normal 5 10 2 3" xfId="32224" xr:uid="{00000000-0005-0000-0000-000066A50000}"/>
    <cellStyle name="Normal 5 10 3" xfId="15273" xr:uid="{00000000-0005-0000-0000-000067A50000}"/>
    <cellStyle name="Normal 5 10 3 2" xfId="37875" xr:uid="{00000000-0005-0000-0000-000068A50000}"/>
    <cellStyle name="Normal 5 10 4" xfId="26574" xr:uid="{00000000-0005-0000-0000-000069A50000}"/>
    <cellStyle name="Normal 5 11" xfId="262" xr:uid="{00000000-0005-0000-0000-00006AA50000}"/>
    <cellStyle name="Normal 5 2" xfId="506" xr:uid="{00000000-0005-0000-0000-00006BA50000}"/>
    <cellStyle name="Normal 5 2 10" xfId="23555" xr:uid="{00000000-0005-0000-0000-00006CA50000}"/>
    <cellStyle name="Normal 5 2 2" xfId="693" xr:uid="{00000000-0005-0000-0000-00006DA50000}"/>
    <cellStyle name="Normal 5 2 2 2" xfId="1277" xr:uid="{00000000-0005-0000-0000-00006EA50000}"/>
    <cellStyle name="Normal 5 2 2 2 2" xfId="2117" xr:uid="{00000000-0005-0000-0000-00006FA50000}"/>
    <cellStyle name="Normal 5 2 2 2 2 2" xfId="3346" xr:uid="{00000000-0005-0000-0000-000070A50000}"/>
    <cellStyle name="Normal 5 2 2 2 2 2 2" xfId="6318" xr:uid="{00000000-0005-0000-0000-000071A50000}"/>
    <cellStyle name="Normal 5 2 2 2 2 2 2 2" xfId="11968" xr:uid="{00000000-0005-0000-0000-000072A50000}"/>
    <cellStyle name="Normal 5 2 2 2 2 2 2 2 2" xfId="23269" xr:uid="{00000000-0005-0000-0000-000073A50000}"/>
    <cellStyle name="Normal 5 2 2 2 2 2 2 2 2 2" xfId="45871" xr:uid="{00000000-0005-0000-0000-000074A50000}"/>
    <cellStyle name="Normal 5 2 2 2 2 2 2 2 3" xfId="34570" xr:uid="{00000000-0005-0000-0000-000075A50000}"/>
    <cellStyle name="Normal 5 2 2 2 2 2 2 3" xfId="17619" xr:uid="{00000000-0005-0000-0000-000076A50000}"/>
    <cellStyle name="Normal 5 2 2 2 2 2 2 3 2" xfId="40221" xr:uid="{00000000-0005-0000-0000-000077A50000}"/>
    <cellStyle name="Normal 5 2 2 2 2 2 2 4" xfId="28920" xr:uid="{00000000-0005-0000-0000-000078A50000}"/>
    <cellStyle name="Normal 5 2 2 2 2 2 3" xfId="9136" xr:uid="{00000000-0005-0000-0000-000079A50000}"/>
    <cellStyle name="Normal 5 2 2 2 2 2 3 2" xfId="20437" xr:uid="{00000000-0005-0000-0000-00007AA50000}"/>
    <cellStyle name="Normal 5 2 2 2 2 2 3 2 2" xfId="43039" xr:uid="{00000000-0005-0000-0000-00007BA50000}"/>
    <cellStyle name="Normal 5 2 2 2 2 2 3 3" xfId="31738" xr:uid="{00000000-0005-0000-0000-00007CA50000}"/>
    <cellStyle name="Normal 5 2 2 2 2 2 4" xfId="14787" xr:uid="{00000000-0005-0000-0000-00007DA50000}"/>
    <cellStyle name="Normal 5 2 2 2 2 2 4 2" xfId="37389" xr:uid="{00000000-0005-0000-0000-00007EA50000}"/>
    <cellStyle name="Normal 5 2 2 2 2 2 5" xfId="26088" xr:uid="{00000000-0005-0000-0000-00007FA50000}"/>
    <cellStyle name="Normal 5 2 2 2 2 3" xfId="5084" xr:uid="{00000000-0005-0000-0000-000080A50000}"/>
    <cellStyle name="Normal 5 2 2 2 2 3 2" xfId="10734" xr:uid="{00000000-0005-0000-0000-000081A50000}"/>
    <cellStyle name="Normal 5 2 2 2 2 3 2 2" xfId="22035" xr:uid="{00000000-0005-0000-0000-000082A50000}"/>
    <cellStyle name="Normal 5 2 2 2 2 3 2 2 2" xfId="44637" xr:uid="{00000000-0005-0000-0000-000083A50000}"/>
    <cellStyle name="Normal 5 2 2 2 2 3 2 3" xfId="33336" xr:uid="{00000000-0005-0000-0000-000084A50000}"/>
    <cellStyle name="Normal 5 2 2 2 2 3 3" xfId="16385" xr:uid="{00000000-0005-0000-0000-000085A50000}"/>
    <cellStyle name="Normal 5 2 2 2 2 3 3 2" xfId="38987" xr:uid="{00000000-0005-0000-0000-000086A50000}"/>
    <cellStyle name="Normal 5 2 2 2 2 3 4" xfId="27686" xr:uid="{00000000-0005-0000-0000-000087A50000}"/>
    <cellStyle name="Normal 5 2 2 2 2 4" xfId="7973" xr:uid="{00000000-0005-0000-0000-000088A50000}"/>
    <cellStyle name="Normal 5 2 2 2 2 4 2" xfId="19274" xr:uid="{00000000-0005-0000-0000-000089A50000}"/>
    <cellStyle name="Normal 5 2 2 2 2 4 2 2" xfId="41876" xr:uid="{00000000-0005-0000-0000-00008AA50000}"/>
    <cellStyle name="Normal 5 2 2 2 2 4 3" xfId="30575" xr:uid="{00000000-0005-0000-0000-00008BA50000}"/>
    <cellStyle name="Normal 5 2 2 2 2 5" xfId="13624" xr:uid="{00000000-0005-0000-0000-00008CA50000}"/>
    <cellStyle name="Normal 5 2 2 2 2 5 2" xfId="36226" xr:uid="{00000000-0005-0000-0000-00008DA50000}"/>
    <cellStyle name="Normal 5 2 2 2 2 6" xfId="24925" xr:uid="{00000000-0005-0000-0000-00008EA50000}"/>
    <cellStyle name="Normal 5 2 2 2 3" xfId="2675" xr:uid="{00000000-0005-0000-0000-00008FA50000}"/>
    <cellStyle name="Normal 5 2 2 2 3 2" xfId="5694" xr:uid="{00000000-0005-0000-0000-000090A50000}"/>
    <cellStyle name="Normal 5 2 2 2 3 2 2" xfId="11344" xr:uid="{00000000-0005-0000-0000-000091A50000}"/>
    <cellStyle name="Normal 5 2 2 2 3 2 2 2" xfId="22645" xr:uid="{00000000-0005-0000-0000-000092A50000}"/>
    <cellStyle name="Normal 5 2 2 2 3 2 2 2 2" xfId="45247" xr:uid="{00000000-0005-0000-0000-000093A50000}"/>
    <cellStyle name="Normal 5 2 2 2 3 2 2 3" xfId="33946" xr:uid="{00000000-0005-0000-0000-000094A50000}"/>
    <cellStyle name="Normal 5 2 2 2 3 2 3" xfId="16995" xr:uid="{00000000-0005-0000-0000-000095A50000}"/>
    <cellStyle name="Normal 5 2 2 2 3 2 3 2" xfId="39597" xr:uid="{00000000-0005-0000-0000-000096A50000}"/>
    <cellStyle name="Normal 5 2 2 2 3 2 4" xfId="28296" xr:uid="{00000000-0005-0000-0000-000097A50000}"/>
    <cellStyle name="Normal 5 2 2 2 3 3" xfId="8511" xr:uid="{00000000-0005-0000-0000-000098A50000}"/>
    <cellStyle name="Normal 5 2 2 2 3 3 2" xfId="19812" xr:uid="{00000000-0005-0000-0000-000099A50000}"/>
    <cellStyle name="Normal 5 2 2 2 3 3 2 2" xfId="42414" xr:uid="{00000000-0005-0000-0000-00009AA50000}"/>
    <cellStyle name="Normal 5 2 2 2 3 3 3" xfId="31113" xr:uid="{00000000-0005-0000-0000-00009BA50000}"/>
    <cellStyle name="Normal 5 2 2 2 3 4" xfId="14162" xr:uid="{00000000-0005-0000-0000-00009CA50000}"/>
    <cellStyle name="Normal 5 2 2 2 3 4 2" xfId="36764" xr:uid="{00000000-0005-0000-0000-00009DA50000}"/>
    <cellStyle name="Normal 5 2 2 2 3 5" xfId="25463" xr:uid="{00000000-0005-0000-0000-00009EA50000}"/>
    <cellStyle name="Normal 5 2 2 2 4" xfId="4460" xr:uid="{00000000-0005-0000-0000-00009FA50000}"/>
    <cellStyle name="Normal 5 2 2 2 4 2" xfId="10110" xr:uid="{00000000-0005-0000-0000-0000A0A50000}"/>
    <cellStyle name="Normal 5 2 2 2 4 2 2" xfId="21411" xr:uid="{00000000-0005-0000-0000-0000A1A50000}"/>
    <cellStyle name="Normal 5 2 2 2 4 2 2 2" xfId="44013" xr:uid="{00000000-0005-0000-0000-0000A2A50000}"/>
    <cellStyle name="Normal 5 2 2 2 4 2 3" xfId="32712" xr:uid="{00000000-0005-0000-0000-0000A3A50000}"/>
    <cellStyle name="Normal 5 2 2 2 4 3" xfId="15761" xr:uid="{00000000-0005-0000-0000-0000A4A50000}"/>
    <cellStyle name="Normal 5 2 2 2 4 3 2" xfId="38363" xr:uid="{00000000-0005-0000-0000-0000A5A50000}"/>
    <cellStyle name="Normal 5 2 2 2 4 4" xfId="27062" xr:uid="{00000000-0005-0000-0000-0000A6A50000}"/>
    <cellStyle name="Normal 5 2 2 2 5" xfId="7256" xr:uid="{00000000-0005-0000-0000-0000A7A50000}"/>
    <cellStyle name="Normal 5 2 2 2 5 2" xfId="18557" xr:uid="{00000000-0005-0000-0000-0000A8A50000}"/>
    <cellStyle name="Normal 5 2 2 2 5 2 2" xfId="41159" xr:uid="{00000000-0005-0000-0000-0000A9A50000}"/>
    <cellStyle name="Normal 5 2 2 2 5 3" xfId="29858" xr:uid="{00000000-0005-0000-0000-0000AAA50000}"/>
    <cellStyle name="Normal 5 2 2 2 6" xfId="12907" xr:uid="{00000000-0005-0000-0000-0000ABA50000}"/>
    <cellStyle name="Normal 5 2 2 2 6 2" xfId="35509" xr:uid="{00000000-0005-0000-0000-0000ACA50000}"/>
    <cellStyle name="Normal 5 2 2 2 7" xfId="24208" xr:uid="{00000000-0005-0000-0000-0000ADA50000}"/>
    <cellStyle name="Normal 5 2 2 3" xfId="974" xr:uid="{00000000-0005-0000-0000-0000AEA50000}"/>
    <cellStyle name="Normal 5 2 2 3 2" xfId="3038" xr:uid="{00000000-0005-0000-0000-0000AFA50000}"/>
    <cellStyle name="Normal 5 2 2 3 2 2" xfId="6010" xr:uid="{00000000-0005-0000-0000-0000B0A50000}"/>
    <cellStyle name="Normal 5 2 2 3 2 2 2" xfId="11660" xr:uid="{00000000-0005-0000-0000-0000B1A50000}"/>
    <cellStyle name="Normal 5 2 2 3 2 2 2 2" xfId="22961" xr:uid="{00000000-0005-0000-0000-0000B2A50000}"/>
    <cellStyle name="Normal 5 2 2 3 2 2 2 2 2" xfId="45563" xr:uid="{00000000-0005-0000-0000-0000B3A50000}"/>
    <cellStyle name="Normal 5 2 2 3 2 2 2 3" xfId="34262" xr:uid="{00000000-0005-0000-0000-0000B4A50000}"/>
    <cellStyle name="Normal 5 2 2 3 2 2 3" xfId="17311" xr:uid="{00000000-0005-0000-0000-0000B5A50000}"/>
    <cellStyle name="Normal 5 2 2 3 2 2 3 2" xfId="39913" xr:uid="{00000000-0005-0000-0000-0000B6A50000}"/>
    <cellStyle name="Normal 5 2 2 3 2 2 4" xfId="28612" xr:uid="{00000000-0005-0000-0000-0000B7A50000}"/>
    <cellStyle name="Normal 5 2 2 3 2 3" xfId="8828" xr:uid="{00000000-0005-0000-0000-0000B8A50000}"/>
    <cellStyle name="Normal 5 2 2 3 2 3 2" xfId="20129" xr:uid="{00000000-0005-0000-0000-0000B9A50000}"/>
    <cellStyle name="Normal 5 2 2 3 2 3 2 2" xfId="42731" xr:uid="{00000000-0005-0000-0000-0000BAA50000}"/>
    <cellStyle name="Normal 5 2 2 3 2 3 3" xfId="31430" xr:uid="{00000000-0005-0000-0000-0000BBA50000}"/>
    <cellStyle name="Normal 5 2 2 3 2 4" xfId="14479" xr:uid="{00000000-0005-0000-0000-0000BCA50000}"/>
    <cellStyle name="Normal 5 2 2 3 2 4 2" xfId="37081" xr:uid="{00000000-0005-0000-0000-0000BDA50000}"/>
    <cellStyle name="Normal 5 2 2 3 2 5" xfId="25780" xr:uid="{00000000-0005-0000-0000-0000BEA50000}"/>
    <cellStyle name="Normal 5 2 2 3 3" xfId="4776" xr:uid="{00000000-0005-0000-0000-0000BFA50000}"/>
    <cellStyle name="Normal 5 2 2 3 3 2" xfId="10426" xr:uid="{00000000-0005-0000-0000-0000C0A50000}"/>
    <cellStyle name="Normal 5 2 2 3 3 2 2" xfId="21727" xr:uid="{00000000-0005-0000-0000-0000C1A50000}"/>
    <cellStyle name="Normal 5 2 2 3 3 2 2 2" xfId="44329" xr:uid="{00000000-0005-0000-0000-0000C2A50000}"/>
    <cellStyle name="Normal 5 2 2 3 3 2 3" xfId="33028" xr:uid="{00000000-0005-0000-0000-0000C3A50000}"/>
    <cellStyle name="Normal 5 2 2 3 3 3" xfId="16077" xr:uid="{00000000-0005-0000-0000-0000C4A50000}"/>
    <cellStyle name="Normal 5 2 2 3 3 3 2" xfId="38679" xr:uid="{00000000-0005-0000-0000-0000C5A50000}"/>
    <cellStyle name="Normal 5 2 2 3 3 4" xfId="27378" xr:uid="{00000000-0005-0000-0000-0000C6A50000}"/>
    <cellStyle name="Normal 5 2 2 3 4" xfId="6963" xr:uid="{00000000-0005-0000-0000-0000C7A50000}"/>
    <cellStyle name="Normal 5 2 2 3 4 2" xfId="18264" xr:uid="{00000000-0005-0000-0000-0000C8A50000}"/>
    <cellStyle name="Normal 5 2 2 3 4 2 2" xfId="40866" xr:uid="{00000000-0005-0000-0000-0000C9A50000}"/>
    <cellStyle name="Normal 5 2 2 3 4 3" xfId="29565" xr:uid="{00000000-0005-0000-0000-0000CAA50000}"/>
    <cellStyle name="Normal 5 2 2 3 5" xfId="12614" xr:uid="{00000000-0005-0000-0000-0000CBA50000}"/>
    <cellStyle name="Normal 5 2 2 3 5 2" xfId="35216" xr:uid="{00000000-0005-0000-0000-0000CCA50000}"/>
    <cellStyle name="Normal 5 2 2 3 6" xfId="23915" xr:uid="{00000000-0005-0000-0000-0000CDA50000}"/>
    <cellStyle name="Normal 5 2 2 4" xfId="2116" xr:uid="{00000000-0005-0000-0000-0000CEA50000}"/>
    <cellStyle name="Normal 5 2 2 4 2" xfId="3866" xr:uid="{00000000-0005-0000-0000-0000CFA50000}"/>
    <cellStyle name="Normal 5 2 2 4 2 2" xfId="9574" xr:uid="{00000000-0005-0000-0000-0000D0A50000}"/>
    <cellStyle name="Normal 5 2 2 4 2 2 2" xfId="20875" xr:uid="{00000000-0005-0000-0000-0000D1A50000}"/>
    <cellStyle name="Normal 5 2 2 4 2 2 2 2" xfId="43477" xr:uid="{00000000-0005-0000-0000-0000D2A50000}"/>
    <cellStyle name="Normal 5 2 2 4 2 2 3" xfId="32176" xr:uid="{00000000-0005-0000-0000-0000D3A50000}"/>
    <cellStyle name="Normal 5 2 2 4 2 3" xfId="15225" xr:uid="{00000000-0005-0000-0000-0000D4A50000}"/>
    <cellStyle name="Normal 5 2 2 4 2 3 2" xfId="37827" xr:uid="{00000000-0005-0000-0000-0000D5A50000}"/>
    <cellStyle name="Normal 5 2 2 4 2 4" xfId="26526" xr:uid="{00000000-0005-0000-0000-0000D6A50000}"/>
    <cellStyle name="Normal 5 2 2 4 3" xfId="5386" xr:uid="{00000000-0005-0000-0000-0000D7A50000}"/>
    <cellStyle name="Normal 5 2 2 4 3 2" xfId="11036" xr:uid="{00000000-0005-0000-0000-0000D8A50000}"/>
    <cellStyle name="Normal 5 2 2 4 3 2 2" xfId="22337" xr:uid="{00000000-0005-0000-0000-0000D9A50000}"/>
    <cellStyle name="Normal 5 2 2 4 3 2 2 2" xfId="44939" xr:uid="{00000000-0005-0000-0000-0000DAA50000}"/>
    <cellStyle name="Normal 5 2 2 4 3 2 3" xfId="33638" xr:uid="{00000000-0005-0000-0000-0000DBA50000}"/>
    <cellStyle name="Normal 5 2 2 4 3 3" xfId="16687" xr:uid="{00000000-0005-0000-0000-0000DCA50000}"/>
    <cellStyle name="Normal 5 2 2 4 3 3 2" xfId="39289" xr:uid="{00000000-0005-0000-0000-0000DDA50000}"/>
    <cellStyle name="Normal 5 2 2 4 3 4" xfId="27988" xr:uid="{00000000-0005-0000-0000-0000DEA50000}"/>
    <cellStyle name="Normal 5 2 2 4 4" xfId="7972" xr:uid="{00000000-0005-0000-0000-0000DFA50000}"/>
    <cellStyle name="Normal 5 2 2 4 4 2" xfId="19273" xr:uid="{00000000-0005-0000-0000-0000E0A50000}"/>
    <cellStyle name="Normal 5 2 2 4 4 2 2" xfId="41875" xr:uid="{00000000-0005-0000-0000-0000E1A50000}"/>
    <cellStyle name="Normal 5 2 2 4 4 3" xfId="30574" xr:uid="{00000000-0005-0000-0000-0000E2A50000}"/>
    <cellStyle name="Normal 5 2 2 4 5" xfId="13623" xr:uid="{00000000-0005-0000-0000-0000E3A50000}"/>
    <cellStyle name="Normal 5 2 2 4 5 2" xfId="36225" xr:uid="{00000000-0005-0000-0000-0000E4A50000}"/>
    <cellStyle name="Normal 5 2 2 4 6" xfId="24924" xr:uid="{00000000-0005-0000-0000-0000E5A50000}"/>
    <cellStyle name="Normal 5 2 2 5" xfId="2367" xr:uid="{00000000-0005-0000-0000-0000E6A50000}"/>
    <cellStyle name="Normal 5 2 2 5 2" xfId="8203" xr:uid="{00000000-0005-0000-0000-0000E7A50000}"/>
    <cellStyle name="Normal 5 2 2 5 2 2" xfId="19504" xr:uid="{00000000-0005-0000-0000-0000E8A50000}"/>
    <cellStyle name="Normal 5 2 2 5 2 2 2" xfId="42106" xr:uid="{00000000-0005-0000-0000-0000E9A50000}"/>
    <cellStyle name="Normal 5 2 2 5 2 3" xfId="30805" xr:uid="{00000000-0005-0000-0000-0000EAA50000}"/>
    <cellStyle name="Normal 5 2 2 5 3" xfId="13854" xr:uid="{00000000-0005-0000-0000-0000EBA50000}"/>
    <cellStyle name="Normal 5 2 2 5 3 2" xfId="36456" xr:uid="{00000000-0005-0000-0000-0000ECA50000}"/>
    <cellStyle name="Normal 5 2 2 5 4" xfId="25155" xr:uid="{00000000-0005-0000-0000-0000EDA50000}"/>
    <cellStyle name="Normal 5 2 2 6" xfId="4152" xr:uid="{00000000-0005-0000-0000-0000EEA50000}"/>
    <cellStyle name="Normal 5 2 2 6 2" xfId="9802" xr:uid="{00000000-0005-0000-0000-0000EFA50000}"/>
    <cellStyle name="Normal 5 2 2 6 2 2" xfId="21103" xr:uid="{00000000-0005-0000-0000-0000F0A50000}"/>
    <cellStyle name="Normal 5 2 2 6 2 2 2" xfId="43705" xr:uid="{00000000-0005-0000-0000-0000F1A50000}"/>
    <cellStyle name="Normal 5 2 2 6 2 3" xfId="32404" xr:uid="{00000000-0005-0000-0000-0000F2A50000}"/>
    <cellStyle name="Normal 5 2 2 6 3" xfId="15453" xr:uid="{00000000-0005-0000-0000-0000F3A50000}"/>
    <cellStyle name="Normal 5 2 2 6 3 2" xfId="38055" xr:uid="{00000000-0005-0000-0000-0000F4A50000}"/>
    <cellStyle name="Normal 5 2 2 6 4" xfId="26754" xr:uid="{00000000-0005-0000-0000-0000F5A50000}"/>
    <cellStyle name="Normal 5 2 2 7" xfId="6757" xr:uid="{00000000-0005-0000-0000-0000F6A50000}"/>
    <cellStyle name="Normal 5 2 2 7 2" xfId="18058" xr:uid="{00000000-0005-0000-0000-0000F7A50000}"/>
    <cellStyle name="Normal 5 2 2 7 2 2" xfId="40660" xr:uid="{00000000-0005-0000-0000-0000F8A50000}"/>
    <cellStyle name="Normal 5 2 2 7 3" xfId="29359" xr:uid="{00000000-0005-0000-0000-0000F9A50000}"/>
    <cellStyle name="Normal 5 2 2 8" xfId="12408" xr:uid="{00000000-0005-0000-0000-0000FAA50000}"/>
    <cellStyle name="Normal 5 2 2 8 2" xfId="35010" xr:uid="{00000000-0005-0000-0000-0000FBA50000}"/>
    <cellStyle name="Normal 5 2 2 9" xfId="23709" xr:uid="{00000000-0005-0000-0000-0000FCA50000}"/>
    <cellStyle name="Normal 5 2 3" xfId="1111" xr:uid="{00000000-0005-0000-0000-0000FDA50000}"/>
    <cellStyle name="Normal 5 2 3 2" xfId="2118" xr:uid="{00000000-0005-0000-0000-0000FEA50000}"/>
    <cellStyle name="Normal 5 2 3 2 2" xfId="3178" xr:uid="{00000000-0005-0000-0000-0000FFA50000}"/>
    <cellStyle name="Normal 5 2 3 2 2 2" xfId="6150" xr:uid="{00000000-0005-0000-0000-000000A60000}"/>
    <cellStyle name="Normal 5 2 3 2 2 2 2" xfId="11800" xr:uid="{00000000-0005-0000-0000-000001A60000}"/>
    <cellStyle name="Normal 5 2 3 2 2 2 2 2" xfId="23101" xr:uid="{00000000-0005-0000-0000-000002A60000}"/>
    <cellStyle name="Normal 5 2 3 2 2 2 2 2 2" xfId="45703" xr:uid="{00000000-0005-0000-0000-000003A60000}"/>
    <cellStyle name="Normal 5 2 3 2 2 2 2 3" xfId="34402" xr:uid="{00000000-0005-0000-0000-000004A60000}"/>
    <cellStyle name="Normal 5 2 3 2 2 2 3" xfId="17451" xr:uid="{00000000-0005-0000-0000-000005A60000}"/>
    <cellStyle name="Normal 5 2 3 2 2 2 3 2" xfId="40053" xr:uid="{00000000-0005-0000-0000-000006A60000}"/>
    <cellStyle name="Normal 5 2 3 2 2 2 4" xfId="28752" xr:uid="{00000000-0005-0000-0000-000007A60000}"/>
    <cellStyle name="Normal 5 2 3 2 2 3" xfId="8968" xr:uid="{00000000-0005-0000-0000-000008A60000}"/>
    <cellStyle name="Normal 5 2 3 2 2 3 2" xfId="20269" xr:uid="{00000000-0005-0000-0000-000009A60000}"/>
    <cellStyle name="Normal 5 2 3 2 2 3 2 2" xfId="42871" xr:uid="{00000000-0005-0000-0000-00000AA60000}"/>
    <cellStyle name="Normal 5 2 3 2 2 3 3" xfId="31570" xr:uid="{00000000-0005-0000-0000-00000BA60000}"/>
    <cellStyle name="Normal 5 2 3 2 2 4" xfId="14619" xr:uid="{00000000-0005-0000-0000-00000CA60000}"/>
    <cellStyle name="Normal 5 2 3 2 2 4 2" xfId="37221" xr:uid="{00000000-0005-0000-0000-00000DA60000}"/>
    <cellStyle name="Normal 5 2 3 2 2 5" xfId="25920" xr:uid="{00000000-0005-0000-0000-00000EA60000}"/>
    <cellStyle name="Normal 5 2 3 2 3" xfId="4916" xr:uid="{00000000-0005-0000-0000-00000FA60000}"/>
    <cellStyle name="Normal 5 2 3 2 3 2" xfId="10566" xr:uid="{00000000-0005-0000-0000-000010A60000}"/>
    <cellStyle name="Normal 5 2 3 2 3 2 2" xfId="21867" xr:uid="{00000000-0005-0000-0000-000011A60000}"/>
    <cellStyle name="Normal 5 2 3 2 3 2 2 2" xfId="44469" xr:uid="{00000000-0005-0000-0000-000012A60000}"/>
    <cellStyle name="Normal 5 2 3 2 3 2 3" xfId="33168" xr:uid="{00000000-0005-0000-0000-000013A60000}"/>
    <cellStyle name="Normal 5 2 3 2 3 3" xfId="16217" xr:uid="{00000000-0005-0000-0000-000014A60000}"/>
    <cellStyle name="Normal 5 2 3 2 3 3 2" xfId="38819" xr:uid="{00000000-0005-0000-0000-000015A60000}"/>
    <cellStyle name="Normal 5 2 3 2 3 4" xfId="27518" xr:uid="{00000000-0005-0000-0000-000016A60000}"/>
    <cellStyle name="Normal 5 2 3 2 4" xfId="7974" xr:uid="{00000000-0005-0000-0000-000017A60000}"/>
    <cellStyle name="Normal 5 2 3 2 4 2" xfId="19275" xr:uid="{00000000-0005-0000-0000-000018A60000}"/>
    <cellStyle name="Normal 5 2 3 2 4 2 2" xfId="41877" xr:uid="{00000000-0005-0000-0000-000019A60000}"/>
    <cellStyle name="Normal 5 2 3 2 4 3" xfId="30576" xr:uid="{00000000-0005-0000-0000-00001AA60000}"/>
    <cellStyle name="Normal 5 2 3 2 5" xfId="13625" xr:uid="{00000000-0005-0000-0000-00001BA60000}"/>
    <cellStyle name="Normal 5 2 3 2 5 2" xfId="36227" xr:uid="{00000000-0005-0000-0000-00001CA60000}"/>
    <cellStyle name="Normal 5 2 3 2 6" xfId="24926" xr:uid="{00000000-0005-0000-0000-00001DA60000}"/>
    <cellStyle name="Normal 5 2 3 3" xfId="2507" xr:uid="{00000000-0005-0000-0000-00001EA60000}"/>
    <cellStyle name="Normal 5 2 3 3 2" xfId="5526" xr:uid="{00000000-0005-0000-0000-00001FA60000}"/>
    <cellStyle name="Normal 5 2 3 3 2 2" xfId="11176" xr:uid="{00000000-0005-0000-0000-000020A60000}"/>
    <cellStyle name="Normal 5 2 3 3 2 2 2" xfId="22477" xr:uid="{00000000-0005-0000-0000-000021A60000}"/>
    <cellStyle name="Normal 5 2 3 3 2 2 2 2" xfId="45079" xr:uid="{00000000-0005-0000-0000-000022A60000}"/>
    <cellStyle name="Normal 5 2 3 3 2 2 3" xfId="33778" xr:uid="{00000000-0005-0000-0000-000023A60000}"/>
    <cellStyle name="Normal 5 2 3 3 2 3" xfId="16827" xr:uid="{00000000-0005-0000-0000-000024A60000}"/>
    <cellStyle name="Normal 5 2 3 3 2 3 2" xfId="39429" xr:uid="{00000000-0005-0000-0000-000025A60000}"/>
    <cellStyle name="Normal 5 2 3 3 2 4" xfId="28128" xr:uid="{00000000-0005-0000-0000-000026A60000}"/>
    <cellStyle name="Normal 5 2 3 3 3" xfId="8343" xr:uid="{00000000-0005-0000-0000-000027A60000}"/>
    <cellStyle name="Normal 5 2 3 3 3 2" xfId="19644" xr:uid="{00000000-0005-0000-0000-000028A60000}"/>
    <cellStyle name="Normal 5 2 3 3 3 2 2" xfId="42246" xr:uid="{00000000-0005-0000-0000-000029A60000}"/>
    <cellStyle name="Normal 5 2 3 3 3 3" xfId="30945" xr:uid="{00000000-0005-0000-0000-00002AA60000}"/>
    <cellStyle name="Normal 5 2 3 3 4" xfId="13994" xr:uid="{00000000-0005-0000-0000-00002BA60000}"/>
    <cellStyle name="Normal 5 2 3 3 4 2" xfId="36596" xr:uid="{00000000-0005-0000-0000-00002CA60000}"/>
    <cellStyle name="Normal 5 2 3 3 5" xfId="25295" xr:uid="{00000000-0005-0000-0000-00002DA60000}"/>
    <cellStyle name="Normal 5 2 3 4" xfId="4292" xr:uid="{00000000-0005-0000-0000-00002EA60000}"/>
    <cellStyle name="Normal 5 2 3 4 2" xfId="9942" xr:uid="{00000000-0005-0000-0000-00002FA60000}"/>
    <cellStyle name="Normal 5 2 3 4 2 2" xfId="21243" xr:uid="{00000000-0005-0000-0000-000030A60000}"/>
    <cellStyle name="Normal 5 2 3 4 2 2 2" xfId="43845" xr:uid="{00000000-0005-0000-0000-000031A60000}"/>
    <cellStyle name="Normal 5 2 3 4 2 3" xfId="32544" xr:uid="{00000000-0005-0000-0000-000032A60000}"/>
    <cellStyle name="Normal 5 2 3 4 3" xfId="15593" xr:uid="{00000000-0005-0000-0000-000033A60000}"/>
    <cellStyle name="Normal 5 2 3 4 3 2" xfId="38195" xr:uid="{00000000-0005-0000-0000-000034A60000}"/>
    <cellStyle name="Normal 5 2 3 4 4" xfId="26894" xr:uid="{00000000-0005-0000-0000-000035A60000}"/>
    <cellStyle name="Normal 5 2 3 5" xfId="7090" xr:uid="{00000000-0005-0000-0000-000036A60000}"/>
    <cellStyle name="Normal 5 2 3 5 2" xfId="18391" xr:uid="{00000000-0005-0000-0000-000037A60000}"/>
    <cellStyle name="Normal 5 2 3 5 2 2" xfId="40993" xr:uid="{00000000-0005-0000-0000-000038A60000}"/>
    <cellStyle name="Normal 5 2 3 5 3" xfId="29692" xr:uid="{00000000-0005-0000-0000-000039A60000}"/>
    <cellStyle name="Normal 5 2 3 6" xfId="12741" xr:uid="{00000000-0005-0000-0000-00003AA60000}"/>
    <cellStyle name="Normal 5 2 3 6 2" xfId="35343" xr:uid="{00000000-0005-0000-0000-00003BA60000}"/>
    <cellStyle name="Normal 5 2 3 7" xfId="24042" xr:uid="{00000000-0005-0000-0000-00003CA60000}"/>
    <cellStyle name="Normal 5 2 4" xfId="774" xr:uid="{00000000-0005-0000-0000-00003DA60000}"/>
    <cellStyle name="Normal 5 2 4 2" xfId="2871" xr:uid="{00000000-0005-0000-0000-00003EA60000}"/>
    <cellStyle name="Normal 5 2 4 2 2" xfId="5843" xr:uid="{00000000-0005-0000-0000-00003FA60000}"/>
    <cellStyle name="Normal 5 2 4 2 2 2" xfId="11493" xr:uid="{00000000-0005-0000-0000-000040A60000}"/>
    <cellStyle name="Normal 5 2 4 2 2 2 2" xfId="22794" xr:uid="{00000000-0005-0000-0000-000041A60000}"/>
    <cellStyle name="Normal 5 2 4 2 2 2 2 2" xfId="45396" xr:uid="{00000000-0005-0000-0000-000042A60000}"/>
    <cellStyle name="Normal 5 2 4 2 2 2 3" xfId="34095" xr:uid="{00000000-0005-0000-0000-000043A60000}"/>
    <cellStyle name="Normal 5 2 4 2 2 3" xfId="17144" xr:uid="{00000000-0005-0000-0000-000044A60000}"/>
    <cellStyle name="Normal 5 2 4 2 2 3 2" xfId="39746" xr:uid="{00000000-0005-0000-0000-000045A60000}"/>
    <cellStyle name="Normal 5 2 4 2 2 4" xfId="28445" xr:uid="{00000000-0005-0000-0000-000046A60000}"/>
    <cellStyle name="Normal 5 2 4 2 3" xfId="8661" xr:uid="{00000000-0005-0000-0000-000047A60000}"/>
    <cellStyle name="Normal 5 2 4 2 3 2" xfId="19962" xr:uid="{00000000-0005-0000-0000-000048A60000}"/>
    <cellStyle name="Normal 5 2 4 2 3 2 2" xfId="42564" xr:uid="{00000000-0005-0000-0000-000049A60000}"/>
    <cellStyle name="Normal 5 2 4 2 3 3" xfId="31263" xr:uid="{00000000-0005-0000-0000-00004AA60000}"/>
    <cellStyle name="Normal 5 2 4 2 4" xfId="14312" xr:uid="{00000000-0005-0000-0000-00004BA60000}"/>
    <cellStyle name="Normal 5 2 4 2 4 2" xfId="36914" xr:uid="{00000000-0005-0000-0000-00004CA60000}"/>
    <cellStyle name="Normal 5 2 4 2 5" xfId="25613" xr:uid="{00000000-0005-0000-0000-00004DA60000}"/>
    <cellStyle name="Normal 5 2 4 3" xfId="4609" xr:uid="{00000000-0005-0000-0000-00004EA60000}"/>
    <cellStyle name="Normal 5 2 4 3 2" xfId="10259" xr:uid="{00000000-0005-0000-0000-00004FA60000}"/>
    <cellStyle name="Normal 5 2 4 3 2 2" xfId="21560" xr:uid="{00000000-0005-0000-0000-000050A60000}"/>
    <cellStyle name="Normal 5 2 4 3 2 2 2" xfId="44162" xr:uid="{00000000-0005-0000-0000-000051A60000}"/>
    <cellStyle name="Normal 5 2 4 3 2 3" xfId="32861" xr:uid="{00000000-0005-0000-0000-000052A60000}"/>
    <cellStyle name="Normal 5 2 4 3 3" xfId="15910" xr:uid="{00000000-0005-0000-0000-000053A60000}"/>
    <cellStyle name="Normal 5 2 4 3 3 2" xfId="38512" xr:uid="{00000000-0005-0000-0000-000054A60000}"/>
    <cellStyle name="Normal 5 2 4 3 4" xfId="27211" xr:uid="{00000000-0005-0000-0000-000055A60000}"/>
    <cellStyle name="Normal 5 2 4 4" xfId="6792" xr:uid="{00000000-0005-0000-0000-000056A60000}"/>
    <cellStyle name="Normal 5 2 4 4 2" xfId="18093" xr:uid="{00000000-0005-0000-0000-000057A60000}"/>
    <cellStyle name="Normal 5 2 4 4 2 2" xfId="40695" xr:uid="{00000000-0005-0000-0000-000058A60000}"/>
    <cellStyle name="Normal 5 2 4 4 3" xfId="29394" xr:uid="{00000000-0005-0000-0000-000059A60000}"/>
    <cellStyle name="Normal 5 2 4 5" xfId="12443" xr:uid="{00000000-0005-0000-0000-00005AA60000}"/>
    <cellStyle name="Normal 5 2 4 5 2" xfId="35045" xr:uid="{00000000-0005-0000-0000-00005BA60000}"/>
    <cellStyle name="Normal 5 2 4 6" xfId="23744" xr:uid="{00000000-0005-0000-0000-00005CA60000}"/>
    <cellStyle name="Normal 5 2 5" xfId="2115" xr:uid="{00000000-0005-0000-0000-00005DA60000}"/>
    <cellStyle name="Normal 5 2 5 2" xfId="3865" xr:uid="{00000000-0005-0000-0000-00005EA60000}"/>
    <cellStyle name="Normal 5 2 5 2 2" xfId="9573" xr:uid="{00000000-0005-0000-0000-00005FA60000}"/>
    <cellStyle name="Normal 5 2 5 2 2 2" xfId="20874" xr:uid="{00000000-0005-0000-0000-000060A60000}"/>
    <cellStyle name="Normal 5 2 5 2 2 2 2" xfId="43476" xr:uid="{00000000-0005-0000-0000-000061A60000}"/>
    <cellStyle name="Normal 5 2 5 2 2 3" xfId="32175" xr:uid="{00000000-0005-0000-0000-000062A60000}"/>
    <cellStyle name="Normal 5 2 5 2 3" xfId="15224" xr:uid="{00000000-0005-0000-0000-000063A60000}"/>
    <cellStyle name="Normal 5 2 5 2 3 2" xfId="37826" xr:uid="{00000000-0005-0000-0000-000064A60000}"/>
    <cellStyle name="Normal 5 2 5 2 4" xfId="26525" xr:uid="{00000000-0005-0000-0000-000065A60000}"/>
    <cellStyle name="Normal 5 2 5 3" xfId="5219" xr:uid="{00000000-0005-0000-0000-000066A60000}"/>
    <cellStyle name="Normal 5 2 5 3 2" xfId="10869" xr:uid="{00000000-0005-0000-0000-000067A60000}"/>
    <cellStyle name="Normal 5 2 5 3 2 2" xfId="22170" xr:uid="{00000000-0005-0000-0000-000068A60000}"/>
    <cellStyle name="Normal 5 2 5 3 2 2 2" xfId="44772" xr:uid="{00000000-0005-0000-0000-000069A60000}"/>
    <cellStyle name="Normal 5 2 5 3 2 3" xfId="33471" xr:uid="{00000000-0005-0000-0000-00006AA60000}"/>
    <cellStyle name="Normal 5 2 5 3 3" xfId="16520" xr:uid="{00000000-0005-0000-0000-00006BA60000}"/>
    <cellStyle name="Normal 5 2 5 3 3 2" xfId="39122" xr:uid="{00000000-0005-0000-0000-00006CA60000}"/>
    <cellStyle name="Normal 5 2 5 3 4" xfId="27821" xr:uid="{00000000-0005-0000-0000-00006DA60000}"/>
    <cellStyle name="Normal 5 2 5 4" xfId="7971" xr:uid="{00000000-0005-0000-0000-00006EA60000}"/>
    <cellStyle name="Normal 5 2 5 4 2" xfId="19272" xr:uid="{00000000-0005-0000-0000-00006FA60000}"/>
    <cellStyle name="Normal 5 2 5 4 2 2" xfId="41874" xr:uid="{00000000-0005-0000-0000-000070A60000}"/>
    <cellStyle name="Normal 5 2 5 4 3" xfId="30573" xr:uid="{00000000-0005-0000-0000-000071A60000}"/>
    <cellStyle name="Normal 5 2 5 5" xfId="13622" xr:uid="{00000000-0005-0000-0000-000072A60000}"/>
    <cellStyle name="Normal 5 2 5 5 2" xfId="36224" xr:uid="{00000000-0005-0000-0000-000073A60000}"/>
    <cellStyle name="Normal 5 2 5 6" xfId="24923" xr:uid="{00000000-0005-0000-0000-000074A60000}"/>
    <cellStyle name="Normal 5 2 6" xfId="2189" xr:uid="{00000000-0005-0000-0000-000075A60000}"/>
    <cellStyle name="Normal 5 2 6 2" xfId="8033" xr:uid="{00000000-0005-0000-0000-000076A60000}"/>
    <cellStyle name="Normal 5 2 6 2 2" xfId="19334" xr:uid="{00000000-0005-0000-0000-000077A60000}"/>
    <cellStyle name="Normal 5 2 6 2 2 2" xfId="41936" xr:uid="{00000000-0005-0000-0000-000078A60000}"/>
    <cellStyle name="Normal 5 2 6 2 3" xfId="30635" xr:uid="{00000000-0005-0000-0000-000079A60000}"/>
    <cellStyle name="Normal 5 2 6 3" xfId="13684" xr:uid="{00000000-0005-0000-0000-00007AA60000}"/>
    <cellStyle name="Normal 5 2 6 3 2" xfId="36286" xr:uid="{00000000-0005-0000-0000-00007BA60000}"/>
    <cellStyle name="Normal 5 2 6 4" xfId="24985" xr:uid="{00000000-0005-0000-0000-00007CA60000}"/>
    <cellStyle name="Normal 5 2 7" xfId="3985" xr:uid="{00000000-0005-0000-0000-00007DA60000}"/>
    <cellStyle name="Normal 5 2 7 2" xfId="9635" xr:uid="{00000000-0005-0000-0000-00007EA60000}"/>
    <cellStyle name="Normal 5 2 7 2 2" xfId="20936" xr:uid="{00000000-0005-0000-0000-00007FA60000}"/>
    <cellStyle name="Normal 5 2 7 2 2 2" xfId="43538" xr:uid="{00000000-0005-0000-0000-000080A60000}"/>
    <cellStyle name="Normal 5 2 7 2 3" xfId="32237" xr:uid="{00000000-0005-0000-0000-000081A60000}"/>
    <cellStyle name="Normal 5 2 7 3" xfId="15286" xr:uid="{00000000-0005-0000-0000-000082A60000}"/>
    <cellStyle name="Normal 5 2 7 3 2" xfId="37888" xr:uid="{00000000-0005-0000-0000-000083A60000}"/>
    <cellStyle name="Normal 5 2 7 4" xfId="26587" xr:uid="{00000000-0005-0000-0000-000084A60000}"/>
    <cellStyle name="Normal 5 2 8" xfId="6603" xr:uid="{00000000-0005-0000-0000-000085A60000}"/>
    <cellStyle name="Normal 5 2 8 2" xfId="17904" xr:uid="{00000000-0005-0000-0000-000086A60000}"/>
    <cellStyle name="Normal 5 2 8 2 2" xfId="40506" xr:uid="{00000000-0005-0000-0000-000087A60000}"/>
    <cellStyle name="Normal 5 2 8 3" xfId="29205" xr:uid="{00000000-0005-0000-0000-000088A60000}"/>
    <cellStyle name="Normal 5 2 9" xfId="12254" xr:uid="{00000000-0005-0000-0000-000089A60000}"/>
    <cellStyle name="Normal 5 2 9 2" xfId="34856" xr:uid="{00000000-0005-0000-0000-00008AA60000}"/>
    <cellStyle name="Normal 5 3" xfId="511" xr:uid="{00000000-0005-0000-0000-00008BA60000}"/>
    <cellStyle name="Normal 5 3 10" xfId="23558" xr:uid="{00000000-0005-0000-0000-00008CA60000}"/>
    <cellStyle name="Normal 5 3 2" xfId="694" xr:uid="{00000000-0005-0000-0000-00008DA60000}"/>
    <cellStyle name="Normal 5 3 2 2" xfId="1280" xr:uid="{00000000-0005-0000-0000-00008EA60000}"/>
    <cellStyle name="Normal 5 3 2 2 2" xfId="2121" xr:uid="{00000000-0005-0000-0000-00008FA60000}"/>
    <cellStyle name="Normal 5 3 2 2 2 2" xfId="3349" xr:uid="{00000000-0005-0000-0000-000090A60000}"/>
    <cellStyle name="Normal 5 3 2 2 2 2 2" xfId="6321" xr:uid="{00000000-0005-0000-0000-000091A60000}"/>
    <cellStyle name="Normal 5 3 2 2 2 2 2 2" xfId="11971" xr:uid="{00000000-0005-0000-0000-000092A60000}"/>
    <cellStyle name="Normal 5 3 2 2 2 2 2 2 2" xfId="23272" xr:uid="{00000000-0005-0000-0000-000093A60000}"/>
    <cellStyle name="Normal 5 3 2 2 2 2 2 2 2 2" xfId="45874" xr:uid="{00000000-0005-0000-0000-000094A60000}"/>
    <cellStyle name="Normal 5 3 2 2 2 2 2 2 3" xfId="34573" xr:uid="{00000000-0005-0000-0000-000095A60000}"/>
    <cellStyle name="Normal 5 3 2 2 2 2 2 3" xfId="17622" xr:uid="{00000000-0005-0000-0000-000096A60000}"/>
    <cellStyle name="Normal 5 3 2 2 2 2 2 3 2" xfId="40224" xr:uid="{00000000-0005-0000-0000-000097A60000}"/>
    <cellStyle name="Normal 5 3 2 2 2 2 2 4" xfId="28923" xr:uid="{00000000-0005-0000-0000-000098A60000}"/>
    <cellStyle name="Normal 5 3 2 2 2 2 3" xfId="9139" xr:uid="{00000000-0005-0000-0000-000099A60000}"/>
    <cellStyle name="Normal 5 3 2 2 2 2 3 2" xfId="20440" xr:uid="{00000000-0005-0000-0000-00009AA60000}"/>
    <cellStyle name="Normal 5 3 2 2 2 2 3 2 2" xfId="43042" xr:uid="{00000000-0005-0000-0000-00009BA60000}"/>
    <cellStyle name="Normal 5 3 2 2 2 2 3 3" xfId="31741" xr:uid="{00000000-0005-0000-0000-00009CA60000}"/>
    <cellStyle name="Normal 5 3 2 2 2 2 4" xfId="14790" xr:uid="{00000000-0005-0000-0000-00009DA60000}"/>
    <cellStyle name="Normal 5 3 2 2 2 2 4 2" xfId="37392" xr:uid="{00000000-0005-0000-0000-00009EA60000}"/>
    <cellStyle name="Normal 5 3 2 2 2 2 5" xfId="26091" xr:uid="{00000000-0005-0000-0000-00009FA60000}"/>
    <cellStyle name="Normal 5 3 2 2 2 3" xfId="5087" xr:uid="{00000000-0005-0000-0000-0000A0A60000}"/>
    <cellStyle name="Normal 5 3 2 2 2 3 2" xfId="10737" xr:uid="{00000000-0005-0000-0000-0000A1A60000}"/>
    <cellStyle name="Normal 5 3 2 2 2 3 2 2" xfId="22038" xr:uid="{00000000-0005-0000-0000-0000A2A60000}"/>
    <cellStyle name="Normal 5 3 2 2 2 3 2 2 2" xfId="44640" xr:uid="{00000000-0005-0000-0000-0000A3A60000}"/>
    <cellStyle name="Normal 5 3 2 2 2 3 2 3" xfId="33339" xr:uid="{00000000-0005-0000-0000-0000A4A60000}"/>
    <cellStyle name="Normal 5 3 2 2 2 3 3" xfId="16388" xr:uid="{00000000-0005-0000-0000-0000A5A60000}"/>
    <cellStyle name="Normal 5 3 2 2 2 3 3 2" xfId="38990" xr:uid="{00000000-0005-0000-0000-0000A6A60000}"/>
    <cellStyle name="Normal 5 3 2 2 2 3 4" xfId="27689" xr:uid="{00000000-0005-0000-0000-0000A7A60000}"/>
    <cellStyle name="Normal 5 3 2 2 2 4" xfId="7977" xr:uid="{00000000-0005-0000-0000-0000A8A60000}"/>
    <cellStyle name="Normal 5 3 2 2 2 4 2" xfId="19278" xr:uid="{00000000-0005-0000-0000-0000A9A60000}"/>
    <cellStyle name="Normal 5 3 2 2 2 4 2 2" xfId="41880" xr:uid="{00000000-0005-0000-0000-0000AAA60000}"/>
    <cellStyle name="Normal 5 3 2 2 2 4 3" xfId="30579" xr:uid="{00000000-0005-0000-0000-0000ABA60000}"/>
    <cellStyle name="Normal 5 3 2 2 2 5" xfId="13628" xr:uid="{00000000-0005-0000-0000-0000ACA60000}"/>
    <cellStyle name="Normal 5 3 2 2 2 5 2" xfId="36230" xr:uid="{00000000-0005-0000-0000-0000ADA60000}"/>
    <cellStyle name="Normal 5 3 2 2 2 6" xfId="24929" xr:uid="{00000000-0005-0000-0000-0000AEA60000}"/>
    <cellStyle name="Normal 5 3 2 2 3" xfId="2678" xr:uid="{00000000-0005-0000-0000-0000AFA60000}"/>
    <cellStyle name="Normal 5 3 2 2 3 2" xfId="5697" xr:uid="{00000000-0005-0000-0000-0000B0A60000}"/>
    <cellStyle name="Normal 5 3 2 2 3 2 2" xfId="11347" xr:uid="{00000000-0005-0000-0000-0000B1A60000}"/>
    <cellStyle name="Normal 5 3 2 2 3 2 2 2" xfId="22648" xr:uid="{00000000-0005-0000-0000-0000B2A60000}"/>
    <cellStyle name="Normal 5 3 2 2 3 2 2 2 2" xfId="45250" xr:uid="{00000000-0005-0000-0000-0000B3A60000}"/>
    <cellStyle name="Normal 5 3 2 2 3 2 2 3" xfId="33949" xr:uid="{00000000-0005-0000-0000-0000B4A60000}"/>
    <cellStyle name="Normal 5 3 2 2 3 2 3" xfId="16998" xr:uid="{00000000-0005-0000-0000-0000B5A60000}"/>
    <cellStyle name="Normal 5 3 2 2 3 2 3 2" xfId="39600" xr:uid="{00000000-0005-0000-0000-0000B6A60000}"/>
    <cellStyle name="Normal 5 3 2 2 3 2 4" xfId="28299" xr:uid="{00000000-0005-0000-0000-0000B7A60000}"/>
    <cellStyle name="Normal 5 3 2 2 3 3" xfId="8514" xr:uid="{00000000-0005-0000-0000-0000B8A60000}"/>
    <cellStyle name="Normal 5 3 2 2 3 3 2" xfId="19815" xr:uid="{00000000-0005-0000-0000-0000B9A60000}"/>
    <cellStyle name="Normal 5 3 2 2 3 3 2 2" xfId="42417" xr:uid="{00000000-0005-0000-0000-0000BAA60000}"/>
    <cellStyle name="Normal 5 3 2 2 3 3 3" xfId="31116" xr:uid="{00000000-0005-0000-0000-0000BBA60000}"/>
    <cellStyle name="Normal 5 3 2 2 3 4" xfId="14165" xr:uid="{00000000-0005-0000-0000-0000BCA60000}"/>
    <cellStyle name="Normal 5 3 2 2 3 4 2" xfId="36767" xr:uid="{00000000-0005-0000-0000-0000BDA60000}"/>
    <cellStyle name="Normal 5 3 2 2 3 5" xfId="25466" xr:uid="{00000000-0005-0000-0000-0000BEA60000}"/>
    <cellStyle name="Normal 5 3 2 2 4" xfId="4463" xr:uid="{00000000-0005-0000-0000-0000BFA60000}"/>
    <cellStyle name="Normal 5 3 2 2 4 2" xfId="10113" xr:uid="{00000000-0005-0000-0000-0000C0A60000}"/>
    <cellStyle name="Normal 5 3 2 2 4 2 2" xfId="21414" xr:uid="{00000000-0005-0000-0000-0000C1A60000}"/>
    <cellStyle name="Normal 5 3 2 2 4 2 2 2" xfId="44016" xr:uid="{00000000-0005-0000-0000-0000C2A60000}"/>
    <cellStyle name="Normal 5 3 2 2 4 2 3" xfId="32715" xr:uid="{00000000-0005-0000-0000-0000C3A60000}"/>
    <cellStyle name="Normal 5 3 2 2 4 3" xfId="15764" xr:uid="{00000000-0005-0000-0000-0000C4A60000}"/>
    <cellStyle name="Normal 5 3 2 2 4 3 2" xfId="38366" xr:uid="{00000000-0005-0000-0000-0000C5A60000}"/>
    <cellStyle name="Normal 5 3 2 2 4 4" xfId="27065" xr:uid="{00000000-0005-0000-0000-0000C6A60000}"/>
    <cellStyle name="Normal 5 3 2 2 5" xfId="7259" xr:uid="{00000000-0005-0000-0000-0000C7A60000}"/>
    <cellStyle name="Normal 5 3 2 2 5 2" xfId="18560" xr:uid="{00000000-0005-0000-0000-0000C8A60000}"/>
    <cellStyle name="Normal 5 3 2 2 5 2 2" xfId="41162" xr:uid="{00000000-0005-0000-0000-0000C9A60000}"/>
    <cellStyle name="Normal 5 3 2 2 5 3" xfId="29861" xr:uid="{00000000-0005-0000-0000-0000CAA60000}"/>
    <cellStyle name="Normal 5 3 2 2 6" xfId="12910" xr:uid="{00000000-0005-0000-0000-0000CBA60000}"/>
    <cellStyle name="Normal 5 3 2 2 6 2" xfId="35512" xr:uid="{00000000-0005-0000-0000-0000CCA60000}"/>
    <cellStyle name="Normal 5 3 2 2 7" xfId="24211" xr:uid="{00000000-0005-0000-0000-0000CDA60000}"/>
    <cellStyle name="Normal 5 3 2 3" xfId="978" xr:uid="{00000000-0005-0000-0000-0000CEA60000}"/>
    <cellStyle name="Normal 5 3 2 3 2" xfId="3041" xr:uid="{00000000-0005-0000-0000-0000CFA60000}"/>
    <cellStyle name="Normal 5 3 2 3 2 2" xfId="6013" xr:uid="{00000000-0005-0000-0000-0000D0A60000}"/>
    <cellStyle name="Normal 5 3 2 3 2 2 2" xfId="11663" xr:uid="{00000000-0005-0000-0000-0000D1A60000}"/>
    <cellStyle name="Normal 5 3 2 3 2 2 2 2" xfId="22964" xr:uid="{00000000-0005-0000-0000-0000D2A60000}"/>
    <cellStyle name="Normal 5 3 2 3 2 2 2 2 2" xfId="45566" xr:uid="{00000000-0005-0000-0000-0000D3A60000}"/>
    <cellStyle name="Normal 5 3 2 3 2 2 2 3" xfId="34265" xr:uid="{00000000-0005-0000-0000-0000D4A60000}"/>
    <cellStyle name="Normal 5 3 2 3 2 2 3" xfId="17314" xr:uid="{00000000-0005-0000-0000-0000D5A60000}"/>
    <cellStyle name="Normal 5 3 2 3 2 2 3 2" xfId="39916" xr:uid="{00000000-0005-0000-0000-0000D6A60000}"/>
    <cellStyle name="Normal 5 3 2 3 2 2 4" xfId="28615" xr:uid="{00000000-0005-0000-0000-0000D7A60000}"/>
    <cellStyle name="Normal 5 3 2 3 2 3" xfId="8831" xr:uid="{00000000-0005-0000-0000-0000D8A60000}"/>
    <cellStyle name="Normal 5 3 2 3 2 3 2" xfId="20132" xr:uid="{00000000-0005-0000-0000-0000D9A60000}"/>
    <cellStyle name="Normal 5 3 2 3 2 3 2 2" xfId="42734" xr:uid="{00000000-0005-0000-0000-0000DAA60000}"/>
    <cellStyle name="Normal 5 3 2 3 2 3 3" xfId="31433" xr:uid="{00000000-0005-0000-0000-0000DBA60000}"/>
    <cellStyle name="Normal 5 3 2 3 2 4" xfId="14482" xr:uid="{00000000-0005-0000-0000-0000DCA60000}"/>
    <cellStyle name="Normal 5 3 2 3 2 4 2" xfId="37084" xr:uid="{00000000-0005-0000-0000-0000DDA60000}"/>
    <cellStyle name="Normal 5 3 2 3 2 5" xfId="25783" xr:uid="{00000000-0005-0000-0000-0000DEA60000}"/>
    <cellStyle name="Normal 5 3 2 3 3" xfId="4779" xr:uid="{00000000-0005-0000-0000-0000DFA60000}"/>
    <cellStyle name="Normal 5 3 2 3 3 2" xfId="10429" xr:uid="{00000000-0005-0000-0000-0000E0A60000}"/>
    <cellStyle name="Normal 5 3 2 3 3 2 2" xfId="21730" xr:uid="{00000000-0005-0000-0000-0000E1A60000}"/>
    <cellStyle name="Normal 5 3 2 3 3 2 2 2" xfId="44332" xr:uid="{00000000-0005-0000-0000-0000E2A60000}"/>
    <cellStyle name="Normal 5 3 2 3 3 2 3" xfId="33031" xr:uid="{00000000-0005-0000-0000-0000E3A60000}"/>
    <cellStyle name="Normal 5 3 2 3 3 3" xfId="16080" xr:uid="{00000000-0005-0000-0000-0000E4A60000}"/>
    <cellStyle name="Normal 5 3 2 3 3 3 2" xfId="38682" xr:uid="{00000000-0005-0000-0000-0000E5A60000}"/>
    <cellStyle name="Normal 5 3 2 3 3 4" xfId="27381" xr:uid="{00000000-0005-0000-0000-0000E6A60000}"/>
    <cellStyle name="Normal 5 3 2 3 4" xfId="6966" xr:uid="{00000000-0005-0000-0000-0000E7A60000}"/>
    <cellStyle name="Normal 5 3 2 3 4 2" xfId="18267" xr:uid="{00000000-0005-0000-0000-0000E8A60000}"/>
    <cellStyle name="Normal 5 3 2 3 4 2 2" xfId="40869" xr:uid="{00000000-0005-0000-0000-0000E9A60000}"/>
    <cellStyle name="Normal 5 3 2 3 4 3" xfId="29568" xr:uid="{00000000-0005-0000-0000-0000EAA60000}"/>
    <cellStyle name="Normal 5 3 2 3 5" xfId="12617" xr:uid="{00000000-0005-0000-0000-0000EBA60000}"/>
    <cellStyle name="Normal 5 3 2 3 5 2" xfId="35219" xr:uid="{00000000-0005-0000-0000-0000ECA60000}"/>
    <cellStyle name="Normal 5 3 2 3 6" xfId="23918" xr:uid="{00000000-0005-0000-0000-0000EDA60000}"/>
    <cellStyle name="Normal 5 3 2 4" xfId="2120" xr:uid="{00000000-0005-0000-0000-0000EEA60000}"/>
    <cellStyle name="Normal 5 3 2 4 2" xfId="3868" xr:uid="{00000000-0005-0000-0000-0000EFA60000}"/>
    <cellStyle name="Normal 5 3 2 4 2 2" xfId="9576" xr:uid="{00000000-0005-0000-0000-0000F0A60000}"/>
    <cellStyle name="Normal 5 3 2 4 2 2 2" xfId="20877" xr:uid="{00000000-0005-0000-0000-0000F1A60000}"/>
    <cellStyle name="Normal 5 3 2 4 2 2 2 2" xfId="43479" xr:uid="{00000000-0005-0000-0000-0000F2A60000}"/>
    <cellStyle name="Normal 5 3 2 4 2 2 3" xfId="32178" xr:uid="{00000000-0005-0000-0000-0000F3A60000}"/>
    <cellStyle name="Normal 5 3 2 4 2 3" xfId="15227" xr:uid="{00000000-0005-0000-0000-0000F4A60000}"/>
    <cellStyle name="Normal 5 3 2 4 2 3 2" xfId="37829" xr:uid="{00000000-0005-0000-0000-0000F5A60000}"/>
    <cellStyle name="Normal 5 3 2 4 2 4" xfId="26528" xr:uid="{00000000-0005-0000-0000-0000F6A60000}"/>
    <cellStyle name="Normal 5 3 2 4 3" xfId="5389" xr:uid="{00000000-0005-0000-0000-0000F7A60000}"/>
    <cellStyle name="Normal 5 3 2 4 3 2" xfId="11039" xr:uid="{00000000-0005-0000-0000-0000F8A60000}"/>
    <cellStyle name="Normal 5 3 2 4 3 2 2" xfId="22340" xr:uid="{00000000-0005-0000-0000-0000F9A60000}"/>
    <cellStyle name="Normal 5 3 2 4 3 2 2 2" xfId="44942" xr:uid="{00000000-0005-0000-0000-0000FAA60000}"/>
    <cellStyle name="Normal 5 3 2 4 3 2 3" xfId="33641" xr:uid="{00000000-0005-0000-0000-0000FBA60000}"/>
    <cellStyle name="Normal 5 3 2 4 3 3" xfId="16690" xr:uid="{00000000-0005-0000-0000-0000FCA60000}"/>
    <cellStyle name="Normal 5 3 2 4 3 3 2" xfId="39292" xr:uid="{00000000-0005-0000-0000-0000FDA60000}"/>
    <cellStyle name="Normal 5 3 2 4 3 4" xfId="27991" xr:uid="{00000000-0005-0000-0000-0000FEA60000}"/>
    <cellStyle name="Normal 5 3 2 4 4" xfId="7976" xr:uid="{00000000-0005-0000-0000-0000FFA60000}"/>
    <cellStyle name="Normal 5 3 2 4 4 2" xfId="19277" xr:uid="{00000000-0005-0000-0000-000000A70000}"/>
    <cellStyle name="Normal 5 3 2 4 4 2 2" xfId="41879" xr:uid="{00000000-0005-0000-0000-000001A70000}"/>
    <cellStyle name="Normal 5 3 2 4 4 3" xfId="30578" xr:uid="{00000000-0005-0000-0000-000002A70000}"/>
    <cellStyle name="Normal 5 3 2 4 5" xfId="13627" xr:uid="{00000000-0005-0000-0000-000003A70000}"/>
    <cellStyle name="Normal 5 3 2 4 5 2" xfId="36229" xr:uid="{00000000-0005-0000-0000-000004A70000}"/>
    <cellStyle name="Normal 5 3 2 4 6" xfId="24928" xr:uid="{00000000-0005-0000-0000-000005A70000}"/>
    <cellStyle name="Normal 5 3 2 5" xfId="2370" xr:uid="{00000000-0005-0000-0000-000006A70000}"/>
    <cellStyle name="Normal 5 3 2 5 2" xfId="8206" xr:uid="{00000000-0005-0000-0000-000007A70000}"/>
    <cellStyle name="Normal 5 3 2 5 2 2" xfId="19507" xr:uid="{00000000-0005-0000-0000-000008A70000}"/>
    <cellStyle name="Normal 5 3 2 5 2 2 2" xfId="42109" xr:uid="{00000000-0005-0000-0000-000009A70000}"/>
    <cellStyle name="Normal 5 3 2 5 2 3" xfId="30808" xr:uid="{00000000-0005-0000-0000-00000AA70000}"/>
    <cellStyle name="Normal 5 3 2 5 3" xfId="13857" xr:uid="{00000000-0005-0000-0000-00000BA70000}"/>
    <cellStyle name="Normal 5 3 2 5 3 2" xfId="36459" xr:uid="{00000000-0005-0000-0000-00000CA70000}"/>
    <cellStyle name="Normal 5 3 2 5 4" xfId="25158" xr:uid="{00000000-0005-0000-0000-00000DA70000}"/>
    <cellStyle name="Normal 5 3 2 6" xfId="4155" xr:uid="{00000000-0005-0000-0000-00000EA70000}"/>
    <cellStyle name="Normal 5 3 2 6 2" xfId="9805" xr:uid="{00000000-0005-0000-0000-00000FA70000}"/>
    <cellStyle name="Normal 5 3 2 6 2 2" xfId="21106" xr:uid="{00000000-0005-0000-0000-000010A70000}"/>
    <cellStyle name="Normal 5 3 2 6 2 2 2" xfId="43708" xr:uid="{00000000-0005-0000-0000-000011A70000}"/>
    <cellStyle name="Normal 5 3 2 6 2 3" xfId="32407" xr:uid="{00000000-0005-0000-0000-000012A70000}"/>
    <cellStyle name="Normal 5 3 2 6 3" xfId="15456" xr:uid="{00000000-0005-0000-0000-000013A70000}"/>
    <cellStyle name="Normal 5 3 2 6 3 2" xfId="38058" xr:uid="{00000000-0005-0000-0000-000014A70000}"/>
    <cellStyle name="Normal 5 3 2 6 4" xfId="26757" xr:uid="{00000000-0005-0000-0000-000015A70000}"/>
    <cellStyle name="Normal 5 3 2 7" xfId="6758" xr:uid="{00000000-0005-0000-0000-000016A70000}"/>
    <cellStyle name="Normal 5 3 2 7 2" xfId="18059" xr:uid="{00000000-0005-0000-0000-000017A70000}"/>
    <cellStyle name="Normal 5 3 2 7 2 2" xfId="40661" xr:uid="{00000000-0005-0000-0000-000018A70000}"/>
    <cellStyle name="Normal 5 3 2 7 3" xfId="29360" xr:uid="{00000000-0005-0000-0000-000019A70000}"/>
    <cellStyle name="Normal 5 3 2 8" xfId="12409" xr:uid="{00000000-0005-0000-0000-00001AA70000}"/>
    <cellStyle name="Normal 5 3 2 8 2" xfId="35011" xr:uid="{00000000-0005-0000-0000-00001BA70000}"/>
    <cellStyle name="Normal 5 3 2 9" xfId="23710" xr:uid="{00000000-0005-0000-0000-00001CA70000}"/>
    <cellStyle name="Normal 5 3 3" xfId="1113" xr:uid="{00000000-0005-0000-0000-00001DA70000}"/>
    <cellStyle name="Normal 5 3 3 2" xfId="2122" xr:uid="{00000000-0005-0000-0000-00001EA70000}"/>
    <cellStyle name="Normal 5 3 3 2 2" xfId="3180" xr:uid="{00000000-0005-0000-0000-00001FA70000}"/>
    <cellStyle name="Normal 5 3 3 2 2 2" xfId="6152" xr:uid="{00000000-0005-0000-0000-000020A70000}"/>
    <cellStyle name="Normal 5 3 3 2 2 2 2" xfId="11802" xr:uid="{00000000-0005-0000-0000-000021A70000}"/>
    <cellStyle name="Normal 5 3 3 2 2 2 2 2" xfId="23103" xr:uid="{00000000-0005-0000-0000-000022A70000}"/>
    <cellStyle name="Normal 5 3 3 2 2 2 2 2 2" xfId="45705" xr:uid="{00000000-0005-0000-0000-000023A70000}"/>
    <cellStyle name="Normal 5 3 3 2 2 2 2 3" xfId="34404" xr:uid="{00000000-0005-0000-0000-000024A70000}"/>
    <cellStyle name="Normal 5 3 3 2 2 2 3" xfId="17453" xr:uid="{00000000-0005-0000-0000-000025A70000}"/>
    <cellStyle name="Normal 5 3 3 2 2 2 3 2" xfId="40055" xr:uid="{00000000-0005-0000-0000-000026A70000}"/>
    <cellStyle name="Normal 5 3 3 2 2 2 4" xfId="28754" xr:uid="{00000000-0005-0000-0000-000027A70000}"/>
    <cellStyle name="Normal 5 3 3 2 2 3" xfId="8970" xr:uid="{00000000-0005-0000-0000-000028A70000}"/>
    <cellStyle name="Normal 5 3 3 2 2 3 2" xfId="20271" xr:uid="{00000000-0005-0000-0000-000029A70000}"/>
    <cellStyle name="Normal 5 3 3 2 2 3 2 2" xfId="42873" xr:uid="{00000000-0005-0000-0000-00002AA70000}"/>
    <cellStyle name="Normal 5 3 3 2 2 3 3" xfId="31572" xr:uid="{00000000-0005-0000-0000-00002BA70000}"/>
    <cellStyle name="Normal 5 3 3 2 2 4" xfId="14621" xr:uid="{00000000-0005-0000-0000-00002CA70000}"/>
    <cellStyle name="Normal 5 3 3 2 2 4 2" xfId="37223" xr:uid="{00000000-0005-0000-0000-00002DA70000}"/>
    <cellStyle name="Normal 5 3 3 2 2 5" xfId="25922" xr:uid="{00000000-0005-0000-0000-00002EA70000}"/>
    <cellStyle name="Normal 5 3 3 2 3" xfId="4918" xr:uid="{00000000-0005-0000-0000-00002FA70000}"/>
    <cellStyle name="Normal 5 3 3 2 3 2" xfId="10568" xr:uid="{00000000-0005-0000-0000-000030A70000}"/>
    <cellStyle name="Normal 5 3 3 2 3 2 2" xfId="21869" xr:uid="{00000000-0005-0000-0000-000031A70000}"/>
    <cellStyle name="Normal 5 3 3 2 3 2 2 2" xfId="44471" xr:uid="{00000000-0005-0000-0000-000032A70000}"/>
    <cellStyle name="Normal 5 3 3 2 3 2 3" xfId="33170" xr:uid="{00000000-0005-0000-0000-000033A70000}"/>
    <cellStyle name="Normal 5 3 3 2 3 3" xfId="16219" xr:uid="{00000000-0005-0000-0000-000034A70000}"/>
    <cellStyle name="Normal 5 3 3 2 3 3 2" xfId="38821" xr:uid="{00000000-0005-0000-0000-000035A70000}"/>
    <cellStyle name="Normal 5 3 3 2 3 4" xfId="27520" xr:uid="{00000000-0005-0000-0000-000036A70000}"/>
    <cellStyle name="Normal 5 3 3 2 4" xfId="7978" xr:uid="{00000000-0005-0000-0000-000037A70000}"/>
    <cellStyle name="Normal 5 3 3 2 4 2" xfId="19279" xr:uid="{00000000-0005-0000-0000-000038A70000}"/>
    <cellStyle name="Normal 5 3 3 2 4 2 2" xfId="41881" xr:uid="{00000000-0005-0000-0000-000039A70000}"/>
    <cellStyle name="Normal 5 3 3 2 4 3" xfId="30580" xr:uid="{00000000-0005-0000-0000-00003AA70000}"/>
    <cellStyle name="Normal 5 3 3 2 5" xfId="13629" xr:uid="{00000000-0005-0000-0000-00003BA70000}"/>
    <cellStyle name="Normal 5 3 3 2 5 2" xfId="36231" xr:uid="{00000000-0005-0000-0000-00003CA70000}"/>
    <cellStyle name="Normal 5 3 3 2 6" xfId="24930" xr:uid="{00000000-0005-0000-0000-00003DA70000}"/>
    <cellStyle name="Normal 5 3 3 3" xfId="2509" xr:uid="{00000000-0005-0000-0000-00003EA70000}"/>
    <cellStyle name="Normal 5 3 3 3 2" xfId="5528" xr:uid="{00000000-0005-0000-0000-00003FA70000}"/>
    <cellStyle name="Normal 5 3 3 3 2 2" xfId="11178" xr:uid="{00000000-0005-0000-0000-000040A70000}"/>
    <cellStyle name="Normal 5 3 3 3 2 2 2" xfId="22479" xr:uid="{00000000-0005-0000-0000-000041A70000}"/>
    <cellStyle name="Normal 5 3 3 3 2 2 2 2" xfId="45081" xr:uid="{00000000-0005-0000-0000-000042A70000}"/>
    <cellStyle name="Normal 5 3 3 3 2 2 3" xfId="33780" xr:uid="{00000000-0005-0000-0000-000043A70000}"/>
    <cellStyle name="Normal 5 3 3 3 2 3" xfId="16829" xr:uid="{00000000-0005-0000-0000-000044A70000}"/>
    <cellStyle name="Normal 5 3 3 3 2 3 2" xfId="39431" xr:uid="{00000000-0005-0000-0000-000045A70000}"/>
    <cellStyle name="Normal 5 3 3 3 2 4" xfId="28130" xr:uid="{00000000-0005-0000-0000-000046A70000}"/>
    <cellStyle name="Normal 5 3 3 3 3" xfId="8345" xr:uid="{00000000-0005-0000-0000-000047A70000}"/>
    <cellStyle name="Normal 5 3 3 3 3 2" xfId="19646" xr:uid="{00000000-0005-0000-0000-000048A70000}"/>
    <cellStyle name="Normal 5 3 3 3 3 2 2" xfId="42248" xr:uid="{00000000-0005-0000-0000-000049A70000}"/>
    <cellStyle name="Normal 5 3 3 3 3 3" xfId="30947" xr:uid="{00000000-0005-0000-0000-00004AA70000}"/>
    <cellStyle name="Normal 5 3 3 3 4" xfId="13996" xr:uid="{00000000-0005-0000-0000-00004BA70000}"/>
    <cellStyle name="Normal 5 3 3 3 4 2" xfId="36598" xr:uid="{00000000-0005-0000-0000-00004CA70000}"/>
    <cellStyle name="Normal 5 3 3 3 5" xfId="25297" xr:uid="{00000000-0005-0000-0000-00004DA70000}"/>
    <cellStyle name="Normal 5 3 3 4" xfId="4294" xr:uid="{00000000-0005-0000-0000-00004EA70000}"/>
    <cellStyle name="Normal 5 3 3 4 2" xfId="9944" xr:uid="{00000000-0005-0000-0000-00004FA70000}"/>
    <cellStyle name="Normal 5 3 3 4 2 2" xfId="21245" xr:uid="{00000000-0005-0000-0000-000050A70000}"/>
    <cellStyle name="Normal 5 3 3 4 2 2 2" xfId="43847" xr:uid="{00000000-0005-0000-0000-000051A70000}"/>
    <cellStyle name="Normal 5 3 3 4 2 3" xfId="32546" xr:uid="{00000000-0005-0000-0000-000052A70000}"/>
    <cellStyle name="Normal 5 3 3 4 3" xfId="15595" xr:uid="{00000000-0005-0000-0000-000053A70000}"/>
    <cellStyle name="Normal 5 3 3 4 3 2" xfId="38197" xr:uid="{00000000-0005-0000-0000-000054A70000}"/>
    <cellStyle name="Normal 5 3 3 4 4" xfId="26896" xr:uid="{00000000-0005-0000-0000-000055A70000}"/>
    <cellStyle name="Normal 5 3 3 5" xfId="7092" xr:uid="{00000000-0005-0000-0000-000056A70000}"/>
    <cellStyle name="Normal 5 3 3 5 2" xfId="18393" xr:uid="{00000000-0005-0000-0000-000057A70000}"/>
    <cellStyle name="Normal 5 3 3 5 2 2" xfId="40995" xr:uid="{00000000-0005-0000-0000-000058A70000}"/>
    <cellStyle name="Normal 5 3 3 5 3" xfId="29694" xr:uid="{00000000-0005-0000-0000-000059A70000}"/>
    <cellStyle name="Normal 5 3 3 6" xfId="12743" xr:uid="{00000000-0005-0000-0000-00005AA70000}"/>
    <cellStyle name="Normal 5 3 3 6 2" xfId="35345" xr:uid="{00000000-0005-0000-0000-00005BA70000}"/>
    <cellStyle name="Normal 5 3 3 7" xfId="24044" xr:uid="{00000000-0005-0000-0000-00005CA70000}"/>
    <cellStyle name="Normal 5 3 4" xfId="777" xr:uid="{00000000-0005-0000-0000-00005DA70000}"/>
    <cellStyle name="Normal 5 3 4 2" xfId="2874" xr:uid="{00000000-0005-0000-0000-00005EA70000}"/>
    <cellStyle name="Normal 5 3 4 2 2" xfId="5846" xr:uid="{00000000-0005-0000-0000-00005FA70000}"/>
    <cellStyle name="Normal 5 3 4 2 2 2" xfId="11496" xr:uid="{00000000-0005-0000-0000-000060A70000}"/>
    <cellStyle name="Normal 5 3 4 2 2 2 2" xfId="22797" xr:uid="{00000000-0005-0000-0000-000061A70000}"/>
    <cellStyle name="Normal 5 3 4 2 2 2 2 2" xfId="45399" xr:uid="{00000000-0005-0000-0000-000062A70000}"/>
    <cellStyle name="Normal 5 3 4 2 2 2 3" xfId="34098" xr:uid="{00000000-0005-0000-0000-000063A70000}"/>
    <cellStyle name="Normal 5 3 4 2 2 3" xfId="17147" xr:uid="{00000000-0005-0000-0000-000064A70000}"/>
    <cellStyle name="Normal 5 3 4 2 2 3 2" xfId="39749" xr:uid="{00000000-0005-0000-0000-000065A70000}"/>
    <cellStyle name="Normal 5 3 4 2 2 4" xfId="28448" xr:uid="{00000000-0005-0000-0000-000066A70000}"/>
    <cellStyle name="Normal 5 3 4 2 3" xfId="8664" xr:uid="{00000000-0005-0000-0000-000067A70000}"/>
    <cellStyle name="Normal 5 3 4 2 3 2" xfId="19965" xr:uid="{00000000-0005-0000-0000-000068A70000}"/>
    <cellStyle name="Normal 5 3 4 2 3 2 2" xfId="42567" xr:uid="{00000000-0005-0000-0000-000069A70000}"/>
    <cellStyle name="Normal 5 3 4 2 3 3" xfId="31266" xr:uid="{00000000-0005-0000-0000-00006AA70000}"/>
    <cellStyle name="Normal 5 3 4 2 4" xfId="14315" xr:uid="{00000000-0005-0000-0000-00006BA70000}"/>
    <cellStyle name="Normal 5 3 4 2 4 2" xfId="36917" xr:uid="{00000000-0005-0000-0000-00006CA70000}"/>
    <cellStyle name="Normal 5 3 4 2 5" xfId="25616" xr:uid="{00000000-0005-0000-0000-00006DA70000}"/>
    <cellStyle name="Normal 5 3 4 3" xfId="4612" xr:uid="{00000000-0005-0000-0000-00006EA70000}"/>
    <cellStyle name="Normal 5 3 4 3 2" xfId="10262" xr:uid="{00000000-0005-0000-0000-00006FA70000}"/>
    <cellStyle name="Normal 5 3 4 3 2 2" xfId="21563" xr:uid="{00000000-0005-0000-0000-000070A70000}"/>
    <cellStyle name="Normal 5 3 4 3 2 2 2" xfId="44165" xr:uid="{00000000-0005-0000-0000-000071A70000}"/>
    <cellStyle name="Normal 5 3 4 3 2 3" xfId="32864" xr:uid="{00000000-0005-0000-0000-000072A70000}"/>
    <cellStyle name="Normal 5 3 4 3 3" xfId="15913" xr:uid="{00000000-0005-0000-0000-000073A70000}"/>
    <cellStyle name="Normal 5 3 4 3 3 2" xfId="38515" xr:uid="{00000000-0005-0000-0000-000074A70000}"/>
    <cellStyle name="Normal 5 3 4 3 4" xfId="27214" xr:uid="{00000000-0005-0000-0000-000075A70000}"/>
    <cellStyle name="Normal 5 3 4 4" xfId="6794" xr:uid="{00000000-0005-0000-0000-000076A70000}"/>
    <cellStyle name="Normal 5 3 4 4 2" xfId="18095" xr:uid="{00000000-0005-0000-0000-000077A70000}"/>
    <cellStyle name="Normal 5 3 4 4 2 2" xfId="40697" xr:uid="{00000000-0005-0000-0000-000078A70000}"/>
    <cellStyle name="Normal 5 3 4 4 3" xfId="29396" xr:uid="{00000000-0005-0000-0000-000079A70000}"/>
    <cellStyle name="Normal 5 3 4 5" xfId="12445" xr:uid="{00000000-0005-0000-0000-00007AA70000}"/>
    <cellStyle name="Normal 5 3 4 5 2" xfId="35047" xr:uid="{00000000-0005-0000-0000-00007BA70000}"/>
    <cellStyle name="Normal 5 3 4 6" xfId="23746" xr:uid="{00000000-0005-0000-0000-00007CA70000}"/>
    <cellStyle name="Normal 5 3 5" xfId="2119" xr:uid="{00000000-0005-0000-0000-00007DA70000}"/>
    <cellStyle name="Normal 5 3 5 2" xfId="3867" xr:uid="{00000000-0005-0000-0000-00007EA70000}"/>
    <cellStyle name="Normal 5 3 5 2 2" xfId="9575" xr:uid="{00000000-0005-0000-0000-00007FA70000}"/>
    <cellStyle name="Normal 5 3 5 2 2 2" xfId="20876" xr:uid="{00000000-0005-0000-0000-000080A70000}"/>
    <cellStyle name="Normal 5 3 5 2 2 2 2" xfId="43478" xr:uid="{00000000-0005-0000-0000-000081A70000}"/>
    <cellStyle name="Normal 5 3 5 2 2 3" xfId="32177" xr:uid="{00000000-0005-0000-0000-000082A70000}"/>
    <cellStyle name="Normal 5 3 5 2 3" xfId="15226" xr:uid="{00000000-0005-0000-0000-000083A70000}"/>
    <cellStyle name="Normal 5 3 5 2 3 2" xfId="37828" xr:uid="{00000000-0005-0000-0000-000084A70000}"/>
    <cellStyle name="Normal 5 3 5 2 4" xfId="26527" xr:uid="{00000000-0005-0000-0000-000085A70000}"/>
    <cellStyle name="Normal 5 3 5 3" xfId="5222" xr:uid="{00000000-0005-0000-0000-000086A70000}"/>
    <cellStyle name="Normal 5 3 5 3 2" xfId="10872" xr:uid="{00000000-0005-0000-0000-000087A70000}"/>
    <cellStyle name="Normal 5 3 5 3 2 2" xfId="22173" xr:uid="{00000000-0005-0000-0000-000088A70000}"/>
    <cellStyle name="Normal 5 3 5 3 2 2 2" xfId="44775" xr:uid="{00000000-0005-0000-0000-000089A70000}"/>
    <cellStyle name="Normal 5 3 5 3 2 3" xfId="33474" xr:uid="{00000000-0005-0000-0000-00008AA70000}"/>
    <cellStyle name="Normal 5 3 5 3 3" xfId="16523" xr:uid="{00000000-0005-0000-0000-00008BA70000}"/>
    <cellStyle name="Normal 5 3 5 3 3 2" xfId="39125" xr:uid="{00000000-0005-0000-0000-00008CA70000}"/>
    <cellStyle name="Normal 5 3 5 3 4" xfId="27824" xr:uid="{00000000-0005-0000-0000-00008DA70000}"/>
    <cellStyle name="Normal 5 3 5 4" xfId="7975" xr:uid="{00000000-0005-0000-0000-00008EA70000}"/>
    <cellStyle name="Normal 5 3 5 4 2" xfId="19276" xr:uid="{00000000-0005-0000-0000-00008FA70000}"/>
    <cellStyle name="Normal 5 3 5 4 2 2" xfId="41878" xr:uid="{00000000-0005-0000-0000-000090A70000}"/>
    <cellStyle name="Normal 5 3 5 4 3" xfId="30577" xr:uid="{00000000-0005-0000-0000-000091A70000}"/>
    <cellStyle name="Normal 5 3 5 5" xfId="13626" xr:uid="{00000000-0005-0000-0000-000092A70000}"/>
    <cellStyle name="Normal 5 3 5 5 2" xfId="36228" xr:uid="{00000000-0005-0000-0000-000093A70000}"/>
    <cellStyle name="Normal 5 3 5 6" xfId="24927" xr:uid="{00000000-0005-0000-0000-000094A70000}"/>
    <cellStyle name="Normal 5 3 6" xfId="2193" xr:uid="{00000000-0005-0000-0000-000095A70000}"/>
    <cellStyle name="Normal 5 3 6 2" xfId="8036" xr:uid="{00000000-0005-0000-0000-000096A70000}"/>
    <cellStyle name="Normal 5 3 6 2 2" xfId="19337" xr:uid="{00000000-0005-0000-0000-000097A70000}"/>
    <cellStyle name="Normal 5 3 6 2 2 2" xfId="41939" xr:uid="{00000000-0005-0000-0000-000098A70000}"/>
    <cellStyle name="Normal 5 3 6 2 3" xfId="30638" xr:uid="{00000000-0005-0000-0000-000099A70000}"/>
    <cellStyle name="Normal 5 3 6 3" xfId="13687" xr:uid="{00000000-0005-0000-0000-00009AA70000}"/>
    <cellStyle name="Normal 5 3 6 3 2" xfId="36289" xr:uid="{00000000-0005-0000-0000-00009BA70000}"/>
    <cellStyle name="Normal 5 3 6 4" xfId="24988" xr:uid="{00000000-0005-0000-0000-00009CA70000}"/>
    <cellStyle name="Normal 5 3 7" xfId="3988" xr:uid="{00000000-0005-0000-0000-00009DA70000}"/>
    <cellStyle name="Normal 5 3 7 2" xfId="9638" xr:uid="{00000000-0005-0000-0000-00009EA70000}"/>
    <cellStyle name="Normal 5 3 7 2 2" xfId="20939" xr:uid="{00000000-0005-0000-0000-00009FA70000}"/>
    <cellStyle name="Normal 5 3 7 2 2 2" xfId="43541" xr:uid="{00000000-0005-0000-0000-0000A0A70000}"/>
    <cellStyle name="Normal 5 3 7 2 3" xfId="32240" xr:uid="{00000000-0005-0000-0000-0000A1A70000}"/>
    <cellStyle name="Normal 5 3 7 3" xfId="15289" xr:uid="{00000000-0005-0000-0000-0000A2A70000}"/>
    <cellStyle name="Normal 5 3 7 3 2" xfId="37891" xr:uid="{00000000-0005-0000-0000-0000A3A70000}"/>
    <cellStyle name="Normal 5 3 7 4" xfId="26590" xr:uid="{00000000-0005-0000-0000-0000A4A70000}"/>
    <cellStyle name="Normal 5 3 8" xfId="6606" xr:uid="{00000000-0005-0000-0000-0000A5A70000}"/>
    <cellStyle name="Normal 5 3 8 2" xfId="17907" xr:uid="{00000000-0005-0000-0000-0000A6A70000}"/>
    <cellStyle name="Normal 5 3 8 2 2" xfId="40509" xr:uid="{00000000-0005-0000-0000-0000A7A70000}"/>
    <cellStyle name="Normal 5 3 8 3" xfId="29208" xr:uid="{00000000-0005-0000-0000-0000A8A70000}"/>
    <cellStyle name="Normal 5 3 9" xfId="12257" xr:uid="{00000000-0005-0000-0000-0000A9A70000}"/>
    <cellStyle name="Normal 5 3 9 2" xfId="34859" xr:uid="{00000000-0005-0000-0000-0000AAA70000}"/>
    <cellStyle name="Normal 5 4" xfId="580" xr:uid="{00000000-0005-0000-0000-0000ABA70000}"/>
    <cellStyle name="Normal 5 5" xfId="492" xr:uid="{00000000-0005-0000-0000-0000ACA70000}"/>
    <cellStyle name="Normal 5 5 2" xfId="1264" xr:uid="{00000000-0005-0000-0000-0000ADA70000}"/>
    <cellStyle name="Normal 5 5 2 2" xfId="2124" xr:uid="{00000000-0005-0000-0000-0000AEA70000}"/>
    <cellStyle name="Normal 5 5 2 2 2" xfId="3333" xr:uid="{00000000-0005-0000-0000-0000AFA70000}"/>
    <cellStyle name="Normal 5 5 2 2 2 2" xfId="6305" xr:uid="{00000000-0005-0000-0000-0000B0A70000}"/>
    <cellStyle name="Normal 5 5 2 2 2 2 2" xfId="11955" xr:uid="{00000000-0005-0000-0000-0000B1A70000}"/>
    <cellStyle name="Normal 5 5 2 2 2 2 2 2" xfId="23256" xr:uid="{00000000-0005-0000-0000-0000B2A70000}"/>
    <cellStyle name="Normal 5 5 2 2 2 2 2 2 2" xfId="45858" xr:uid="{00000000-0005-0000-0000-0000B3A70000}"/>
    <cellStyle name="Normal 5 5 2 2 2 2 2 3" xfId="34557" xr:uid="{00000000-0005-0000-0000-0000B4A70000}"/>
    <cellStyle name="Normal 5 5 2 2 2 2 3" xfId="17606" xr:uid="{00000000-0005-0000-0000-0000B5A70000}"/>
    <cellStyle name="Normal 5 5 2 2 2 2 3 2" xfId="40208" xr:uid="{00000000-0005-0000-0000-0000B6A70000}"/>
    <cellStyle name="Normal 5 5 2 2 2 2 4" xfId="28907" xr:uid="{00000000-0005-0000-0000-0000B7A70000}"/>
    <cellStyle name="Normal 5 5 2 2 2 3" xfId="9123" xr:uid="{00000000-0005-0000-0000-0000B8A70000}"/>
    <cellStyle name="Normal 5 5 2 2 2 3 2" xfId="20424" xr:uid="{00000000-0005-0000-0000-0000B9A70000}"/>
    <cellStyle name="Normal 5 5 2 2 2 3 2 2" xfId="43026" xr:uid="{00000000-0005-0000-0000-0000BAA70000}"/>
    <cellStyle name="Normal 5 5 2 2 2 3 3" xfId="31725" xr:uid="{00000000-0005-0000-0000-0000BBA70000}"/>
    <cellStyle name="Normal 5 5 2 2 2 4" xfId="14774" xr:uid="{00000000-0005-0000-0000-0000BCA70000}"/>
    <cellStyle name="Normal 5 5 2 2 2 4 2" xfId="37376" xr:uid="{00000000-0005-0000-0000-0000BDA70000}"/>
    <cellStyle name="Normal 5 5 2 2 2 5" xfId="26075" xr:uid="{00000000-0005-0000-0000-0000BEA70000}"/>
    <cellStyle name="Normal 5 5 2 2 3" xfId="5071" xr:uid="{00000000-0005-0000-0000-0000BFA70000}"/>
    <cellStyle name="Normal 5 5 2 2 3 2" xfId="10721" xr:uid="{00000000-0005-0000-0000-0000C0A70000}"/>
    <cellStyle name="Normal 5 5 2 2 3 2 2" xfId="22022" xr:uid="{00000000-0005-0000-0000-0000C1A70000}"/>
    <cellStyle name="Normal 5 5 2 2 3 2 2 2" xfId="44624" xr:uid="{00000000-0005-0000-0000-0000C2A70000}"/>
    <cellStyle name="Normal 5 5 2 2 3 2 3" xfId="33323" xr:uid="{00000000-0005-0000-0000-0000C3A70000}"/>
    <cellStyle name="Normal 5 5 2 2 3 3" xfId="16372" xr:uid="{00000000-0005-0000-0000-0000C4A70000}"/>
    <cellStyle name="Normal 5 5 2 2 3 3 2" xfId="38974" xr:uid="{00000000-0005-0000-0000-0000C5A70000}"/>
    <cellStyle name="Normal 5 5 2 2 3 4" xfId="27673" xr:uid="{00000000-0005-0000-0000-0000C6A70000}"/>
    <cellStyle name="Normal 5 5 2 2 4" xfId="7980" xr:uid="{00000000-0005-0000-0000-0000C7A70000}"/>
    <cellStyle name="Normal 5 5 2 2 4 2" xfId="19281" xr:uid="{00000000-0005-0000-0000-0000C8A70000}"/>
    <cellStyle name="Normal 5 5 2 2 4 2 2" xfId="41883" xr:uid="{00000000-0005-0000-0000-0000C9A70000}"/>
    <cellStyle name="Normal 5 5 2 2 4 3" xfId="30582" xr:uid="{00000000-0005-0000-0000-0000CAA70000}"/>
    <cellStyle name="Normal 5 5 2 2 5" xfId="13631" xr:uid="{00000000-0005-0000-0000-0000CBA70000}"/>
    <cellStyle name="Normal 5 5 2 2 5 2" xfId="36233" xr:uid="{00000000-0005-0000-0000-0000CCA70000}"/>
    <cellStyle name="Normal 5 5 2 2 6" xfId="24932" xr:uid="{00000000-0005-0000-0000-0000CDA70000}"/>
    <cellStyle name="Normal 5 5 2 3" xfId="2662" xr:uid="{00000000-0005-0000-0000-0000CEA70000}"/>
    <cellStyle name="Normal 5 5 2 3 2" xfId="5681" xr:uid="{00000000-0005-0000-0000-0000CFA70000}"/>
    <cellStyle name="Normal 5 5 2 3 2 2" xfId="11331" xr:uid="{00000000-0005-0000-0000-0000D0A70000}"/>
    <cellStyle name="Normal 5 5 2 3 2 2 2" xfId="22632" xr:uid="{00000000-0005-0000-0000-0000D1A70000}"/>
    <cellStyle name="Normal 5 5 2 3 2 2 2 2" xfId="45234" xr:uid="{00000000-0005-0000-0000-0000D2A70000}"/>
    <cellStyle name="Normal 5 5 2 3 2 2 3" xfId="33933" xr:uid="{00000000-0005-0000-0000-0000D3A70000}"/>
    <cellStyle name="Normal 5 5 2 3 2 3" xfId="16982" xr:uid="{00000000-0005-0000-0000-0000D4A70000}"/>
    <cellStyle name="Normal 5 5 2 3 2 3 2" xfId="39584" xr:uid="{00000000-0005-0000-0000-0000D5A70000}"/>
    <cellStyle name="Normal 5 5 2 3 2 4" xfId="28283" xr:uid="{00000000-0005-0000-0000-0000D6A70000}"/>
    <cellStyle name="Normal 5 5 2 3 3" xfId="8498" xr:uid="{00000000-0005-0000-0000-0000D7A70000}"/>
    <cellStyle name="Normal 5 5 2 3 3 2" xfId="19799" xr:uid="{00000000-0005-0000-0000-0000D8A70000}"/>
    <cellStyle name="Normal 5 5 2 3 3 2 2" xfId="42401" xr:uid="{00000000-0005-0000-0000-0000D9A70000}"/>
    <cellStyle name="Normal 5 5 2 3 3 3" xfId="31100" xr:uid="{00000000-0005-0000-0000-0000DAA70000}"/>
    <cellStyle name="Normal 5 5 2 3 4" xfId="14149" xr:uid="{00000000-0005-0000-0000-0000DBA70000}"/>
    <cellStyle name="Normal 5 5 2 3 4 2" xfId="36751" xr:uid="{00000000-0005-0000-0000-0000DCA70000}"/>
    <cellStyle name="Normal 5 5 2 3 5" xfId="25450" xr:uid="{00000000-0005-0000-0000-0000DDA70000}"/>
    <cellStyle name="Normal 5 5 2 4" xfId="4447" xr:uid="{00000000-0005-0000-0000-0000DEA70000}"/>
    <cellStyle name="Normal 5 5 2 4 2" xfId="10097" xr:uid="{00000000-0005-0000-0000-0000DFA70000}"/>
    <cellStyle name="Normal 5 5 2 4 2 2" xfId="21398" xr:uid="{00000000-0005-0000-0000-0000E0A70000}"/>
    <cellStyle name="Normal 5 5 2 4 2 2 2" xfId="44000" xr:uid="{00000000-0005-0000-0000-0000E1A70000}"/>
    <cellStyle name="Normal 5 5 2 4 2 3" xfId="32699" xr:uid="{00000000-0005-0000-0000-0000E2A70000}"/>
    <cellStyle name="Normal 5 5 2 4 3" xfId="15748" xr:uid="{00000000-0005-0000-0000-0000E3A70000}"/>
    <cellStyle name="Normal 5 5 2 4 3 2" xfId="38350" xr:uid="{00000000-0005-0000-0000-0000E4A70000}"/>
    <cellStyle name="Normal 5 5 2 4 4" xfId="27049" xr:uid="{00000000-0005-0000-0000-0000E5A70000}"/>
    <cellStyle name="Normal 5 5 2 5" xfId="7243" xr:uid="{00000000-0005-0000-0000-0000E6A70000}"/>
    <cellStyle name="Normal 5 5 2 5 2" xfId="18544" xr:uid="{00000000-0005-0000-0000-0000E7A70000}"/>
    <cellStyle name="Normal 5 5 2 5 2 2" xfId="41146" xr:uid="{00000000-0005-0000-0000-0000E8A70000}"/>
    <cellStyle name="Normal 5 5 2 5 3" xfId="29845" xr:uid="{00000000-0005-0000-0000-0000E9A70000}"/>
    <cellStyle name="Normal 5 5 2 6" xfId="12894" xr:uid="{00000000-0005-0000-0000-0000EAA70000}"/>
    <cellStyle name="Normal 5 5 2 6 2" xfId="35496" xr:uid="{00000000-0005-0000-0000-0000EBA70000}"/>
    <cellStyle name="Normal 5 5 2 7" xfId="24195" xr:uid="{00000000-0005-0000-0000-0000ECA70000}"/>
    <cellStyle name="Normal 5 5 3" xfId="961" xr:uid="{00000000-0005-0000-0000-0000EDA70000}"/>
    <cellStyle name="Normal 5 5 3 2" xfId="3025" xr:uid="{00000000-0005-0000-0000-0000EEA70000}"/>
    <cellStyle name="Normal 5 5 3 2 2" xfId="5997" xr:uid="{00000000-0005-0000-0000-0000EFA70000}"/>
    <cellStyle name="Normal 5 5 3 2 2 2" xfId="11647" xr:uid="{00000000-0005-0000-0000-0000F0A70000}"/>
    <cellStyle name="Normal 5 5 3 2 2 2 2" xfId="22948" xr:uid="{00000000-0005-0000-0000-0000F1A70000}"/>
    <cellStyle name="Normal 5 5 3 2 2 2 2 2" xfId="45550" xr:uid="{00000000-0005-0000-0000-0000F2A70000}"/>
    <cellStyle name="Normal 5 5 3 2 2 2 3" xfId="34249" xr:uid="{00000000-0005-0000-0000-0000F3A70000}"/>
    <cellStyle name="Normal 5 5 3 2 2 3" xfId="17298" xr:uid="{00000000-0005-0000-0000-0000F4A70000}"/>
    <cellStyle name="Normal 5 5 3 2 2 3 2" xfId="39900" xr:uid="{00000000-0005-0000-0000-0000F5A70000}"/>
    <cellStyle name="Normal 5 5 3 2 2 4" xfId="28599" xr:uid="{00000000-0005-0000-0000-0000F6A70000}"/>
    <cellStyle name="Normal 5 5 3 2 3" xfId="8815" xr:uid="{00000000-0005-0000-0000-0000F7A70000}"/>
    <cellStyle name="Normal 5 5 3 2 3 2" xfId="20116" xr:uid="{00000000-0005-0000-0000-0000F8A70000}"/>
    <cellStyle name="Normal 5 5 3 2 3 2 2" xfId="42718" xr:uid="{00000000-0005-0000-0000-0000F9A70000}"/>
    <cellStyle name="Normal 5 5 3 2 3 3" xfId="31417" xr:uid="{00000000-0005-0000-0000-0000FAA70000}"/>
    <cellStyle name="Normal 5 5 3 2 4" xfId="14466" xr:uid="{00000000-0005-0000-0000-0000FBA70000}"/>
    <cellStyle name="Normal 5 5 3 2 4 2" xfId="37068" xr:uid="{00000000-0005-0000-0000-0000FCA70000}"/>
    <cellStyle name="Normal 5 5 3 2 5" xfId="25767" xr:uid="{00000000-0005-0000-0000-0000FDA70000}"/>
    <cellStyle name="Normal 5 5 3 3" xfId="4763" xr:uid="{00000000-0005-0000-0000-0000FEA70000}"/>
    <cellStyle name="Normal 5 5 3 3 2" xfId="10413" xr:uid="{00000000-0005-0000-0000-0000FFA70000}"/>
    <cellStyle name="Normal 5 5 3 3 2 2" xfId="21714" xr:uid="{00000000-0005-0000-0000-000000A80000}"/>
    <cellStyle name="Normal 5 5 3 3 2 2 2" xfId="44316" xr:uid="{00000000-0005-0000-0000-000001A80000}"/>
    <cellStyle name="Normal 5 5 3 3 2 3" xfId="33015" xr:uid="{00000000-0005-0000-0000-000002A80000}"/>
    <cellStyle name="Normal 5 5 3 3 3" xfId="16064" xr:uid="{00000000-0005-0000-0000-000003A80000}"/>
    <cellStyle name="Normal 5 5 3 3 3 2" xfId="38666" xr:uid="{00000000-0005-0000-0000-000004A80000}"/>
    <cellStyle name="Normal 5 5 3 3 4" xfId="27365" xr:uid="{00000000-0005-0000-0000-000005A80000}"/>
    <cellStyle name="Normal 5 5 3 4" xfId="6950" xr:uid="{00000000-0005-0000-0000-000006A80000}"/>
    <cellStyle name="Normal 5 5 3 4 2" xfId="18251" xr:uid="{00000000-0005-0000-0000-000007A80000}"/>
    <cellStyle name="Normal 5 5 3 4 2 2" xfId="40853" xr:uid="{00000000-0005-0000-0000-000008A80000}"/>
    <cellStyle name="Normal 5 5 3 4 3" xfId="29552" xr:uid="{00000000-0005-0000-0000-000009A80000}"/>
    <cellStyle name="Normal 5 5 3 5" xfId="12601" xr:uid="{00000000-0005-0000-0000-00000AA80000}"/>
    <cellStyle name="Normal 5 5 3 5 2" xfId="35203" xr:uid="{00000000-0005-0000-0000-00000BA80000}"/>
    <cellStyle name="Normal 5 5 3 6" xfId="23902" xr:uid="{00000000-0005-0000-0000-00000CA80000}"/>
    <cellStyle name="Normal 5 5 4" xfId="2123" xr:uid="{00000000-0005-0000-0000-00000DA80000}"/>
    <cellStyle name="Normal 5 5 4 2" xfId="3869" xr:uid="{00000000-0005-0000-0000-00000EA80000}"/>
    <cellStyle name="Normal 5 5 4 2 2" xfId="9577" xr:uid="{00000000-0005-0000-0000-00000FA80000}"/>
    <cellStyle name="Normal 5 5 4 2 2 2" xfId="20878" xr:uid="{00000000-0005-0000-0000-000010A80000}"/>
    <cellStyle name="Normal 5 5 4 2 2 2 2" xfId="43480" xr:uid="{00000000-0005-0000-0000-000011A80000}"/>
    <cellStyle name="Normal 5 5 4 2 2 3" xfId="32179" xr:uid="{00000000-0005-0000-0000-000012A80000}"/>
    <cellStyle name="Normal 5 5 4 2 3" xfId="15228" xr:uid="{00000000-0005-0000-0000-000013A80000}"/>
    <cellStyle name="Normal 5 5 4 2 3 2" xfId="37830" xr:uid="{00000000-0005-0000-0000-000014A80000}"/>
    <cellStyle name="Normal 5 5 4 2 4" xfId="26529" xr:uid="{00000000-0005-0000-0000-000015A80000}"/>
    <cellStyle name="Normal 5 5 4 3" xfId="5373" xr:uid="{00000000-0005-0000-0000-000016A80000}"/>
    <cellStyle name="Normal 5 5 4 3 2" xfId="11023" xr:uid="{00000000-0005-0000-0000-000017A80000}"/>
    <cellStyle name="Normal 5 5 4 3 2 2" xfId="22324" xr:uid="{00000000-0005-0000-0000-000018A80000}"/>
    <cellStyle name="Normal 5 5 4 3 2 2 2" xfId="44926" xr:uid="{00000000-0005-0000-0000-000019A80000}"/>
    <cellStyle name="Normal 5 5 4 3 2 3" xfId="33625" xr:uid="{00000000-0005-0000-0000-00001AA80000}"/>
    <cellStyle name="Normal 5 5 4 3 3" xfId="16674" xr:uid="{00000000-0005-0000-0000-00001BA80000}"/>
    <cellStyle name="Normal 5 5 4 3 3 2" xfId="39276" xr:uid="{00000000-0005-0000-0000-00001CA80000}"/>
    <cellStyle name="Normal 5 5 4 3 4" xfId="27975" xr:uid="{00000000-0005-0000-0000-00001DA80000}"/>
    <cellStyle name="Normal 5 5 4 4" xfId="7979" xr:uid="{00000000-0005-0000-0000-00001EA80000}"/>
    <cellStyle name="Normal 5 5 4 4 2" xfId="19280" xr:uid="{00000000-0005-0000-0000-00001FA80000}"/>
    <cellStyle name="Normal 5 5 4 4 2 2" xfId="41882" xr:uid="{00000000-0005-0000-0000-000020A80000}"/>
    <cellStyle name="Normal 5 5 4 4 3" xfId="30581" xr:uid="{00000000-0005-0000-0000-000021A80000}"/>
    <cellStyle name="Normal 5 5 4 5" xfId="13630" xr:uid="{00000000-0005-0000-0000-000022A80000}"/>
    <cellStyle name="Normal 5 5 4 5 2" xfId="36232" xr:uid="{00000000-0005-0000-0000-000023A80000}"/>
    <cellStyle name="Normal 5 5 4 6" xfId="24931" xr:uid="{00000000-0005-0000-0000-000024A80000}"/>
    <cellStyle name="Normal 5 5 5" xfId="2354" xr:uid="{00000000-0005-0000-0000-000025A80000}"/>
    <cellStyle name="Normal 5 5 5 2" xfId="8190" xr:uid="{00000000-0005-0000-0000-000026A80000}"/>
    <cellStyle name="Normal 5 5 5 2 2" xfId="19491" xr:uid="{00000000-0005-0000-0000-000027A80000}"/>
    <cellStyle name="Normal 5 5 5 2 2 2" xfId="42093" xr:uid="{00000000-0005-0000-0000-000028A80000}"/>
    <cellStyle name="Normal 5 5 5 2 3" xfId="30792" xr:uid="{00000000-0005-0000-0000-000029A80000}"/>
    <cellStyle name="Normal 5 5 5 3" xfId="13841" xr:uid="{00000000-0005-0000-0000-00002AA80000}"/>
    <cellStyle name="Normal 5 5 5 3 2" xfId="36443" xr:uid="{00000000-0005-0000-0000-00002BA80000}"/>
    <cellStyle name="Normal 5 5 5 4" xfId="25142" xr:uid="{00000000-0005-0000-0000-00002CA80000}"/>
    <cellStyle name="Normal 5 5 6" xfId="4139" xr:uid="{00000000-0005-0000-0000-00002DA80000}"/>
    <cellStyle name="Normal 5 5 6 2" xfId="9789" xr:uid="{00000000-0005-0000-0000-00002EA80000}"/>
    <cellStyle name="Normal 5 5 6 2 2" xfId="21090" xr:uid="{00000000-0005-0000-0000-00002FA80000}"/>
    <cellStyle name="Normal 5 5 6 2 2 2" xfId="43692" xr:uid="{00000000-0005-0000-0000-000030A80000}"/>
    <cellStyle name="Normal 5 5 6 2 3" xfId="32391" xr:uid="{00000000-0005-0000-0000-000031A80000}"/>
    <cellStyle name="Normal 5 5 6 3" xfId="15440" xr:uid="{00000000-0005-0000-0000-000032A80000}"/>
    <cellStyle name="Normal 5 5 6 3 2" xfId="38042" xr:uid="{00000000-0005-0000-0000-000033A80000}"/>
    <cellStyle name="Normal 5 5 6 4" xfId="26741" xr:uid="{00000000-0005-0000-0000-000034A80000}"/>
    <cellStyle name="Normal 5 5 7" xfId="6590" xr:uid="{00000000-0005-0000-0000-000035A80000}"/>
    <cellStyle name="Normal 5 5 7 2" xfId="17891" xr:uid="{00000000-0005-0000-0000-000036A80000}"/>
    <cellStyle name="Normal 5 5 7 2 2" xfId="40493" xr:uid="{00000000-0005-0000-0000-000037A80000}"/>
    <cellStyle name="Normal 5 5 7 3" xfId="29192" xr:uid="{00000000-0005-0000-0000-000038A80000}"/>
    <cellStyle name="Normal 5 5 8" xfId="12241" xr:uid="{00000000-0005-0000-0000-000039A80000}"/>
    <cellStyle name="Normal 5 5 8 2" xfId="34843" xr:uid="{00000000-0005-0000-0000-00003AA80000}"/>
    <cellStyle name="Normal 5 5 9" xfId="23542" xr:uid="{00000000-0005-0000-0000-00003BA80000}"/>
    <cellStyle name="Normal 5 6" xfId="1110" xr:uid="{00000000-0005-0000-0000-00003CA80000}"/>
    <cellStyle name="Normal 5 6 2" xfId="2125" xr:uid="{00000000-0005-0000-0000-00003DA80000}"/>
    <cellStyle name="Normal 5 6 2 2" xfId="3165" xr:uid="{00000000-0005-0000-0000-00003EA80000}"/>
    <cellStyle name="Normal 5 6 2 2 2" xfId="6137" xr:uid="{00000000-0005-0000-0000-00003FA80000}"/>
    <cellStyle name="Normal 5 6 2 2 2 2" xfId="11787" xr:uid="{00000000-0005-0000-0000-000040A80000}"/>
    <cellStyle name="Normal 5 6 2 2 2 2 2" xfId="23088" xr:uid="{00000000-0005-0000-0000-000041A80000}"/>
    <cellStyle name="Normal 5 6 2 2 2 2 2 2" xfId="45690" xr:uid="{00000000-0005-0000-0000-000042A80000}"/>
    <cellStyle name="Normal 5 6 2 2 2 2 3" xfId="34389" xr:uid="{00000000-0005-0000-0000-000043A80000}"/>
    <cellStyle name="Normal 5 6 2 2 2 3" xfId="17438" xr:uid="{00000000-0005-0000-0000-000044A80000}"/>
    <cellStyle name="Normal 5 6 2 2 2 3 2" xfId="40040" xr:uid="{00000000-0005-0000-0000-000045A80000}"/>
    <cellStyle name="Normal 5 6 2 2 2 4" xfId="28739" xr:uid="{00000000-0005-0000-0000-000046A80000}"/>
    <cellStyle name="Normal 5 6 2 2 3" xfId="8955" xr:uid="{00000000-0005-0000-0000-000047A80000}"/>
    <cellStyle name="Normal 5 6 2 2 3 2" xfId="20256" xr:uid="{00000000-0005-0000-0000-000048A80000}"/>
    <cellStyle name="Normal 5 6 2 2 3 2 2" xfId="42858" xr:uid="{00000000-0005-0000-0000-000049A80000}"/>
    <cellStyle name="Normal 5 6 2 2 3 3" xfId="31557" xr:uid="{00000000-0005-0000-0000-00004AA80000}"/>
    <cellStyle name="Normal 5 6 2 2 4" xfId="14606" xr:uid="{00000000-0005-0000-0000-00004BA80000}"/>
    <cellStyle name="Normal 5 6 2 2 4 2" xfId="37208" xr:uid="{00000000-0005-0000-0000-00004CA80000}"/>
    <cellStyle name="Normal 5 6 2 2 5" xfId="25907" xr:uid="{00000000-0005-0000-0000-00004DA80000}"/>
    <cellStyle name="Normal 5 6 2 3" xfId="4903" xr:uid="{00000000-0005-0000-0000-00004EA80000}"/>
    <cellStyle name="Normal 5 6 2 3 2" xfId="10553" xr:uid="{00000000-0005-0000-0000-00004FA80000}"/>
    <cellStyle name="Normal 5 6 2 3 2 2" xfId="21854" xr:uid="{00000000-0005-0000-0000-000050A80000}"/>
    <cellStyle name="Normal 5 6 2 3 2 2 2" xfId="44456" xr:uid="{00000000-0005-0000-0000-000051A80000}"/>
    <cellStyle name="Normal 5 6 2 3 2 3" xfId="33155" xr:uid="{00000000-0005-0000-0000-000052A80000}"/>
    <cellStyle name="Normal 5 6 2 3 3" xfId="16204" xr:uid="{00000000-0005-0000-0000-000053A80000}"/>
    <cellStyle name="Normal 5 6 2 3 3 2" xfId="38806" xr:uid="{00000000-0005-0000-0000-000054A80000}"/>
    <cellStyle name="Normal 5 6 2 3 4" xfId="27505" xr:uid="{00000000-0005-0000-0000-000055A80000}"/>
    <cellStyle name="Normal 5 6 2 4" xfId="7981" xr:uid="{00000000-0005-0000-0000-000056A80000}"/>
    <cellStyle name="Normal 5 6 2 4 2" xfId="19282" xr:uid="{00000000-0005-0000-0000-000057A80000}"/>
    <cellStyle name="Normal 5 6 2 4 2 2" xfId="41884" xr:uid="{00000000-0005-0000-0000-000058A80000}"/>
    <cellStyle name="Normal 5 6 2 4 3" xfId="30583" xr:uid="{00000000-0005-0000-0000-000059A80000}"/>
    <cellStyle name="Normal 5 6 2 5" xfId="13632" xr:uid="{00000000-0005-0000-0000-00005AA80000}"/>
    <cellStyle name="Normal 5 6 2 5 2" xfId="36234" xr:uid="{00000000-0005-0000-0000-00005BA80000}"/>
    <cellStyle name="Normal 5 6 2 6" xfId="24933" xr:uid="{00000000-0005-0000-0000-00005CA80000}"/>
    <cellStyle name="Normal 5 6 3" xfId="2494" xr:uid="{00000000-0005-0000-0000-00005DA80000}"/>
    <cellStyle name="Normal 5 6 3 2" xfId="5513" xr:uid="{00000000-0005-0000-0000-00005EA80000}"/>
    <cellStyle name="Normal 5 6 3 2 2" xfId="11163" xr:uid="{00000000-0005-0000-0000-00005FA80000}"/>
    <cellStyle name="Normal 5 6 3 2 2 2" xfId="22464" xr:uid="{00000000-0005-0000-0000-000060A80000}"/>
    <cellStyle name="Normal 5 6 3 2 2 2 2" xfId="45066" xr:uid="{00000000-0005-0000-0000-000061A80000}"/>
    <cellStyle name="Normal 5 6 3 2 2 3" xfId="33765" xr:uid="{00000000-0005-0000-0000-000062A80000}"/>
    <cellStyle name="Normal 5 6 3 2 3" xfId="16814" xr:uid="{00000000-0005-0000-0000-000063A80000}"/>
    <cellStyle name="Normal 5 6 3 2 3 2" xfId="39416" xr:uid="{00000000-0005-0000-0000-000064A80000}"/>
    <cellStyle name="Normal 5 6 3 2 4" xfId="28115" xr:uid="{00000000-0005-0000-0000-000065A80000}"/>
    <cellStyle name="Normal 5 6 3 3" xfId="8330" xr:uid="{00000000-0005-0000-0000-000066A80000}"/>
    <cellStyle name="Normal 5 6 3 3 2" xfId="19631" xr:uid="{00000000-0005-0000-0000-000067A80000}"/>
    <cellStyle name="Normal 5 6 3 3 2 2" xfId="42233" xr:uid="{00000000-0005-0000-0000-000068A80000}"/>
    <cellStyle name="Normal 5 6 3 3 3" xfId="30932" xr:uid="{00000000-0005-0000-0000-000069A80000}"/>
    <cellStyle name="Normal 5 6 3 4" xfId="13981" xr:uid="{00000000-0005-0000-0000-00006AA80000}"/>
    <cellStyle name="Normal 5 6 3 4 2" xfId="36583" xr:uid="{00000000-0005-0000-0000-00006BA80000}"/>
    <cellStyle name="Normal 5 6 3 5" xfId="25282" xr:uid="{00000000-0005-0000-0000-00006CA80000}"/>
    <cellStyle name="Normal 5 6 4" xfId="4279" xr:uid="{00000000-0005-0000-0000-00006DA80000}"/>
    <cellStyle name="Normal 5 6 4 2" xfId="9929" xr:uid="{00000000-0005-0000-0000-00006EA80000}"/>
    <cellStyle name="Normal 5 6 4 2 2" xfId="21230" xr:uid="{00000000-0005-0000-0000-00006FA80000}"/>
    <cellStyle name="Normal 5 6 4 2 2 2" xfId="43832" xr:uid="{00000000-0005-0000-0000-000070A80000}"/>
    <cellStyle name="Normal 5 6 4 2 3" xfId="32531" xr:uid="{00000000-0005-0000-0000-000071A80000}"/>
    <cellStyle name="Normal 5 6 4 3" xfId="15580" xr:uid="{00000000-0005-0000-0000-000072A80000}"/>
    <cellStyle name="Normal 5 6 4 3 2" xfId="38182" xr:uid="{00000000-0005-0000-0000-000073A80000}"/>
    <cellStyle name="Normal 5 6 4 4" xfId="26881" xr:uid="{00000000-0005-0000-0000-000074A80000}"/>
    <cellStyle name="Normal 5 6 5" xfId="7089" xr:uid="{00000000-0005-0000-0000-000075A80000}"/>
    <cellStyle name="Normal 5 6 5 2" xfId="18390" xr:uid="{00000000-0005-0000-0000-000076A80000}"/>
    <cellStyle name="Normal 5 6 5 2 2" xfId="40992" xr:uid="{00000000-0005-0000-0000-000077A80000}"/>
    <cellStyle name="Normal 5 6 5 3" xfId="29691" xr:uid="{00000000-0005-0000-0000-000078A80000}"/>
    <cellStyle name="Normal 5 6 6" xfId="12740" xr:uid="{00000000-0005-0000-0000-000079A80000}"/>
    <cellStyle name="Normal 5 6 6 2" xfId="35342" xr:uid="{00000000-0005-0000-0000-00007AA80000}"/>
    <cellStyle name="Normal 5 6 7" xfId="24041" xr:uid="{00000000-0005-0000-0000-00007BA80000}"/>
    <cellStyle name="Normal 5 7" xfId="733" xr:uid="{00000000-0005-0000-0000-00007CA80000}"/>
    <cellStyle name="Normal 5 7 2" xfId="2870" xr:uid="{00000000-0005-0000-0000-00007DA80000}"/>
    <cellStyle name="Normal 5 7 2 2" xfId="5842" xr:uid="{00000000-0005-0000-0000-00007EA80000}"/>
    <cellStyle name="Normal 5 7 2 2 2" xfId="11492" xr:uid="{00000000-0005-0000-0000-00007FA80000}"/>
    <cellStyle name="Normal 5 7 2 2 2 2" xfId="22793" xr:uid="{00000000-0005-0000-0000-000080A80000}"/>
    <cellStyle name="Normal 5 7 2 2 2 2 2" xfId="45395" xr:uid="{00000000-0005-0000-0000-000081A80000}"/>
    <cellStyle name="Normal 5 7 2 2 2 3" xfId="34094" xr:uid="{00000000-0005-0000-0000-000082A80000}"/>
    <cellStyle name="Normal 5 7 2 2 3" xfId="17143" xr:uid="{00000000-0005-0000-0000-000083A80000}"/>
    <cellStyle name="Normal 5 7 2 2 3 2" xfId="39745" xr:uid="{00000000-0005-0000-0000-000084A80000}"/>
    <cellStyle name="Normal 5 7 2 2 4" xfId="28444" xr:uid="{00000000-0005-0000-0000-000085A80000}"/>
    <cellStyle name="Normal 5 7 2 3" xfId="8660" xr:uid="{00000000-0005-0000-0000-000086A80000}"/>
    <cellStyle name="Normal 5 7 2 3 2" xfId="19961" xr:uid="{00000000-0005-0000-0000-000087A80000}"/>
    <cellStyle name="Normal 5 7 2 3 2 2" xfId="42563" xr:uid="{00000000-0005-0000-0000-000088A80000}"/>
    <cellStyle name="Normal 5 7 2 3 3" xfId="31262" xr:uid="{00000000-0005-0000-0000-000089A80000}"/>
    <cellStyle name="Normal 5 7 2 4" xfId="14311" xr:uid="{00000000-0005-0000-0000-00008AA80000}"/>
    <cellStyle name="Normal 5 7 2 4 2" xfId="36913" xr:uid="{00000000-0005-0000-0000-00008BA80000}"/>
    <cellStyle name="Normal 5 7 2 5" xfId="25612" xr:uid="{00000000-0005-0000-0000-00008CA80000}"/>
    <cellStyle name="Normal 5 7 3" xfId="4608" xr:uid="{00000000-0005-0000-0000-00008DA80000}"/>
    <cellStyle name="Normal 5 7 3 2" xfId="10258" xr:uid="{00000000-0005-0000-0000-00008EA80000}"/>
    <cellStyle name="Normal 5 7 3 2 2" xfId="21559" xr:uid="{00000000-0005-0000-0000-00008FA80000}"/>
    <cellStyle name="Normal 5 7 3 2 2 2" xfId="44161" xr:uid="{00000000-0005-0000-0000-000090A80000}"/>
    <cellStyle name="Normal 5 7 3 2 3" xfId="32860" xr:uid="{00000000-0005-0000-0000-000091A80000}"/>
    <cellStyle name="Normal 5 7 3 3" xfId="15909" xr:uid="{00000000-0005-0000-0000-000092A80000}"/>
    <cellStyle name="Normal 5 7 3 3 2" xfId="38511" xr:uid="{00000000-0005-0000-0000-000093A80000}"/>
    <cellStyle name="Normal 5 7 3 4" xfId="27210" xr:uid="{00000000-0005-0000-0000-000094A80000}"/>
    <cellStyle name="Normal 5 7 4" xfId="6779" xr:uid="{00000000-0005-0000-0000-000095A80000}"/>
    <cellStyle name="Normal 5 7 4 2" xfId="18080" xr:uid="{00000000-0005-0000-0000-000096A80000}"/>
    <cellStyle name="Normal 5 7 4 2 2" xfId="40682" xr:uid="{00000000-0005-0000-0000-000097A80000}"/>
    <cellStyle name="Normal 5 7 4 3" xfId="29381" xr:uid="{00000000-0005-0000-0000-000098A80000}"/>
    <cellStyle name="Normal 5 7 5" xfId="12430" xr:uid="{00000000-0005-0000-0000-000099A80000}"/>
    <cellStyle name="Normal 5 7 5 2" xfId="35032" xr:uid="{00000000-0005-0000-0000-00009AA80000}"/>
    <cellStyle name="Normal 5 7 6" xfId="23731" xr:uid="{00000000-0005-0000-0000-00009BA80000}"/>
    <cellStyle name="Normal 5 8" xfId="2114" xr:uid="{00000000-0005-0000-0000-00009CA80000}"/>
    <cellStyle name="Normal 5 8 2" xfId="3864" xr:uid="{00000000-0005-0000-0000-00009DA80000}"/>
    <cellStyle name="Normal 5 8 2 2" xfId="9572" xr:uid="{00000000-0005-0000-0000-00009EA80000}"/>
    <cellStyle name="Normal 5 8 2 2 2" xfId="20873" xr:uid="{00000000-0005-0000-0000-00009FA80000}"/>
    <cellStyle name="Normal 5 8 2 2 2 2" xfId="43475" xr:uid="{00000000-0005-0000-0000-0000A0A80000}"/>
    <cellStyle name="Normal 5 8 2 2 3" xfId="32174" xr:uid="{00000000-0005-0000-0000-0000A1A80000}"/>
    <cellStyle name="Normal 5 8 2 3" xfId="15223" xr:uid="{00000000-0005-0000-0000-0000A2A80000}"/>
    <cellStyle name="Normal 5 8 2 3 2" xfId="37825" xr:uid="{00000000-0005-0000-0000-0000A3A80000}"/>
    <cellStyle name="Normal 5 8 2 4" xfId="26524" xr:uid="{00000000-0005-0000-0000-0000A4A80000}"/>
    <cellStyle name="Normal 5 8 3" xfId="5218" xr:uid="{00000000-0005-0000-0000-0000A5A80000}"/>
    <cellStyle name="Normal 5 8 3 2" xfId="10868" xr:uid="{00000000-0005-0000-0000-0000A6A80000}"/>
    <cellStyle name="Normal 5 8 3 2 2" xfId="22169" xr:uid="{00000000-0005-0000-0000-0000A7A80000}"/>
    <cellStyle name="Normal 5 8 3 2 2 2" xfId="44771" xr:uid="{00000000-0005-0000-0000-0000A8A80000}"/>
    <cellStyle name="Normal 5 8 3 2 3" xfId="33470" xr:uid="{00000000-0005-0000-0000-0000A9A80000}"/>
    <cellStyle name="Normal 5 8 3 3" xfId="16519" xr:uid="{00000000-0005-0000-0000-0000AAA80000}"/>
    <cellStyle name="Normal 5 8 3 3 2" xfId="39121" xr:uid="{00000000-0005-0000-0000-0000ABA80000}"/>
    <cellStyle name="Normal 5 8 3 4" xfId="27820" xr:uid="{00000000-0005-0000-0000-0000ACA80000}"/>
    <cellStyle name="Normal 5 8 4" xfId="7970" xr:uid="{00000000-0005-0000-0000-0000ADA80000}"/>
    <cellStyle name="Normal 5 8 4 2" xfId="19271" xr:uid="{00000000-0005-0000-0000-0000AEA80000}"/>
    <cellStyle name="Normal 5 8 4 2 2" xfId="41873" xr:uid="{00000000-0005-0000-0000-0000AFA80000}"/>
    <cellStyle name="Normal 5 8 4 3" xfId="30572" xr:uid="{00000000-0005-0000-0000-0000B0A80000}"/>
    <cellStyle name="Normal 5 8 5" xfId="13621" xr:uid="{00000000-0005-0000-0000-0000B1A80000}"/>
    <cellStyle name="Normal 5 8 5 2" xfId="36223" xr:uid="{00000000-0005-0000-0000-0000B2A80000}"/>
    <cellStyle name="Normal 5 8 6" xfId="24922" xr:uid="{00000000-0005-0000-0000-0000B3A80000}"/>
    <cellStyle name="Normal 5 9" xfId="2171" xr:uid="{00000000-0005-0000-0000-0000B4A80000}"/>
    <cellStyle name="Normal 5 9 2" xfId="8018" xr:uid="{00000000-0005-0000-0000-0000B5A80000}"/>
    <cellStyle name="Normal 5 9 2 2" xfId="19319" xr:uid="{00000000-0005-0000-0000-0000B6A80000}"/>
    <cellStyle name="Normal 5 9 2 2 2" xfId="41921" xr:uid="{00000000-0005-0000-0000-0000B7A80000}"/>
    <cellStyle name="Normal 5 9 2 3" xfId="30620" xr:uid="{00000000-0005-0000-0000-0000B8A80000}"/>
    <cellStyle name="Normal 5 9 3" xfId="13669" xr:uid="{00000000-0005-0000-0000-0000B9A80000}"/>
    <cellStyle name="Normal 5 9 3 2" xfId="36271" xr:uid="{00000000-0005-0000-0000-0000BAA80000}"/>
    <cellStyle name="Normal 5 9 4" xfId="24970" xr:uid="{00000000-0005-0000-0000-0000BBA80000}"/>
    <cellStyle name="Normal 6" xfId="101" xr:uid="{00000000-0005-0000-0000-0000BCA80000}"/>
    <cellStyle name="Normal 6 2" xfId="263" xr:uid="{00000000-0005-0000-0000-0000BDA80000}"/>
    <cellStyle name="Normal 7" xfId="102" xr:uid="{00000000-0005-0000-0000-0000BEA80000}"/>
    <cellStyle name="Normal 7 2" xfId="264" xr:uid="{00000000-0005-0000-0000-0000BFA80000}"/>
    <cellStyle name="Normal 8" xfId="98" xr:uid="{00000000-0005-0000-0000-0000C0A80000}"/>
    <cellStyle name="Normal 9" xfId="103" xr:uid="{00000000-0005-0000-0000-0000C1A80000}"/>
    <cellStyle name="Normal 9 2" xfId="248" xr:uid="{00000000-0005-0000-0000-0000C2A80000}"/>
    <cellStyle name="Normal 9 3" xfId="12102" xr:uid="{00000000-0005-0000-0000-0000C3A80000}"/>
    <cellStyle name="Normal 9 3 2" xfId="34704" xr:uid="{00000000-0005-0000-0000-0000C4A80000}"/>
    <cellStyle name="Normal 9 4" xfId="23403" xr:uid="{00000000-0005-0000-0000-0000C5A80000}"/>
    <cellStyle name="Note" xfId="15" builtinId="10" customBuiltin="1"/>
    <cellStyle name="Note 2" xfId="47" xr:uid="{00000000-0005-0000-0000-0000C7A80000}"/>
    <cellStyle name="Note 2 2" xfId="281" xr:uid="{00000000-0005-0000-0000-0000C8A80000}"/>
    <cellStyle name="Note 2 2 10" xfId="6494" xr:uid="{00000000-0005-0000-0000-0000C9A80000}"/>
    <cellStyle name="Note 2 2 10 2" xfId="17795" xr:uid="{00000000-0005-0000-0000-0000CAA80000}"/>
    <cellStyle name="Note 2 2 10 2 2" xfId="40397" xr:uid="{00000000-0005-0000-0000-0000CBA80000}"/>
    <cellStyle name="Note 2 2 10 3" xfId="29096" xr:uid="{00000000-0005-0000-0000-0000CCA80000}"/>
    <cellStyle name="Note 2 2 11" xfId="12145" xr:uid="{00000000-0005-0000-0000-0000CDA80000}"/>
    <cellStyle name="Note 2 2 11 2" xfId="34747" xr:uid="{00000000-0005-0000-0000-0000CEA80000}"/>
    <cellStyle name="Note 2 2 12" xfId="23446" xr:uid="{00000000-0005-0000-0000-0000CFA80000}"/>
    <cellStyle name="Note 2 2 2" xfId="446" xr:uid="{00000000-0005-0000-0000-0000D0A80000}"/>
    <cellStyle name="Note 2 2 2 10" xfId="23541" xr:uid="{00000000-0005-0000-0000-0000D1A80000}"/>
    <cellStyle name="Note 2 2 2 2" xfId="691" xr:uid="{00000000-0005-0000-0000-0000D2A80000}"/>
    <cellStyle name="Note 2 2 2 2 2" xfId="1401" xr:uid="{00000000-0005-0000-0000-0000D3A80000}"/>
    <cellStyle name="Note 2 2 2 2 2 2" xfId="2129" xr:uid="{00000000-0005-0000-0000-0000D4A80000}"/>
    <cellStyle name="Note 2 2 2 2 2 2 2" xfId="3470" xr:uid="{00000000-0005-0000-0000-0000D5A80000}"/>
    <cellStyle name="Note 2 2 2 2 2 2 2 2" xfId="6442" xr:uid="{00000000-0005-0000-0000-0000D6A80000}"/>
    <cellStyle name="Note 2 2 2 2 2 2 2 2 2" xfId="12092" xr:uid="{00000000-0005-0000-0000-0000D7A80000}"/>
    <cellStyle name="Note 2 2 2 2 2 2 2 2 2 2" xfId="23393" xr:uid="{00000000-0005-0000-0000-0000D8A80000}"/>
    <cellStyle name="Note 2 2 2 2 2 2 2 2 2 2 2" xfId="45995" xr:uid="{00000000-0005-0000-0000-0000D9A80000}"/>
    <cellStyle name="Note 2 2 2 2 2 2 2 2 2 3" xfId="34694" xr:uid="{00000000-0005-0000-0000-0000DAA80000}"/>
    <cellStyle name="Note 2 2 2 2 2 2 2 2 3" xfId="17743" xr:uid="{00000000-0005-0000-0000-0000DBA80000}"/>
    <cellStyle name="Note 2 2 2 2 2 2 2 2 3 2" xfId="40345" xr:uid="{00000000-0005-0000-0000-0000DCA80000}"/>
    <cellStyle name="Note 2 2 2 2 2 2 2 2 4" xfId="29044" xr:uid="{00000000-0005-0000-0000-0000DDA80000}"/>
    <cellStyle name="Note 2 2 2 2 2 2 2 3" xfId="9260" xr:uid="{00000000-0005-0000-0000-0000DEA80000}"/>
    <cellStyle name="Note 2 2 2 2 2 2 2 3 2" xfId="20561" xr:uid="{00000000-0005-0000-0000-0000DFA80000}"/>
    <cellStyle name="Note 2 2 2 2 2 2 2 3 2 2" xfId="43163" xr:uid="{00000000-0005-0000-0000-0000E0A80000}"/>
    <cellStyle name="Note 2 2 2 2 2 2 2 3 3" xfId="31862" xr:uid="{00000000-0005-0000-0000-0000E1A80000}"/>
    <cellStyle name="Note 2 2 2 2 2 2 2 4" xfId="14911" xr:uid="{00000000-0005-0000-0000-0000E2A80000}"/>
    <cellStyle name="Note 2 2 2 2 2 2 2 4 2" xfId="37513" xr:uid="{00000000-0005-0000-0000-0000E3A80000}"/>
    <cellStyle name="Note 2 2 2 2 2 2 2 5" xfId="26212" xr:uid="{00000000-0005-0000-0000-0000E4A80000}"/>
    <cellStyle name="Note 2 2 2 2 2 2 3" xfId="5208" xr:uid="{00000000-0005-0000-0000-0000E5A80000}"/>
    <cellStyle name="Note 2 2 2 2 2 2 3 2" xfId="10858" xr:uid="{00000000-0005-0000-0000-0000E6A80000}"/>
    <cellStyle name="Note 2 2 2 2 2 2 3 2 2" xfId="22159" xr:uid="{00000000-0005-0000-0000-0000E7A80000}"/>
    <cellStyle name="Note 2 2 2 2 2 2 3 2 2 2" xfId="44761" xr:uid="{00000000-0005-0000-0000-0000E8A80000}"/>
    <cellStyle name="Note 2 2 2 2 2 2 3 2 3" xfId="33460" xr:uid="{00000000-0005-0000-0000-0000E9A80000}"/>
    <cellStyle name="Note 2 2 2 2 2 2 3 3" xfId="16509" xr:uid="{00000000-0005-0000-0000-0000EAA80000}"/>
    <cellStyle name="Note 2 2 2 2 2 2 3 3 2" xfId="39111" xr:uid="{00000000-0005-0000-0000-0000EBA80000}"/>
    <cellStyle name="Note 2 2 2 2 2 2 3 4" xfId="27810" xr:uid="{00000000-0005-0000-0000-0000ECA80000}"/>
    <cellStyle name="Note 2 2 2 2 2 2 4" xfId="7985" xr:uid="{00000000-0005-0000-0000-0000EDA80000}"/>
    <cellStyle name="Note 2 2 2 2 2 2 4 2" xfId="19286" xr:uid="{00000000-0005-0000-0000-0000EEA80000}"/>
    <cellStyle name="Note 2 2 2 2 2 2 4 2 2" xfId="41888" xr:uid="{00000000-0005-0000-0000-0000EFA80000}"/>
    <cellStyle name="Note 2 2 2 2 2 2 4 3" xfId="30587" xr:uid="{00000000-0005-0000-0000-0000F0A80000}"/>
    <cellStyle name="Note 2 2 2 2 2 2 5" xfId="13636" xr:uid="{00000000-0005-0000-0000-0000F1A80000}"/>
    <cellStyle name="Note 2 2 2 2 2 2 5 2" xfId="36238" xr:uid="{00000000-0005-0000-0000-0000F2A80000}"/>
    <cellStyle name="Note 2 2 2 2 2 2 6" xfId="24937" xr:uid="{00000000-0005-0000-0000-0000F3A80000}"/>
    <cellStyle name="Note 2 2 2 2 2 3" xfId="2799" xr:uid="{00000000-0005-0000-0000-0000F4A80000}"/>
    <cellStyle name="Note 2 2 2 2 2 3 2" xfId="5818" xr:uid="{00000000-0005-0000-0000-0000F5A80000}"/>
    <cellStyle name="Note 2 2 2 2 2 3 2 2" xfId="11468" xr:uid="{00000000-0005-0000-0000-0000F6A80000}"/>
    <cellStyle name="Note 2 2 2 2 2 3 2 2 2" xfId="22769" xr:uid="{00000000-0005-0000-0000-0000F7A80000}"/>
    <cellStyle name="Note 2 2 2 2 2 3 2 2 2 2" xfId="45371" xr:uid="{00000000-0005-0000-0000-0000F8A80000}"/>
    <cellStyle name="Note 2 2 2 2 2 3 2 2 3" xfId="34070" xr:uid="{00000000-0005-0000-0000-0000F9A80000}"/>
    <cellStyle name="Note 2 2 2 2 2 3 2 3" xfId="17119" xr:uid="{00000000-0005-0000-0000-0000FAA80000}"/>
    <cellStyle name="Note 2 2 2 2 2 3 2 3 2" xfId="39721" xr:uid="{00000000-0005-0000-0000-0000FBA80000}"/>
    <cellStyle name="Note 2 2 2 2 2 3 2 4" xfId="28420" xr:uid="{00000000-0005-0000-0000-0000FCA80000}"/>
    <cellStyle name="Note 2 2 2 2 2 3 3" xfId="8635" xr:uid="{00000000-0005-0000-0000-0000FDA80000}"/>
    <cellStyle name="Note 2 2 2 2 2 3 3 2" xfId="19936" xr:uid="{00000000-0005-0000-0000-0000FEA80000}"/>
    <cellStyle name="Note 2 2 2 2 2 3 3 2 2" xfId="42538" xr:uid="{00000000-0005-0000-0000-0000FFA80000}"/>
    <cellStyle name="Note 2 2 2 2 2 3 3 3" xfId="31237" xr:uid="{00000000-0005-0000-0000-000000A90000}"/>
    <cellStyle name="Note 2 2 2 2 2 3 4" xfId="14286" xr:uid="{00000000-0005-0000-0000-000001A90000}"/>
    <cellStyle name="Note 2 2 2 2 2 3 4 2" xfId="36888" xr:uid="{00000000-0005-0000-0000-000002A90000}"/>
    <cellStyle name="Note 2 2 2 2 2 3 5" xfId="25587" xr:uid="{00000000-0005-0000-0000-000003A90000}"/>
    <cellStyle name="Note 2 2 2 2 2 4" xfId="4584" xr:uid="{00000000-0005-0000-0000-000004A90000}"/>
    <cellStyle name="Note 2 2 2 2 2 4 2" xfId="10234" xr:uid="{00000000-0005-0000-0000-000005A90000}"/>
    <cellStyle name="Note 2 2 2 2 2 4 2 2" xfId="21535" xr:uid="{00000000-0005-0000-0000-000006A90000}"/>
    <cellStyle name="Note 2 2 2 2 2 4 2 2 2" xfId="44137" xr:uid="{00000000-0005-0000-0000-000007A90000}"/>
    <cellStyle name="Note 2 2 2 2 2 4 2 3" xfId="32836" xr:uid="{00000000-0005-0000-0000-000008A90000}"/>
    <cellStyle name="Note 2 2 2 2 2 4 3" xfId="15885" xr:uid="{00000000-0005-0000-0000-000009A90000}"/>
    <cellStyle name="Note 2 2 2 2 2 4 3 2" xfId="38487" xr:uid="{00000000-0005-0000-0000-00000AA90000}"/>
    <cellStyle name="Note 2 2 2 2 2 4 4" xfId="27186" xr:uid="{00000000-0005-0000-0000-00000BA90000}"/>
    <cellStyle name="Note 2 2 2 2 2 5" xfId="7380" xr:uid="{00000000-0005-0000-0000-00000CA90000}"/>
    <cellStyle name="Note 2 2 2 2 2 5 2" xfId="18681" xr:uid="{00000000-0005-0000-0000-00000DA90000}"/>
    <cellStyle name="Note 2 2 2 2 2 5 2 2" xfId="41283" xr:uid="{00000000-0005-0000-0000-00000EA90000}"/>
    <cellStyle name="Note 2 2 2 2 2 5 3" xfId="29982" xr:uid="{00000000-0005-0000-0000-00000FA90000}"/>
    <cellStyle name="Note 2 2 2 2 2 6" xfId="13031" xr:uid="{00000000-0005-0000-0000-000010A90000}"/>
    <cellStyle name="Note 2 2 2 2 2 6 2" xfId="35633" xr:uid="{00000000-0005-0000-0000-000011A90000}"/>
    <cellStyle name="Note 2 2 2 2 2 7" xfId="24332" xr:uid="{00000000-0005-0000-0000-000012A90000}"/>
    <cellStyle name="Note 2 2 2 2 3" xfId="1099" xr:uid="{00000000-0005-0000-0000-000013A90000}"/>
    <cellStyle name="Note 2 2 2 2 3 2" xfId="3162" xr:uid="{00000000-0005-0000-0000-000014A90000}"/>
    <cellStyle name="Note 2 2 2 2 3 2 2" xfId="6134" xr:uid="{00000000-0005-0000-0000-000015A90000}"/>
    <cellStyle name="Note 2 2 2 2 3 2 2 2" xfId="11784" xr:uid="{00000000-0005-0000-0000-000016A90000}"/>
    <cellStyle name="Note 2 2 2 2 3 2 2 2 2" xfId="23085" xr:uid="{00000000-0005-0000-0000-000017A90000}"/>
    <cellStyle name="Note 2 2 2 2 3 2 2 2 2 2" xfId="45687" xr:uid="{00000000-0005-0000-0000-000018A90000}"/>
    <cellStyle name="Note 2 2 2 2 3 2 2 2 3" xfId="34386" xr:uid="{00000000-0005-0000-0000-000019A90000}"/>
    <cellStyle name="Note 2 2 2 2 3 2 2 3" xfId="17435" xr:uid="{00000000-0005-0000-0000-00001AA90000}"/>
    <cellStyle name="Note 2 2 2 2 3 2 2 3 2" xfId="40037" xr:uid="{00000000-0005-0000-0000-00001BA90000}"/>
    <cellStyle name="Note 2 2 2 2 3 2 2 4" xfId="28736" xr:uid="{00000000-0005-0000-0000-00001CA90000}"/>
    <cellStyle name="Note 2 2 2 2 3 2 3" xfId="8952" xr:uid="{00000000-0005-0000-0000-00001DA90000}"/>
    <cellStyle name="Note 2 2 2 2 3 2 3 2" xfId="20253" xr:uid="{00000000-0005-0000-0000-00001EA90000}"/>
    <cellStyle name="Note 2 2 2 2 3 2 3 2 2" xfId="42855" xr:uid="{00000000-0005-0000-0000-00001FA90000}"/>
    <cellStyle name="Note 2 2 2 2 3 2 3 3" xfId="31554" xr:uid="{00000000-0005-0000-0000-000020A90000}"/>
    <cellStyle name="Note 2 2 2 2 3 2 4" xfId="14603" xr:uid="{00000000-0005-0000-0000-000021A90000}"/>
    <cellStyle name="Note 2 2 2 2 3 2 4 2" xfId="37205" xr:uid="{00000000-0005-0000-0000-000022A90000}"/>
    <cellStyle name="Note 2 2 2 2 3 2 5" xfId="25904" xr:uid="{00000000-0005-0000-0000-000023A90000}"/>
    <cellStyle name="Note 2 2 2 2 3 3" xfId="4900" xr:uid="{00000000-0005-0000-0000-000024A90000}"/>
    <cellStyle name="Note 2 2 2 2 3 3 2" xfId="10550" xr:uid="{00000000-0005-0000-0000-000025A90000}"/>
    <cellStyle name="Note 2 2 2 2 3 3 2 2" xfId="21851" xr:uid="{00000000-0005-0000-0000-000026A90000}"/>
    <cellStyle name="Note 2 2 2 2 3 3 2 2 2" xfId="44453" xr:uid="{00000000-0005-0000-0000-000027A90000}"/>
    <cellStyle name="Note 2 2 2 2 3 3 2 3" xfId="33152" xr:uid="{00000000-0005-0000-0000-000028A90000}"/>
    <cellStyle name="Note 2 2 2 2 3 3 3" xfId="16201" xr:uid="{00000000-0005-0000-0000-000029A90000}"/>
    <cellStyle name="Note 2 2 2 2 3 3 3 2" xfId="38803" xr:uid="{00000000-0005-0000-0000-00002AA90000}"/>
    <cellStyle name="Note 2 2 2 2 3 3 4" xfId="27502" xr:uid="{00000000-0005-0000-0000-00002BA90000}"/>
    <cellStyle name="Note 2 2 2 2 3 4" xfId="7087" xr:uid="{00000000-0005-0000-0000-00002CA90000}"/>
    <cellStyle name="Note 2 2 2 2 3 4 2" xfId="18388" xr:uid="{00000000-0005-0000-0000-00002DA90000}"/>
    <cellStyle name="Note 2 2 2 2 3 4 2 2" xfId="40990" xr:uid="{00000000-0005-0000-0000-00002EA90000}"/>
    <cellStyle name="Note 2 2 2 2 3 4 3" xfId="29689" xr:uid="{00000000-0005-0000-0000-00002FA90000}"/>
    <cellStyle name="Note 2 2 2 2 3 5" xfId="12738" xr:uid="{00000000-0005-0000-0000-000030A90000}"/>
    <cellStyle name="Note 2 2 2 2 3 5 2" xfId="35340" xr:uid="{00000000-0005-0000-0000-000031A90000}"/>
    <cellStyle name="Note 2 2 2 2 3 6" xfId="24039" xr:uid="{00000000-0005-0000-0000-000032A90000}"/>
    <cellStyle name="Note 2 2 2 2 4" xfId="2128" xr:uid="{00000000-0005-0000-0000-000033A90000}"/>
    <cellStyle name="Note 2 2 2 2 4 2" xfId="3872" xr:uid="{00000000-0005-0000-0000-000034A90000}"/>
    <cellStyle name="Note 2 2 2 2 4 2 2" xfId="9580" xr:uid="{00000000-0005-0000-0000-000035A90000}"/>
    <cellStyle name="Note 2 2 2 2 4 2 2 2" xfId="20881" xr:uid="{00000000-0005-0000-0000-000036A90000}"/>
    <cellStyle name="Note 2 2 2 2 4 2 2 2 2" xfId="43483" xr:uid="{00000000-0005-0000-0000-000037A90000}"/>
    <cellStyle name="Note 2 2 2 2 4 2 2 3" xfId="32182" xr:uid="{00000000-0005-0000-0000-000038A90000}"/>
    <cellStyle name="Note 2 2 2 2 4 2 3" xfId="15231" xr:uid="{00000000-0005-0000-0000-000039A90000}"/>
    <cellStyle name="Note 2 2 2 2 4 2 3 2" xfId="37833" xr:uid="{00000000-0005-0000-0000-00003AA90000}"/>
    <cellStyle name="Note 2 2 2 2 4 2 4" xfId="26532" xr:uid="{00000000-0005-0000-0000-00003BA90000}"/>
    <cellStyle name="Note 2 2 2 2 4 3" xfId="5510" xr:uid="{00000000-0005-0000-0000-00003CA90000}"/>
    <cellStyle name="Note 2 2 2 2 4 3 2" xfId="11160" xr:uid="{00000000-0005-0000-0000-00003DA90000}"/>
    <cellStyle name="Note 2 2 2 2 4 3 2 2" xfId="22461" xr:uid="{00000000-0005-0000-0000-00003EA90000}"/>
    <cellStyle name="Note 2 2 2 2 4 3 2 2 2" xfId="45063" xr:uid="{00000000-0005-0000-0000-00003FA90000}"/>
    <cellStyle name="Note 2 2 2 2 4 3 2 3" xfId="33762" xr:uid="{00000000-0005-0000-0000-000040A90000}"/>
    <cellStyle name="Note 2 2 2 2 4 3 3" xfId="16811" xr:uid="{00000000-0005-0000-0000-000041A90000}"/>
    <cellStyle name="Note 2 2 2 2 4 3 3 2" xfId="39413" xr:uid="{00000000-0005-0000-0000-000042A90000}"/>
    <cellStyle name="Note 2 2 2 2 4 3 4" xfId="28112" xr:uid="{00000000-0005-0000-0000-000043A90000}"/>
    <cellStyle name="Note 2 2 2 2 4 4" xfId="7984" xr:uid="{00000000-0005-0000-0000-000044A90000}"/>
    <cellStyle name="Note 2 2 2 2 4 4 2" xfId="19285" xr:uid="{00000000-0005-0000-0000-000045A90000}"/>
    <cellStyle name="Note 2 2 2 2 4 4 2 2" xfId="41887" xr:uid="{00000000-0005-0000-0000-000046A90000}"/>
    <cellStyle name="Note 2 2 2 2 4 4 3" xfId="30586" xr:uid="{00000000-0005-0000-0000-000047A90000}"/>
    <cellStyle name="Note 2 2 2 2 4 5" xfId="13635" xr:uid="{00000000-0005-0000-0000-000048A90000}"/>
    <cellStyle name="Note 2 2 2 2 4 5 2" xfId="36237" xr:uid="{00000000-0005-0000-0000-000049A90000}"/>
    <cellStyle name="Note 2 2 2 2 4 6" xfId="24936" xr:uid="{00000000-0005-0000-0000-00004AA90000}"/>
    <cellStyle name="Note 2 2 2 2 5" xfId="2491" xr:uid="{00000000-0005-0000-0000-00004BA90000}"/>
    <cellStyle name="Note 2 2 2 2 5 2" xfId="8327" xr:uid="{00000000-0005-0000-0000-00004CA90000}"/>
    <cellStyle name="Note 2 2 2 2 5 2 2" xfId="19628" xr:uid="{00000000-0005-0000-0000-00004DA90000}"/>
    <cellStyle name="Note 2 2 2 2 5 2 2 2" xfId="42230" xr:uid="{00000000-0005-0000-0000-00004EA90000}"/>
    <cellStyle name="Note 2 2 2 2 5 2 3" xfId="30929" xr:uid="{00000000-0005-0000-0000-00004FA90000}"/>
    <cellStyle name="Note 2 2 2 2 5 3" xfId="13978" xr:uid="{00000000-0005-0000-0000-000050A90000}"/>
    <cellStyle name="Note 2 2 2 2 5 3 2" xfId="36580" xr:uid="{00000000-0005-0000-0000-000051A90000}"/>
    <cellStyle name="Note 2 2 2 2 5 4" xfId="25279" xr:uid="{00000000-0005-0000-0000-000052A90000}"/>
    <cellStyle name="Note 2 2 2 2 6" xfId="4276" xr:uid="{00000000-0005-0000-0000-000053A90000}"/>
    <cellStyle name="Note 2 2 2 2 6 2" xfId="9926" xr:uid="{00000000-0005-0000-0000-000054A90000}"/>
    <cellStyle name="Note 2 2 2 2 6 2 2" xfId="21227" xr:uid="{00000000-0005-0000-0000-000055A90000}"/>
    <cellStyle name="Note 2 2 2 2 6 2 2 2" xfId="43829" xr:uid="{00000000-0005-0000-0000-000056A90000}"/>
    <cellStyle name="Note 2 2 2 2 6 2 3" xfId="32528" xr:uid="{00000000-0005-0000-0000-000057A90000}"/>
    <cellStyle name="Note 2 2 2 2 6 3" xfId="15577" xr:uid="{00000000-0005-0000-0000-000058A90000}"/>
    <cellStyle name="Note 2 2 2 2 6 3 2" xfId="38179" xr:uid="{00000000-0005-0000-0000-000059A90000}"/>
    <cellStyle name="Note 2 2 2 2 6 4" xfId="26878" xr:uid="{00000000-0005-0000-0000-00005AA90000}"/>
    <cellStyle name="Note 2 2 2 2 7" xfId="6756" xr:uid="{00000000-0005-0000-0000-00005BA90000}"/>
    <cellStyle name="Note 2 2 2 2 7 2" xfId="18057" xr:uid="{00000000-0005-0000-0000-00005CA90000}"/>
    <cellStyle name="Note 2 2 2 2 7 2 2" xfId="40659" xr:uid="{00000000-0005-0000-0000-00005DA90000}"/>
    <cellStyle name="Note 2 2 2 2 7 3" xfId="29358" xr:uid="{00000000-0005-0000-0000-00005EA90000}"/>
    <cellStyle name="Note 2 2 2 2 8" xfId="12407" xr:uid="{00000000-0005-0000-0000-00005FA90000}"/>
    <cellStyle name="Note 2 2 2 2 8 2" xfId="35009" xr:uid="{00000000-0005-0000-0000-000060A90000}"/>
    <cellStyle name="Note 2 2 2 2 9" xfId="23708" xr:uid="{00000000-0005-0000-0000-000061A90000}"/>
    <cellStyle name="Note 2 2 2 3" xfId="1263" xr:uid="{00000000-0005-0000-0000-000062A90000}"/>
    <cellStyle name="Note 2 2 2 3 2" xfId="2130" xr:uid="{00000000-0005-0000-0000-000063A90000}"/>
    <cellStyle name="Note 2 2 2 3 2 2" xfId="3331" xr:uid="{00000000-0005-0000-0000-000064A90000}"/>
    <cellStyle name="Note 2 2 2 3 2 2 2" xfId="6303" xr:uid="{00000000-0005-0000-0000-000065A90000}"/>
    <cellStyle name="Note 2 2 2 3 2 2 2 2" xfId="11953" xr:uid="{00000000-0005-0000-0000-000066A90000}"/>
    <cellStyle name="Note 2 2 2 3 2 2 2 2 2" xfId="23254" xr:uid="{00000000-0005-0000-0000-000067A90000}"/>
    <cellStyle name="Note 2 2 2 3 2 2 2 2 2 2" xfId="45856" xr:uid="{00000000-0005-0000-0000-000068A90000}"/>
    <cellStyle name="Note 2 2 2 3 2 2 2 2 3" xfId="34555" xr:uid="{00000000-0005-0000-0000-000069A90000}"/>
    <cellStyle name="Note 2 2 2 3 2 2 2 3" xfId="17604" xr:uid="{00000000-0005-0000-0000-00006AA90000}"/>
    <cellStyle name="Note 2 2 2 3 2 2 2 3 2" xfId="40206" xr:uid="{00000000-0005-0000-0000-00006BA90000}"/>
    <cellStyle name="Note 2 2 2 3 2 2 2 4" xfId="28905" xr:uid="{00000000-0005-0000-0000-00006CA90000}"/>
    <cellStyle name="Note 2 2 2 3 2 2 3" xfId="9121" xr:uid="{00000000-0005-0000-0000-00006DA90000}"/>
    <cellStyle name="Note 2 2 2 3 2 2 3 2" xfId="20422" xr:uid="{00000000-0005-0000-0000-00006EA90000}"/>
    <cellStyle name="Note 2 2 2 3 2 2 3 2 2" xfId="43024" xr:uid="{00000000-0005-0000-0000-00006FA90000}"/>
    <cellStyle name="Note 2 2 2 3 2 2 3 3" xfId="31723" xr:uid="{00000000-0005-0000-0000-000070A90000}"/>
    <cellStyle name="Note 2 2 2 3 2 2 4" xfId="14772" xr:uid="{00000000-0005-0000-0000-000071A90000}"/>
    <cellStyle name="Note 2 2 2 3 2 2 4 2" xfId="37374" xr:uid="{00000000-0005-0000-0000-000072A90000}"/>
    <cellStyle name="Note 2 2 2 3 2 2 5" xfId="26073" xr:uid="{00000000-0005-0000-0000-000073A90000}"/>
    <cellStyle name="Note 2 2 2 3 2 3" xfId="5069" xr:uid="{00000000-0005-0000-0000-000074A90000}"/>
    <cellStyle name="Note 2 2 2 3 2 3 2" xfId="10719" xr:uid="{00000000-0005-0000-0000-000075A90000}"/>
    <cellStyle name="Note 2 2 2 3 2 3 2 2" xfId="22020" xr:uid="{00000000-0005-0000-0000-000076A90000}"/>
    <cellStyle name="Note 2 2 2 3 2 3 2 2 2" xfId="44622" xr:uid="{00000000-0005-0000-0000-000077A90000}"/>
    <cellStyle name="Note 2 2 2 3 2 3 2 3" xfId="33321" xr:uid="{00000000-0005-0000-0000-000078A90000}"/>
    <cellStyle name="Note 2 2 2 3 2 3 3" xfId="16370" xr:uid="{00000000-0005-0000-0000-000079A90000}"/>
    <cellStyle name="Note 2 2 2 3 2 3 3 2" xfId="38972" xr:uid="{00000000-0005-0000-0000-00007AA90000}"/>
    <cellStyle name="Note 2 2 2 3 2 3 4" xfId="27671" xr:uid="{00000000-0005-0000-0000-00007BA90000}"/>
    <cellStyle name="Note 2 2 2 3 2 4" xfId="7986" xr:uid="{00000000-0005-0000-0000-00007CA90000}"/>
    <cellStyle name="Note 2 2 2 3 2 4 2" xfId="19287" xr:uid="{00000000-0005-0000-0000-00007DA90000}"/>
    <cellStyle name="Note 2 2 2 3 2 4 2 2" xfId="41889" xr:uid="{00000000-0005-0000-0000-00007EA90000}"/>
    <cellStyle name="Note 2 2 2 3 2 4 3" xfId="30588" xr:uid="{00000000-0005-0000-0000-00007FA90000}"/>
    <cellStyle name="Note 2 2 2 3 2 5" xfId="13637" xr:uid="{00000000-0005-0000-0000-000080A90000}"/>
    <cellStyle name="Note 2 2 2 3 2 5 2" xfId="36239" xr:uid="{00000000-0005-0000-0000-000081A90000}"/>
    <cellStyle name="Note 2 2 2 3 2 6" xfId="24938" xr:uid="{00000000-0005-0000-0000-000082A90000}"/>
    <cellStyle name="Note 2 2 2 3 3" xfId="2660" xr:uid="{00000000-0005-0000-0000-000083A90000}"/>
    <cellStyle name="Note 2 2 2 3 3 2" xfId="5679" xr:uid="{00000000-0005-0000-0000-000084A90000}"/>
    <cellStyle name="Note 2 2 2 3 3 2 2" xfId="11329" xr:uid="{00000000-0005-0000-0000-000085A90000}"/>
    <cellStyle name="Note 2 2 2 3 3 2 2 2" xfId="22630" xr:uid="{00000000-0005-0000-0000-000086A90000}"/>
    <cellStyle name="Note 2 2 2 3 3 2 2 2 2" xfId="45232" xr:uid="{00000000-0005-0000-0000-000087A90000}"/>
    <cellStyle name="Note 2 2 2 3 3 2 2 3" xfId="33931" xr:uid="{00000000-0005-0000-0000-000088A90000}"/>
    <cellStyle name="Note 2 2 2 3 3 2 3" xfId="16980" xr:uid="{00000000-0005-0000-0000-000089A90000}"/>
    <cellStyle name="Note 2 2 2 3 3 2 3 2" xfId="39582" xr:uid="{00000000-0005-0000-0000-00008AA90000}"/>
    <cellStyle name="Note 2 2 2 3 3 2 4" xfId="28281" xr:uid="{00000000-0005-0000-0000-00008BA90000}"/>
    <cellStyle name="Note 2 2 2 3 3 3" xfId="8496" xr:uid="{00000000-0005-0000-0000-00008CA90000}"/>
    <cellStyle name="Note 2 2 2 3 3 3 2" xfId="19797" xr:uid="{00000000-0005-0000-0000-00008DA90000}"/>
    <cellStyle name="Note 2 2 2 3 3 3 2 2" xfId="42399" xr:uid="{00000000-0005-0000-0000-00008EA90000}"/>
    <cellStyle name="Note 2 2 2 3 3 3 3" xfId="31098" xr:uid="{00000000-0005-0000-0000-00008FA90000}"/>
    <cellStyle name="Note 2 2 2 3 3 4" xfId="14147" xr:uid="{00000000-0005-0000-0000-000090A90000}"/>
    <cellStyle name="Note 2 2 2 3 3 4 2" xfId="36749" xr:uid="{00000000-0005-0000-0000-000091A90000}"/>
    <cellStyle name="Note 2 2 2 3 3 5" xfId="25448" xr:uid="{00000000-0005-0000-0000-000092A90000}"/>
    <cellStyle name="Note 2 2 2 3 4" xfId="4445" xr:uid="{00000000-0005-0000-0000-000093A90000}"/>
    <cellStyle name="Note 2 2 2 3 4 2" xfId="10095" xr:uid="{00000000-0005-0000-0000-000094A90000}"/>
    <cellStyle name="Note 2 2 2 3 4 2 2" xfId="21396" xr:uid="{00000000-0005-0000-0000-000095A90000}"/>
    <cellStyle name="Note 2 2 2 3 4 2 2 2" xfId="43998" xr:uid="{00000000-0005-0000-0000-000096A90000}"/>
    <cellStyle name="Note 2 2 2 3 4 2 3" xfId="32697" xr:uid="{00000000-0005-0000-0000-000097A90000}"/>
    <cellStyle name="Note 2 2 2 3 4 3" xfId="15746" xr:uid="{00000000-0005-0000-0000-000098A90000}"/>
    <cellStyle name="Note 2 2 2 3 4 3 2" xfId="38348" xr:uid="{00000000-0005-0000-0000-000099A90000}"/>
    <cellStyle name="Note 2 2 2 3 4 4" xfId="27047" xr:uid="{00000000-0005-0000-0000-00009AA90000}"/>
    <cellStyle name="Note 2 2 2 3 5" xfId="7242" xr:uid="{00000000-0005-0000-0000-00009BA90000}"/>
    <cellStyle name="Note 2 2 2 3 5 2" xfId="18543" xr:uid="{00000000-0005-0000-0000-00009CA90000}"/>
    <cellStyle name="Note 2 2 2 3 5 2 2" xfId="41145" xr:uid="{00000000-0005-0000-0000-00009DA90000}"/>
    <cellStyle name="Note 2 2 2 3 5 3" xfId="29844" xr:uid="{00000000-0005-0000-0000-00009EA90000}"/>
    <cellStyle name="Note 2 2 2 3 6" xfId="12893" xr:uid="{00000000-0005-0000-0000-00009FA90000}"/>
    <cellStyle name="Note 2 2 2 3 6 2" xfId="35495" xr:uid="{00000000-0005-0000-0000-0000A0A90000}"/>
    <cellStyle name="Note 2 2 2 3 7" xfId="24194" xr:uid="{00000000-0005-0000-0000-0000A1A90000}"/>
    <cellStyle name="Note 2 2 2 4" xfId="954" xr:uid="{00000000-0005-0000-0000-0000A2A90000}"/>
    <cellStyle name="Note 2 2 2 4 2" xfId="3024" xr:uid="{00000000-0005-0000-0000-0000A3A90000}"/>
    <cellStyle name="Note 2 2 2 4 2 2" xfId="5996" xr:uid="{00000000-0005-0000-0000-0000A4A90000}"/>
    <cellStyle name="Note 2 2 2 4 2 2 2" xfId="11646" xr:uid="{00000000-0005-0000-0000-0000A5A90000}"/>
    <cellStyle name="Note 2 2 2 4 2 2 2 2" xfId="22947" xr:uid="{00000000-0005-0000-0000-0000A6A90000}"/>
    <cellStyle name="Note 2 2 2 4 2 2 2 2 2" xfId="45549" xr:uid="{00000000-0005-0000-0000-0000A7A90000}"/>
    <cellStyle name="Note 2 2 2 4 2 2 2 3" xfId="34248" xr:uid="{00000000-0005-0000-0000-0000A8A90000}"/>
    <cellStyle name="Note 2 2 2 4 2 2 3" xfId="17297" xr:uid="{00000000-0005-0000-0000-0000A9A90000}"/>
    <cellStyle name="Note 2 2 2 4 2 2 3 2" xfId="39899" xr:uid="{00000000-0005-0000-0000-0000AAA90000}"/>
    <cellStyle name="Note 2 2 2 4 2 2 4" xfId="28598" xr:uid="{00000000-0005-0000-0000-0000ABA90000}"/>
    <cellStyle name="Note 2 2 2 4 2 3" xfId="8814" xr:uid="{00000000-0005-0000-0000-0000ACA90000}"/>
    <cellStyle name="Note 2 2 2 4 2 3 2" xfId="20115" xr:uid="{00000000-0005-0000-0000-0000ADA90000}"/>
    <cellStyle name="Note 2 2 2 4 2 3 2 2" xfId="42717" xr:uid="{00000000-0005-0000-0000-0000AEA90000}"/>
    <cellStyle name="Note 2 2 2 4 2 3 3" xfId="31416" xr:uid="{00000000-0005-0000-0000-0000AFA90000}"/>
    <cellStyle name="Note 2 2 2 4 2 4" xfId="14465" xr:uid="{00000000-0005-0000-0000-0000B0A90000}"/>
    <cellStyle name="Note 2 2 2 4 2 4 2" xfId="37067" xr:uid="{00000000-0005-0000-0000-0000B1A90000}"/>
    <cellStyle name="Note 2 2 2 4 2 5" xfId="25766" xr:uid="{00000000-0005-0000-0000-0000B2A90000}"/>
    <cellStyle name="Note 2 2 2 4 3" xfId="4762" xr:uid="{00000000-0005-0000-0000-0000B3A90000}"/>
    <cellStyle name="Note 2 2 2 4 3 2" xfId="10412" xr:uid="{00000000-0005-0000-0000-0000B4A90000}"/>
    <cellStyle name="Note 2 2 2 4 3 2 2" xfId="21713" xr:uid="{00000000-0005-0000-0000-0000B5A90000}"/>
    <cellStyle name="Note 2 2 2 4 3 2 2 2" xfId="44315" xr:uid="{00000000-0005-0000-0000-0000B6A90000}"/>
    <cellStyle name="Note 2 2 2 4 3 2 3" xfId="33014" xr:uid="{00000000-0005-0000-0000-0000B7A90000}"/>
    <cellStyle name="Note 2 2 2 4 3 3" xfId="16063" xr:uid="{00000000-0005-0000-0000-0000B8A90000}"/>
    <cellStyle name="Note 2 2 2 4 3 3 2" xfId="38665" xr:uid="{00000000-0005-0000-0000-0000B9A90000}"/>
    <cellStyle name="Note 2 2 2 4 3 4" xfId="27364" xr:uid="{00000000-0005-0000-0000-0000BAA90000}"/>
    <cellStyle name="Note 2 2 2 4 4" xfId="6949" xr:uid="{00000000-0005-0000-0000-0000BBA90000}"/>
    <cellStyle name="Note 2 2 2 4 4 2" xfId="18250" xr:uid="{00000000-0005-0000-0000-0000BCA90000}"/>
    <cellStyle name="Note 2 2 2 4 4 2 2" xfId="40852" xr:uid="{00000000-0005-0000-0000-0000BDA90000}"/>
    <cellStyle name="Note 2 2 2 4 4 3" xfId="29551" xr:uid="{00000000-0005-0000-0000-0000BEA90000}"/>
    <cellStyle name="Note 2 2 2 4 5" xfId="12600" xr:uid="{00000000-0005-0000-0000-0000BFA90000}"/>
    <cellStyle name="Note 2 2 2 4 5 2" xfId="35202" xr:uid="{00000000-0005-0000-0000-0000C0A90000}"/>
    <cellStyle name="Note 2 2 2 4 6" xfId="23901" xr:uid="{00000000-0005-0000-0000-0000C1A90000}"/>
    <cellStyle name="Note 2 2 2 5" xfId="2127" xr:uid="{00000000-0005-0000-0000-0000C2A90000}"/>
    <cellStyle name="Note 2 2 2 5 2" xfId="3871" xr:uid="{00000000-0005-0000-0000-0000C3A90000}"/>
    <cellStyle name="Note 2 2 2 5 2 2" xfId="9579" xr:uid="{00000000-0005-0000-0000-0000C4A90000}"/>
    <cellStyle name="Note 2 2 2 5 2 2 2" xfId="20880" xr:uid="{00000000-0005-0000-0000-0000C5A90000}"/>
    <cellStyle name="Note 2 2 2 5 2 2 2 2" xfId="43482" xr:uid="{00000000-0005-0000-0000-0000C6A90000}"/>
    <cellStyle name="Note 2 2 2 5 2 2 3" xfId="32181" xr:uid="{00000000-0005-0000-0000-0000C7A90000}"/>
    <cellStyle name="Note 2 2 2 5 2 3" xfId="15230" xr:uid="{00000000-0005-0000-0000-0000C8A90000}"/>
    <cellStyle name="Note 2 2 2 5 2 3 2" xfId="37832" xr:uid="{00000000-0005-0000-0000-0000C9A90000}"/>
    <cellStyle name="Note 2 2 2 5 2 4" xfId="26531" xr:uid="{00000000-0005-0000-0000-0000CAA90000}"/>
    <cellStyle name="Note 2 2 2 5 3" xfId="5372" xr:uid="{00000000-0005-0000-0000-0000CBA90000}"/>
    <cellStyle name="Note 2 2 2 5 3 2" xfId="11022" xr:uid="{00000000-0005-0000-0000-0000CCA90000}"/>
    <cellStyle name="Note 2 2 2 5 3 2 2" xfId="22323" xr:uid="{00000000-0005-0000-0000-0000CDA90000}"/>
    <cellStyle name="Note 2 2 2 5 3 2 2 2" xfId="44925" xr:uid="{00000000-0005-0000-0000-0000CEA90000}"/>
    <cellStyle name="Note 2 2 2 5 3 2 3" xfId="33624" xr:uid="{00000000-0005-0000-0000-0000CFA90000}"/>
    <cellStyle name="Note 2 2 2 5 3 3" xfId="16673" xr:uid="{00000000-0005-0000-0000-0000D0A90000}"/>
    <cellStyle name="Note 2 2 2 5 3 3 2" xfId="39275" xr:uid="{00000000-0005-0000-0000-0000D1A90000}"/>
    <cellStyle name="Note 2 2 2 5 3 4" xfId="27974" xr:uid="{00000000-0005-0000-0000-0000D2A90000}"/>
    <cellStyle name="Note 2 2 2 5 4" xfId="7983" xr:uid="{00000000-0005-0000-0000-0000D3A90000}"/>
    <cellStyle name="Note 2 2 2 5 4 2" xfId="19284" xr:uid="{00000000-0005-0000-0000-0000D4A90000}"/>
    <cellStyle name="Note 2 2 2 5 4 2 2" xfId="41886" xr:uid="{00000000-0005-0000-0000-0000D5A90000}"/>
    <cellStyle name="Note 2 2 2 5 4 3" xfId="30585" xr:uid="{00000000-0005-0000-0000-0000D6A90000}"/>
    <cellStyle name="Note 2 2 2 5 5" xfId="13634" xr:uid="{00000000-0005-0000-0000-0000D7A90000}"/>
    <cellStyle name="Note 2 2 2 5 5 2" xfId="36236" xr:uid="{00000000-0005-0000-0000-0000D8A90000}"/>
    <cellStyle name="Note 2 2 2 5 6" xfId="24935" xr:uid="{00000000-0005-0000-0000-0000D9A90000}"/>
    <cellStyle name="Note 2 2 2 6" xfId="2351" xr:uid="{00000000-0005-0000-0000-0000DAA90000}"/>
    <cellStyle name="Note 2 2 2 6 2" xfId="8187" xr:uid="{00000000-0005-0000-0000-0000DBA90000}"/>
    <cellStyle name="Note 2 2 2 6 2 2" xfId="19488" xr:uid="{00000000-0005-0000-0000-0000DCA90000}"/>
    <cellStyle name="Note 2 2 2 6 2 2 2" xfId="42090" xr:uid="{00000000-0005-0000-0000-0000DDA90000}"/>
    <cellStyle name="Note 2 2 2 6 2 3" xfId="30789" xr:uid="{00000000-0005-0000-0000-0000DEA90000}"/>
    <cellStyle name="Note 2 2 2 6 3" xfId="13838" xr:uid="{00000000-0005-0000-0000-0000DFA90000}"/>
    <cellStyle name="Note 2 2 2 6 3 2" xfId="36440" xr:uid="{00000000-0005-0000-0000-0000E0A90000}"/>
    <cellStyle name="Note 2 2 2 6 4" xfId="25139" xr:uid="{00000000-0005-0000-0000-0000E1A90000}"/>
    <cellStyle name="Note 2 2 2 7" xfId="4138" xr:uid="{00000000-0005-0000-0000-0000E2A90000}"/>
    <cellStyle name="Note 2 2 2 7 2" xfId="9788" xr:uid="{00000000-0005-0000-0000-0000E3A90000}"/>
    <cellStyle name="Note 2 2 2 7 2 2" xfId="21089" xr:uid="{00000000-0005-0000-0000-0000E4A90000}"/>
    <cellStyle name="Note 2 2 2 7 2 2 2" xfId="43691" xr:uid="{00000000-0005-0000-0000-0000E5A90000}"/>
    <cellStyle name="Note 2 2 2 7 2 3" xfId="32390" xr:uid="{00000000-0005-0000-0000-0000E6A90000}"/>
    <cellStyle name="Note 2 2 2 7 3" xfId="15439" xr:uid="{00000000-0005-0000-0000-0000E7A90000}"/>
    <cellStyle name="Note 2 2 2 7 3 2" xfId="38041" xr:uid="{00000000-0005-0000-0000-0000E8A90000}"/>
    <cellStyle name="Note 2 2 2 7 4" xfId="26740" xr:uid="{00000000-0005-0000-0000-0000E9A90000}"/>
    <cellStyle name="Note 2 2 2 8" xfId="6589" xr:uid="{00000000-0005-0000-0000-0000EAA90000}"/>
    <cellStyle name="Note 2 2 2 8 2" xfId="17890" xr:uid="{00000000-0005-0000-0000-0000EBA90000}"/>
    <cellStyle name="Note 2 2 2 8 2 2" xfId="40492" xr:uid="{00000000-0005-0000-0000-0000ECA90000}"/>
    <cellStyle name="Note 2 2 2 8 3" xfId="29191" xr:uid="{00000000-0005-0000-0000-0000EDA90000}"/>
    <cellStyle name="Note 2 2 2 9" xfId="12240" xr:uid="{00000000-0005-0000-0000-0000EEA90000}"/>
    <cellStyle name="Note 2 2 2 9 2" xfId="34842" xr:uid="{00000000-0005-0000-0000-0000EFA90000}"/>
    <cellStyle name="Note 2 2 3" xfId="595" xr:uid="{00000000-0005-0000-0000-0000F0A90000}"/>
    <cellStyle name="Note 2 2 3 2" xfId="1168" xr:uid="{00000000-0005-0000-0000-0000F1A90000}"/>
    <cellStyle name="Note 2 2 3 2 2" xfId="2132" xr:uid="{00000000-0005-0000-0000-0000F2A90000}"/>
    <cellStyle name="Note 2 2 3 2 2 2" xfId="3236" xr:uid="{00000000-0005-0000-0000-0000F3A90000}"/>
    <cellStyle name="Note 2 2 3 2 2 2 2" xfId="6208" xr:uid="{00000000-0005-0000-0000-0000F4A90000}"/>
    <cellStyle name="Note 2 2 3 2 2 2 2 2" xfId="11858" xr:uid="{00000000-0005-0000-0000-0000F5A90000}"/>
    <cellStyle name="Note 2 2 3 2 2 2 2 2 2" xfId="23159" xr:uid="{00000000-0005-0000-0000-0000F6A90000}"/>
    <cellStyle name="Note 2 2 3 2 2 2 2 2 2 2" xfId="45761" xr:uid="{00000000-0005-0000-0000-0000F7A90000}"/>
    <cellStyle name="Note 2 2 3 2 2 2 2 2 3" xfId="34460" xr:uid="{00000000-0005-0000-0000-0000F8A90000}"/>
    <cellStyle name="Note 2 2 3 2 2 2 2 3" xfId="17509" xr:uid="{00000000-0005-0000-0000-0000F9A90000}"/>
    <cellStyle name="Note 2 2 3 2 2 2 2 3 2" xfId="40111" xr:uid="{00000000-0005-0000-0000-0000FAA90000}"/>
    <cellStyle name="Note 2 2 3 2 2 2 2 4" xfId="28810" xr:uid="{00000000-0005-0000-0000-0000FBA90000}"/>
    <cellStyle name="Note 2 2 3 2 2 2 3" xfId="9026" xr:uid="{00000000-0005-0000-0000-0000FCA90000}"/>
    <cellStyle name="Note 2 2 3 2 2 2 3 2" xfId="20327" xr:uid="{00000000-0005-0000-0000-0000FDA90000}"/>
    <cellStyle name="Note 2 2 3 2 2 2 3 2 2" xfId="42929" xr:uid="{00000000-0005-0000-0000-0000FEA90000}"/>
    <cellStyle name="Note 2 2 3 2 2 2 3 3" xfId="31628" xr:uid="{00000000-0005-0000-0000-0000FFA90000}"/>
    <cellStyle name="Note 2 2 3 2 2 2 4" xfId="14677" xr:uid="{00000000-0005-0000-0000-000000AA0000}"/>
    <cellStyle name="Note 2 2 3 2 2 2 4 2" xfId="37279" xr:uid="{00000000-0005-0000-0000-000001AA0000}"/>
    <cellStyle name="Note 2 2 3 2 2 2 5" xfId="25978" xr:uid="{00000000-0005-0000-0000-000002AA0000}"/>
    <cellStyle name="Note 2 2 3 2 2 3" xfId="4974" xr:uid="{00000000-0005-0000-0000-000003AA0000}"/>
    <cellStyle name="Note 2 2 3 2 2 3 2" xfId="10624" xr:uid="{00000000-0005-0000-0000-000004AA0000}"/>
    <cellStyle name="Note 2 2 3 2 2 3 2 2" xfId="21925" xr:uid="{00000000-0005-0000-0000-000005AA0000}"/>
    <cellStyle name="Note 2 2 3 2 2 3 2 2 2" xfId="44527" xr:uid="{00000000-0005-0000-0000-000006AA0000}"/>
    <cellStyle name="Note 2 2 3 2 2 3 2 3" xfId="33226" xr:uid="{00000000-0005-0000-0000-000007AA0000}"/>
    <cellStyle name="Note 2 2 3 2 2 3 3" xfId="16275" xr:uid="{00000000-0005-0000-0000-000008AA0000}"/>
    <cellStyle name="Note 2 2 3 2 2 3 3 2" xfId="38877" xr:uid="{00000000-0005-0000-0000-000009AA0000}"/>
    <cellStyle name="Note 2 2 3 2 2 3 4" xfId="27576" xr:uid="{00000000-0005-0000-0000-00000AAA0000}"/>
    <cellStyle name="Note 2 2 3 2 2 4" xfId="7988" xr:uid="{00000000-0005-0000-0000-00000BAA0000}"/>
    <cellStyle name="Note 2 2 3 2 2 4 2" xfId="19289" xr:uid="{00000000-0005-0000-0000-00000CAA0000}"/>
    <cellStyle name="Note 2 2 3 2 2 4 2 2" xfId="41891" xr:uid="{00000000-0005-0000-0000-00000DAA0000}"/>
    <cellStyle name="Note 2 2 3 2 2 4 3" xfId="30590" xr:uid="{00000000-0005-0000-0000-00000EAA0000}"/>
    <cellStyle name="Note 2 2 3 2 2 5" xfId="13639" xr:uid="{00000000-0005-0000-0000-00000FAA0000}"/>
    <cellStyle name="Note 2 2 3 2 2 5 2" xfId="36241" xr:uid="{00000000-0005-0000-0000-000010AA0000}"/>
    <cellStyle name="Note 2 2 3 2 2 6" xfId="24940" xr:uid="{00000000-0005-0000-0000-000011AA0000}"/>
    <cellStyle name="Note 2 2 3 2 3" xfId="2565" xr:uid="{00000000-0005-0000-0000-000012AA0000}"/>
    <cellStyle name="Note 2 2 3 2 3 2" xfId="5584" xr:uid="{00000000-0005-0000-0000-000013AA0000}"/>
    <cellStyle name="Note 2 2 3 2 3 2 2" xfId="11234" xr:uid="{00000000-0005-0000-0000-000014AA0000}"/>
    <cellStyle name="Note 2 2 3 2 3 2 2 2" xfId="22535" xr:uid="{00000000-0005-0000-0000-000015AA0000}"/>
    <cellStyle name="Note 2 2 3 2 3 2 2 2 2" xfId="45137" xr:uid="{00000000-0005-0000-0000-000016AA0000}"/>
    <cellStyle name="Note 2 2 3 2 3 2 2 3" xfId="33836" xr:uid="{00000000-0005-0000-0000-000017AA0000}"/>
    <cellStyle name="Note 2 2 3 2 3 2 3" xfId="16885" xr:uid="{00000000-0005-0000-0000-000018AA0000}"/>
    <cellStyle name="Note 2 2 3 2 3 2 3 2" xfId="39487" xr:uid="{00000000-0005-0000-0000-000019AA0000}"/>
    <cellStyle name="Note 2 2 3 2 3 2 4" xfId="28186" xr:uid="{00000000-0005-0000-0000-00001AAA0000}"/>
    <cellStyle name="Note 2 2 3 2 3 3" xfId="8401" xr:uid="{00000000-0005-0000-0000-00001BAA0000}"/>
    <cellStyle name="Note 2 2 3 2 3 3 2" xfId="19702" xr:uid="{00000000-0005-0000-0000-00001CAA0000}"/>
    <cellStyle name="Note 2 2 3 2 3 3 2 2" xfId="42304" xr:uid="{00000000-0005-0000-0000-00001DAA0000}"/>
    <cellStyle name="Note 2 2 3 2 3 3 3" xfId="31003" xr:uid="{00000000-0005-0000-0000-00001EAA0000}"/>
    <cellStyle name="Note 2 2 3 2 3 4" xfId="14052" xr:uid="{00000000-0005-0000-0000-00001FAA0000}"/>
    <cellStyle name="Note 2 2 3 2 3 4 2" xfId="36654" xr:uid="{00000000-0005-0000-0000-000020AA0000}"/>
    <cellStyle name="Note 2 2 3 2 3 5" xfId="25353" xr:uid="{00000000-0005-0000-0000-000021AA0000}"/>
    <cellStyle name="Note 2 2 3 2 4" xfId="4350" xr:uid="{00000000-0005-0000-0000-000022AA0000}"/>
    <cellStyle name="Note 2 2 3 2 4 2" xfId="10000" xr:uid="{00000000-0005-0000-0000-000023AA0000}"/>
    <cellStyle name="Note 2 2 3 2 4 2 2" xfId="21301" xr:uid="{00000000-0005-0000-0000-000024AA0000}"/>
    <cellStyle name="Note 2 2 3 2 4 2 2 2" xfId="43903" xr:uid="{00000000-0005-0000-0000-000025AA0000}"/>
    <cellStyle name="Note 2 2 3 2 4 2 3" xfId="32602" xr:uid="{00000000-0005-0000-0000-000026AA0000}"/>
    <cellStyle name="Note 2 2 3 2 4 3" xfId="15651" xr:uid="{00000000-0005-0000-0000-000027AA0000}"/>
    <cellStyle name="Note 2 2 3 2 4 3 2" xfId="38253" xr:uid="{00000000-0005-0000-0000-000028AA0000}"/>
    <cellStyle name="Note 2 2 3 2 4 4" xfId="26952" xr:uid="{00000000-0005-0000-0000-000029AA0000}"/>
    <cellStyle name="Note 2 2 3 2 5" xfId="7147" xr:uid="{00000000-0005-0000-0000-00002AAA0000}"/>
    <cellStyle name="Note 2 2 3 2 5 2" xfId="18448" xr:uid="{00000000-0005-0000-0000-00002BAA0000}"/>
    <cellStyle name="Note 2 2 3 2 5 2 2" xfId="41050" xr:uid="{00000000-0005-0000-0000-00002CAA0000}"/>
    <cellStyle name="Note 2 2 3 2 5 3" xfId="29749" xr:uid="{00000000-0005-0000-0000-00002DAA0000}"/>
    <cellStyle name="Note 2 2 3 2 6" xfId="12798" xr:uid="{00000000-0005-0000-0000-00002EAA0000}"/>
    <cellStyle name="Note 2 2 3 2 6 2" xfId="35400" xr:uid="{00000000-0005-0000-0000-00002FAA0000}"/>
    <cellStyle name="Note 2 2 3 2 7" xfId="24099" xr:uid="{00000000-0005-0000-0000-000030AA0000}"/>
    <cellStyle name="Note 2 2 3 3" xfId="848" xr:uid="{00000000-0005-0000-0000-000031AA0000}"/>
    <cellStyle name="Note 2 2 3 3 2" xfId="2929" xr:uid="{00000000-0005-0000-0000-000032AA0000}"/>
    <cellStyle name="Note 2 2 3 3 2 2" xfId="5901" xr:uid="{00000000-0005-0000-0000-000033AA0000}"/>
    <cellStyle name="Note 2 2 3 3 2 2 2" xfId="11551" xr:uid="{00000000-0005-0000-0000-000034AA0000}"/>
    <cellStyle name="Note 2 2 3 3 2 2 2 2" xfId="22852" xr:uid="{00000000-0005-0000-0000-000035AA0000}"/>
    <cellStyle name="Note 2 2 3 3 2 2 2 2 2" xfId="45454" xr:uid="{00000000-0005-0000-0000-000036AA0000}"/>
    <cellStyle name="Note 2 2 3 3 2 2 2 3" xfId="34153" xr:uid="{00000000-0005-0000-0000-000037AA0000}"/>
    <cellStyle name="Note 2 2 3 3 2 2 3" xfId="17202" xr:uid="{00000000-0005-0000-0000-000038AA0000}"/>
    <cellStyle name="Note 2 2 3 3 2 2 3 2" xfId="39804" xr:uid="{00000000-0005-0000-0000-000039AA0000}"/>
    <cellStyle name="Note 2 2 3 3 2 2 4" xfId="28503" xr:uid="{00000000-0005-0000-0000-00003AAA0000}"/>
    <cellStyle name="Note 2 2 3 3 2 3" xfId="8719" xr:uid="{00000000-0005-0000-0000-00003BAA0000}"/>
    <cellStyle name="Note 2 2 3 3 2 3 2" xfId="20020" xr:uid="{00000000-0005-0000-0000-00003CAA0000}"/>
    <cellStyle name="Note 2 2 3 3 2 3 2 2" xfId="42622" xr:uid="{00000000-0005-0000-0000-00003DAA0000}"/>
    <cellStyle name="Note 2 2 3 3 2 3 3" xfId="31321" xr:uid="{00000000-0005-0000-0000-00003EAA0000}"/>
    <cellStyle name="Note 2 2 3 3 2 4" xfId="14370" xr:uid="{00000000-0005-0000-0000-00003FAA0000}"/>
    <cellStyle name="Note 2 2 3 3 2 4 2" xfId="36972" xr:uid="{00000000-0005-0000-0000-000040AA0000}"/>
    <cellStyle name="Note 2 2 3 3 2 5" xfId="25671" xr:uid="{00000000-0005-0000-0000-000041AA0000}"/>
    <cellStyle name="Note 2 2 3 3 3" xfId="4667" xr:uid="{00000000-0005-0000-0000-000042AA0000}"/>
    <cellStyle name="Note 2 2 3 3 3 2" xfId="10317" xr:uid="{00000000-0005-0000-0000-000043AA0000}"/>
    <cellStyle name="Note 2 2 3 3 3 2 2" xfId="21618" xr:uid="{00000000-0005-0000-0000-000044AA0000}"/>
    <cellStyle name="Note 2 2 3 3 3 2 2 2" xfId="44220" xr:uid="{00000000-0005-0000-0000-000045AA0000}"/>
    <cellStyle name="Note 2 2 3 3 3 2 3" xfId="32919" xr:uid="{00000000-0005-0000-0000-000046AA0000}"/>
    <cellStyle name="Note 2 2 3 3 3 3" xfId="15968" xr:uid="{00000000-0005-0000-0000-000047AA0000}"/>
    <cellStyle name="Note 2 2 3 3 3 3 2" xfId="38570" xr:uid="{00000000-0005-0000-0000-000048AA0000}"/>
    <cellStyle name="Note 2 2 3 3 3 4" xfId="27269" xr:uid="{00000000-0005-0000-0000-000049AA0000}"/>
    <cellStyle name="Note 2 2 3 3 4" xfId="6853" xr:uid="{00000000-0005-0000-0000-00004AAA0000}"/>
    <cellStyle name="Note 2 2 3 3 4 2" xfId="18154" xr:uid="{00000000-0005-0000-0000-00004BAA0000}"/>
    <cellStyle name="Note 2 2 3 3 4 2 2" xfId="40756" xr:uid="{00000000-0005-0000-0000-00004CAA0000}"/>
    <cellStyle name="Note 2 2 3 3 4 3" xfId="29455" xr:uid="{00000000-0005-0000-0000-00004DAA0000}"/>
    <cellStyle name="Note 2 2 3 3 5" xfId="12504" xr:uid="{00000000-0005-0000-0000-00004EAA0000}"/>
    <cellStyle name="Note 2 2 3 3 5 2" xfId="35106" xr:uid="{00000000-0005-0000-0000-00004FAA0000}"/>
    <cellStyle name="Note 2 2 3 3 6" xfId="23805" xr:uid="{00000000-0005-0000-0000-000050AA0000}"/>
    <cellStyle name="Note 2 2 3 4" xfId="2131" xr:uid="{00000000-0005-0000-0000-000051AA0000}"/>
    <cellStyle name="Note 2 2 3 4 2" xfId="3873" xr:uid="{00000000-0005-0000-0000-000052AA0000}"/>
    <cellStyle name="Note 2 2 3 4 2 2" xfId="9581" xr:uid="{00000000-0005-0000-0000-000053AA0000}"/>
    <cellStyle name="Note 2 2 3 4 2 2 2" xfId="20882" xr:uid="{00000000-0005-0000-0000-000054AA0000}"/>
    <cellStyle name="Note 2 2 3 4 2 2 2 2" xfId="43484" xr:uid="{00000000-0005-0000-0000-000055AA0000}"/>
    <cellStyle name="Note 2 2 3 4 2 2 3" xfId="32183" xr:uid="{00000000-0005-0000-0000-000056AA0000}"/>
    <cellStyle name="Note 2 2 3 4 2 3" xfId="15232" xr:uid="{00000000-0005-0000-0000-000057AA0000}"/>
    <cellStyle name="Note 2 2 3 4 2 3 2" xfId="37834" xr:uid="{00000000-0005-0000-0000-000058AA0000}"/>
    <cellStyle name="Note 2 2 3 4 2 4" xfId="26533" xr:uid="{00000000-0005-0000-0000-000059AA0000}"/>
    <cellStyle name="Note 2 2 3 4 3" xfId="5277" xr:uid="{00000000-0005-0000-0000-00005AAA0000}"/>
    <cellStyle name="Note 2 2 3 4 3 2" xfId="10927" xr:uid="{00000000-0005-0000-0000-00005BAA0000}"/>
    <cellStyle name="Note 2 2 3 4 3 2 2" xfId="22228" xr:uid="{00000000-0005-0000-0000-00005CAA0000}"/>
    <cellStyle name="Note 2 2 3 4 3 2 2 2" xfId="44830" xr:uid="{00000000-0005-0000-0000-00005DAA0000}"/>
    <cellStyle name="Note 2 2 3 4 3 2 3" xfId="33529" xr:uid="{00000000-0005-0000-0000-00005EAA0000}"/>
    <cellStyle name="Note 2 2 3 4 3 3" xfId="16578" xr:uid="{00000000-0005-0000-0000-00005FAA0000}"/>
    <cellStyle name="Note 2 2 3 4 3 3 2" xfId="39180" xr:uid="{00000000-0005-0000-0000-000060AA0000}"/>
    <cellStyle name="Note 2 2 3 4 3 4" xfId="27879" xr:uid="{00000000-0005-0000-0000-000061AA0000}"/>
    <cellStyle name="Note 2 2 3 4 4" xfId="7987" xr:uid="{00000000-0005-0000-0000-000062AA0000}"/>
    <cellStyle name="Note 2 2 3 4 4 2" xfId="19288" xr:uid="{00000000-0005-0000-0000-000063AA0000}"/>
    <cellStyle name="Note 2 2 3 4 4 2 2" xfId="41890" xr:uid="{00000000-0005-0000-0000-000064AA0000}"/>
    <cellStyle name="Note 2 2 3 4 4 3" xfId="30589" xr:uid="{00000000-0005-0000-0000-000065AA0000}"/>
    <cellStyle name="Note 2 2 3 4 5" xfId="13638" xr:uid="{00000000-0005-0000-0000-000066AA0000}"/>
    <cellStyle name="Note 2 2 3 4 5 2" xfId="36240" xr:uid="{00000000-0005-0000-0000-000067AA0000}"/>
    <cellStyle name="Note 2 2 3 4 6" xfId="24939" xr:uid="{00000000-0005-0000-0000-000068AA0000}"/>
    <cellStyle name="Note 2 2 3 5" xfId="2250" xr:uid="{00000000-0005-0000-0000-000069AA0000}"/>
    <cellStyle name="Note 2 2 3 5 2" xfId="8091" xr:uid="{00000000-0005-0000-0000-00006AAA0000}"/>
    <cellStyle name="Note 2 2 3 5 2 2" xfId="19392" xr:uid="{00000000-0005-0000-0000-00006BAA0000}"/>
    <cellStyle name="Note 2 2 3 5 2 2 2" xfId="41994" xr:uid="{00000000-0005-0000-0000-00006CAA0000}"/>
    <cellStyle name="Note 2 2 3 5 2 3" xfId="30693" xr:uid="{00000000-0005-0000-0000-00006DAA0000}"/>
    <cellStyle name="Note 2 2 3 5 3" xfId="13742" xr:uid="{00000000-0005-0000-0000-00006EAA0000}"/>
    <cellStyle name="Note 2 2 3 5 3 2" xfId="36344" xr:uid="{00000000-0005-0000-0000-00006FAA0000}"/>
    <cellStyle name="Note 2 2 3 5 4" xfId="25043" xr:uid="{00000000-0005-0000-0000-000070AA0000}"/>
    <cellStyle name="Note 2 2 3 6" xfId="4043" xr:uid="{00000000-0005-0000-0000-000071AA0000}"/>
    <cellStyle name="Note 2 2 3 6 2" xfId="9693" xr:uid="{00000000-0005-0000-0000-000072AA0000}"/>
    <cellStyle name="Note 2 2 3 6 2 2" xfId="20994" xr:uid="{00000000-0005-0000-0000-000073AA0000}"/>
    <cellStyle name="Note 2 2 3 6 2 2 2" xfId="43596" xr:uid="{00000000-0005-0000-0000-000074AA0000}"/>
    <cellStyle name="Note 2 2 3 6 2 3" xfId="32295" xr:uid="{00000000-0005-0000-0000-000075AA0000}"/>
    <cellStyle name="Note 2 2 3 6 3" xfId="15344" xr:uid="{00000000-0005-0000-0000-000076AA0000}"/>
    <cellStyle name="Note 2 2 3 6 3 2" xfId="37946" xr:uid="{00000000-0005-0000-0000-000077AA0000}"/>
    <cellStyle name="Note 2 2 3 6 4" xfId="26645" xr:uid="{00000000-0005-0000-0000-000078AA0000}"/>
    <cellStyle name="Note 2 2 3 7" xfId="6661" xr:uid="{00000000-0005-0000-0000-000079AA0000}"/>
    <cellStyle name="Note 2 2 3 7 2" xfId="17962" xr:uid="{00000000-0005-0000-0000-00007AAA0000}"/>
    <cellStyle name="Note 2 2 3 7 2 2" xfId="40564" xr:uid="{00000000-0005-0000-0000-00007BAA0000}"/>
    <cellStyle name="Note 2 2 3 7 3" xfId="29263" xr:uid="{00000000-0005-0000-0000-00007CAA0000}"/>
    <cellStyle name="Note 2 2 3 8" xfId="12312" xr:uid="{00000000-0005-0000-0000-00007DAA0000}"/>
    <cellStyle name="Note 2 2 3 8 2" xfId="34914" xr:uid="{00000000-0005-0000-0000-00007EAA0000}"/>
    <cellStyle name="Note 2 2 3 9" xfId="23613" xr:uid="{00000000-0005-0000-0000-00007FAA0000}"/>
    <cellStyle name="Note 2 2 4" xfId="508" xr:uid="{00000000-0005-0000-0000-000080AA0000}"/>
    <cellStyle name="Note 2 2 4 2" xfId="1279" xr:uid="{00000000-0005-0000-0000-000081AA0000}"/>
    <cellStyle name="Note 2 2 4 2 2" xfId="2134" xr:uid="{00000000-0005-0000-0000-000082AA0000}"/>
    <cellStyle name="Note 2 2 4 2 2 2" xfId="3348" xr:uid="{00000000-0005-0000-0000-000083AA0000}"/>
    <cellStyle name="Note 2 2 4 2 2 2 2" xfId="6320" xr:uid="{00000000-0005-0000-0000-000084AA0000}"/>
    <cellStyle name="Note 2 2 4 2 2 2 2 2" xfId="11970" xr:uid="{00000000-0005-0000-0000-000085AA0000}"/>
    <cellStyle name="Note 2 2 4 2 2 2 2 2 2" xfId="23271" xr:uid="{00000000-0005-0000-0000-000086AA0000}"/>
    <cellStyle name="Note 2 2 4 2 2 2 2 2 2 2" xfId="45873" xr:uid="{00000000-0005-0000-0000-000087AA0000}"/>
    <cellStyle name="Note 2 2 4 2 2 2 2 2 3" xfId="34572" xr:uid="{00000000-0005-0000-0000-000088AA0000}"/>
    <cellStyle name="Note 2 2 4 2 2 2 2 3" xfId="17621" xr:uid="{00000000-0005-0000-0000-000089AA0000}"/>
    <cellStyle name="Note 2 2 4 2 2 2 2 3 2" xfId="40223" xr:uid="{00000000-0005-0000-0000-00008AAA0000}"/>
    <cellStyle name="Note 2 2 4 2 2 2 2 4" xfId="28922" xr:uid="{00000000-0005-0000-0000-00008BAA0000}"/>
    <cellStyle name="Note 2 2 4 2 2 2 3" xfId="9138" xr:uid="{00000000-0005-0000-0000-00008CAA0000}"/>
    <cellStyle name="Note 2 2 4 2 2 2 3 2" xfId="20439" xr:uid="{00000000-0005-0000-0000-00008DAA0000}"/>
    <cellStyle name="Note 2 2 4 2 2 2 3 2 2" xfId="43041" xr:uid="{00000000-0005-0000-0000-00008EAA0000}"/>
    <cellStyle name="Note 2 2 4 2 2 2 3 3" xfId="31740" xr:uid="{00000000-0005-0000-0000-00008FAA0000}"/>
    <cellStyle name="Note 2 2 4 2 2 2 4" xfId="14789" xr:uid="{00000000-0005-0000-0000-000090AA0000}"/>
    <cellStyle name="Note 2 2 4 2 2 2 4 2" xfId="37391" xr:uid="{00000000-0005-0000-0000-000091AA0000}"/>
    <cellStyle name="Note 2 2 4 2 2 2 5" xfId="26090" xr:uid="{00000000-0005-0000-0000-000092AA0000}"/>
    <cellStyle name="Note 2 2 4 2 2 3" xfId="5086" xr:uid="{00000000-0005-0000-0000-000093AA0000}"/>
    <cellStyle name="Note 2 2 4 2 2 3 2" xfId="10736" xr:uid="{00000000-0005-0000-0000-000094AA0000}"/>
    <cellStyle name="Note 2 2 4 2 2 3 2 2" xfId="22037" xr:uid="{00000000-0005-0000-0000-000095AA0000}"/>
    <cellStyle name="Note 2 2 4 2 2 3 2 2 2" xfId="44639" xr:uid="{00000000-0005-0000-0000-000096AA0000}"/>
    <cellStyle name="Note 2 2 4 2 2 3 2 3" xfId="33338" xr:uid="{00000000-0005-0000-0000-000097AA0000}"/>
    <cellStyle name="Note 2 2 4 2 2 3 3" xfId="16387" xr:uid="{00000000-0005-0000-0000-000098AA0000}"/>
    <cellStyle name="Note 2 2 4 2 2 3 3 2" xfId="38989" xr:uid="{00000000-0005-0000-0000-000099AA0000}"/>
    <cellStyle name="Note 2 2 4 2 2 3 4" xfId="27688" xr:uid="{00000000-0005-0000-0000-00009AAA0000}"/>
    <cellStyle name="Note 2 2 4 2 2 4" xfId="7990" xr:uid="{00000000-0005-0000-0000-00009BAA0000}"/>
    <cellStyle name="Note 2 2 4 2 2 4 2" xfId="19291" xr:uid="{00000000-0005-0000-0000-00009CAA0000}"/>
    <cellStyle name="Note 2 2 4 2 2 4 2 2" xfId="41893" xr:uid="{00000000-0005-0000-0000-00009DAA0000}"/>
    <cellStyle name="Note 2 2 4 2 2 4 3" xfId="30592" xr:uid="{00000000-0005-0000-0000-00009EAA0000}"/>
    <cellStyle name="Note 2 2 4 2 2 5" xfId="13641" xr:uid="{00000000-0005-0000-0000-00009FAA0000}"/>
    <cellStyle name="Note 2 2 4 2 2 5 2" xfId="36243" xr:uid="{00000000-0005-0000-0000-0000A0AA0000}"/>
    <cellStyle name="Note 2 2 4 2 2 6" xfId="24942" xr:uid="{00000000-0005-0000-0000-0000A1AA0000}"/>
    <cellStyle name="Note 2 2 4 2 3" xfId="2677" xr:uid="{00000000-0005-0000-0000-0000A2AA0000}"/>
    <cellStyle name="Note 2 2 4 2 3 2" xfId="5696" xr:uid="{00000000-0005-0000-0000-0000A3AA0000}"/>
    <cellStyle name="Note 2 2 4 2 3 2 2" xfId="11346" xr:uid="{00000000-0005-0000-0000-0000A4AA0000}"/>
    <cellStyle name="Note 2 2 4 2 3 2 2 2" xfId="22647" xr:uid="{00000000-0005-0000-0000-0000A5AA0000}"/>
    <cellStyle name="Note 2 2 4 2 3 2 2 2 2" xfId="45249" xr:uid="{00000000-0005-0000-0000-0000A6AA0000}"/>
    <cellStyle name="Note 2 2 4 2 3 2 2 3" xfId="33948" xr:uid="{00000000-0005-0000-0000-0000A7AA0000}"/>
    <cellStyle name="Note 2 2 4 2 3 2 3" xfId="16997" xr:uid="{00000000-0005-0000-0000-0000A8AA0000}"/>
    <cellStyle name="Note 2 2 4 2 3 2 3 2" xfId="39599" xr:uid="{00000000-0005-0000-0000-0000A9AA0000}"/>
    <cellStyle name="Note 2 2 4 2 3 2 4" xfId="28298" xr:uid="{00000000-0005-0000-0000-0000AAAA0000}"/>
    <cellStyle name="Note 2 2 4 2 3 3" xfId="8513" xr:uid="{00000000-0005-0000-0000-0000ABAA0000}"/>
    <cellStyle name="Note 2 2 4 2 3 3 2" xfId="19814" xr:uid="{00000000-0005-0000-0000-0000ACAA0000}"/>
    <cellStyle name="Note 2 2 4 2 3 3 2 2" xfId="42416" xr:uid="{00000000-0005-0000-0000-0000ADAA0000}"/>
    <cellStyle name="Note 2 2 4 2 3 3 3" xfId="31115" xr:uid="{00000000-0005-0000-0000-0000AEAA0000}"/>
    <cellStyle name="Note 2 2 4 2 3 4" xfId="14164" xr:uid="{00000000-0005-0000-0000-0000AFAA0000}"/>
    <cellStyle name="Note 2 2 4 2 3 4 2" xfId="36766" xr:uid="{00000000-0005-0000-0000-0000B0AA0000}"/>
    <cellStyle name="Note 2 2 4 2 3 5" xfId="25465" xr:uid="{00000000-0005-0000-0000-0000B1AA0000}"/>
    <cellStyle name="Note 2 2 4 2 4" xfId="4462" xr:uid="{00000000-0005-0000-0000-0000B2AA0000}"/>
    <cellStyle name="Note 2 2 4 2 4 2" xfId="10112" xr:uid="{00000000-0005-0000-0000-0000B3AA0000}"/>
    <cellStyle name="Note 2 2 4 2 4 2 2" xfId="21413" xr:uid="{00000000-0005-0000-0000-0000B4AA0000}"/>
    <cellStyle name="Note 2 2 4 2 4 2 2 2" xfId="44015" xr:uid="{00000000-0005-0000-0000-0000B5AA0000}"/>
    <cellStyle name="Note 2 2 4 2 4 2 3" xfId="32714" xr:uid="{00000000-0005-0000-0000-0000B6AA0000}"/>
    <cellStyle name="Note 2 2 4 2 4 3" xfId="15763" xr:uid="{00000000-0005-0000-0000-0000B7AA0000}"/>
    <cellStyle name="Note 2 2 4 2 4 3 2" xfId="38365" xr:uid="{00000000-0005-0000-0000-0000B8AA0000}"/>
    <cellStyle name="Note 2 2 4 2 4 4" xfId="27064" xr:uid="{00000000-0005-0000-0000-0000B9AA0000}"/>
    <cellStyle name="Note 2 2 4 2 5" xfId="7258" xr:uid="{00000000-0005-0000-0000-0000BAAA0000}"/>
    <cellStyle name="Note 2 2 4 2 5 2" xfId="18559" xr:uid="{00000000-0005-0000-0000-0000BBAA0000}"/>
    <cellStyle name="Note 2 2 4 2 5 2 2" xfId="41161" xr:uid="{00000000-0005-0000-0000-0000BCAA0000}"/>
    <cellStyle name="Note 2 2 4 2 5 3" xfId="29860" xr:uid="{00000000-0005-0000-0000-0000BDAA0000}"/>
    <cellStyle name="Note 2 2 4 2 6" xfId="12909" xr:uid="{00000000-0005-0000-0000-0000BEAA0000}"/>
    <cellStyle name="Note 2 2 4 2 6 2" xfId="35511" xr:uid="{00000000-0005-0000-0000-0000BFAA0000}"/>
    <cellStyle name="Note 2 2 4 2 7" xfId="24210" xr:uid="{00000000-0005-0000-0000-0000C0AA0000}"/>
    <cellStyle name="Note 2 2 4 3" xfId="976" xr:uid="{00000000-0005-0000-0000-0000C1AA0000}"/>
    <cellStyle name="Note 2 2 4 3 2" xfId="3040" xr:uid="{00000000-0005-0000-0000-0000C2AA0000}"/>
    <cellStyle name="Note 2 2 4 3 2 2" xfId="6012" xr:uid="{00000000-0005-0000-0000-0000C3AA0000}"/>
    <cellStyle name="Note 2 2 4 3 2 2 2" xfId="11662" xr:uid="{00000000-0005-0000-0000-0000C4AA0000}"/>
    <cellStyle name="Note 2 2 4 3 2 2 2 2" xfId="22963" xr:uid="{00000000-0005-0000-0000-0000C5AA0000}"/>
    <cellStyle name="Note 2 2 4 3 2 2 2 2 2" xfId="45565" xr:uid="{00000000-0005-0000-0000-0000C6AA0000}"/>
    <cellStyle name="Note 2 2 4 3 2 2 2 3" xfId="34264" xr:uid="{00000000-0005-0000-0000-0000C7AA0000}"/>
    <cellStyle name="Note 2 2 4 3 2 2 3" xfId="17313" xr:uid="{00000000-0005-0000-0000-0000C8AA0000}"/>
    <cellStyle name="Note 2 2 4 3 2 2 3 2" xfId="39915" xr:uid="{00000000-0005-0000-0000-0000C9AA0000}"/>
    <cellStyle name="Note 2 2 4 3 2 2 4" xfId="28614" xr:uid="{00000000-0005-0000-0000-0000CAAA0000}"/>
    <cellStyle name="Note 2 2 4 3 2 3" xfId="8830" xr:uid="{00000000-0005-0000-0000-0000CBAA0000}"/>
    <cellStyle name="Note 2 2 4 3 2 3 2" xfId="20131" xr:uid="{00000000-0005-0000-0000-0000CCAA0000}"/>
    <cellStyle name="Note 2 2 4 3 2 3 2 2" xfId="42733" xr:uid="{00000000-0005-0000-0000-0000CDAA0000}"/>
    <cellStyle name="Note 2 2 4 3 2 3 3" xfId="31432" xr:uid="{00000000-0005-0000-0000-0000CEAA0000}"/>
    <cellStyle name="Note 2 2 4 3 2 4" xfId="14481" xr:uid="{00000000-0005-0000-0000-0000CFAA0000}"/>
    <cellStyle name="Note 2 2 4 3 2 4 2" xfId="37083" xr:uid="{00000000-0005-0000-0000-0000D0AA0000}"/>
    <cellStyle name="Note 2 2 4 3 2 5" xfId="25782" xr:uid="{00000000-0005-0000-0000-0000D1AA0000}"/>
    <cellStyle name="Note 2 2 4 3 3" xfId="4778" xr:uid="{00000000-0005-0000-0000-0000D2AA0000}"/>
    <cellStyle name="Note 2 2 4 3 3 2" xfId="10428" xr:uid="{00000000-0005-0000-0000-0000D3AA0000}"/>
    <cellStyle name="Note 2 2 4 3 3 2 2" xfId="21729" xr:uid="{00000000-0005-0000-0000-0000D4AA0000}"/>
    <cellStyle name="Note 2 2 4 3 3 2 2 2" xfId="44331" xr:uid="{00000000-0005-0000-0000-0000D5AA0000}"/>
    <cellStyle name="Note 2 2 4 3 3 2 3" xfId="33030" xr:uid="{00000000-0005-0000-0000-0000D6AA0000}"/>
    <cellStyle name="Note 2 2 4 3 3 3" xfId="16079" xr:uid="{00000000-0005-0000-0000-0000D7AA0000}"/>
    <cellStyle name="Note 2 2 4 3 3 3 2" xfId="38681" xr:uid="{00000000-0005-0000-0000-0000D8AA0000}"/>
    <cellStyle name="Note 2 2 4 3 3 4" xfId="27380" xr:uid="{00000000-0005-0000-0000-0000D9AA0000}"/>
    <cellStyle name="Note 2 2 4 3 4" xfId="6965" xr:uid="{00000000-0005-0000-0000-0000DAAA0000}"/>
    <cellStyle name="Note 2 2 4 3 4 2" xfId="18266" xr:uid="{00000000-0005-0000-0000-0000DBAA0000}"/>
    <cellStyle name="Note 2 2 4 3 4 2 2" xfId="40868" xr:uid="{00000000-0005-0000-0000-0000DCAA0000}"/>
    <cellStyle name="Note 2 2 4 3 4 3" xfId="29567" xr:uid="{00000000-0005-0000-0000-0000DDAA0000}"/>
    <cellStyle name="Note 2 2 4 3 5" xfId="12616" xr:uid="{00000000-0005-0000-0000-0000DEAA0000}"/>
    <cellStyle name="Note 2 2 4 3 5 2" xfId="35218" xr:uid="{00000000-0005-0000-0000-0000DFAA0000}"/>
    <cellStyle name="Note 2 2 4 3 6" xfId="23917" xr:uid="{00000000-0005-0000-0000-0000E0AA0000}"/>
    <cellStyle name="Note 2 2 4 4" xfId="2133" xr:uid="{00000000-0005-0000-0000-0000E1AA0000}"/>
    <cellStyle name="Note 2 2 4 4 2" xfId="3874" xr:uid="{00000000-0005-0000-0000-0000E2AA0000}"/>
    <cellStyle name="Note 2 2 4 4 2 2" xfId="9582" xr:uid="{00000000-0005-0000-0000-0000E3AA0000}"/>
    <cellStyle name="Note 2 2 4 4 2 2 2" xfId="20883" xr:uid="{00000000-0005-0000-0000-0000E4AA0000}"/>
    <cellStyle name="Note 2 2 4 4 2 2 2 2" xfId="43485" xr:uid="{00000000-0005-0000-0000-0000E5AA0000}"/>
    <cellStyle name="Note 2 2 4 4 2 2 3" xfId="32184" xr:uid="{00000000-0005-0000-0000-0000E6AA0000}"/>
    <cellStyle name="Note 2 2 4 4 2 3" xfId="15233" xr:uid="{00000000-0005-0000-0000-0000E7AA0000}"/>
    <cellStyle name="Note 2 2 4 4 2 3 2" xfId="37835" xr:uid="{00000000-0005-0000-0000-0000E8AA0000}"/>
    <cellStyle name="Note 2 2 4 4 2 4" xfId="26534" xr:uid="{00000000-0005-0000-0000-0000E9AA0000}"/>
    <cellStyle name="Note 2 2 4 4 3" xfId="5388" xr:uid="{00000000-0005-0000-0000-0000EAAA0000}"/>
    <cellStyle name="Note 2 2 4 4 3 2" xfId="11038" xr:uid="{00000000-0005-0000-0000-0000EBAA0000}"/>
    <cellStyle name="Note 2 2 4 4 3 2 2" xfId="22339" xr:uid="{00000000-0005-0000-0000-0000ECAA0000}"/>
    <cellStyle name="Note 2 2 4 4 3 2 2 2" xfId="44941" xr:uid="{00000000-0005-0000-0000-0000EDAA0000}"/>
    <cellStyle name="Note 2 2 4 4 3 2 3" xfId="33640" xr:uid="{00000000-0005-0000-0000-0000EEAA0000}"/>
    <cellStyle name="Note 2 2 4 4 3 3" xfId="16689" xr:uid="{00000000-0005-0000-0000-0000EFAA0000}"/>
    <cellStyle name="Note 2 2 4 4 3 3 2" xfId="39291" xr:uid="{00000000-0005-0000-0000-0000F0AA0000}"/>
    <cellStyle name="Note 2 2 4 4 3 4" xfId="27990" xr:uid="{00000000-0005-0000-0000-0000F1AA0000}"/>
    <cellStyle name="Note 2 2 4 4 4" xfId="7989" xr:uid="{00000000-0005-0000-0000-0000F2AA0000}"/>
    <cellStyle name="Note 2 2 4 4 4 2" xfId="19290" xr:uid="{00000000-0005-0000-0000-0000F3AA0000}"/>
    <cellStyle name="Note 2 2 4 4 4 2 2" xfId="41892" xr:uid="{00000000-0005-0000-0000-0000F4AA0000}"/>
    <cellStyle name="Note 2 2 4 4 4 3" xfId="30591" xr:uid="{00000000-0005-0000-0000-0000F5AA0000}"/>
    <cellStyle name="Note 2 2 4 4 5" xfId="13640" xr:uid="{00000000-0005-0000-0000-0000F6AA0000}"/>
    <cellStyle name="Note 2 2 4 4 5 2" xfId="36242" xr:uid="{00000000-0005-0000-0000-0000F7AA0000}"/>
    <cellStyle name="Note 2 2 4 4 6" xfId="24941" xr:uid="{00000000-0005-0000-0000-0000F8AA0000}"/>
    <cellStyle name="Note 2 2 4 5" xfId="2369" xr:uid="{00000000-0005-0000-0000-0000F9AA0000}"/>
    <cellStyle name="Note 2 2 4 5 2" xfId="8205" xr:uid="{00000000-0005-0000-0000-0000FAAA0000}"/>
    <cellStyle name="Note 2 2 4 5 2 2" xfId="19506" xr:uid="{00000000-0005-0000-0000-0000FBAA0000}"/>
    <cellStyle name="Note 2 2 4 5 2 2 2" xfId="42108" xr:uid="{00000000-0005-0000-0000-0000FCAA0000}"/>
    <cellStyle name="Note 2 2 4 5 2 3" xfId="30807" xr:uid="{00000000-0005-0000-0000-0000FDAA0000}"/>
    <cellStyle name="Note 2 2 4 5 3" xfId="13856" xr:uid="{00000000-0005-0000-0000-0000FEAA0000}"/>
    <cellStyle name="Note 2 2 4 5 3 2" xfId="36458" xr:uid="{00000000-0005-0000-0000-0000FFAA0000}"/>
    <cellStyle name="Note 2 2 4 5 4" xfId="25157" xr:uid="{00000000-0005-0000-0000-000000AB0000}"/>
    <cellStyle name="Note 2 2 4 6" xfId="4154" xr:uid="{00000000-0005-0000-0000-000001AB0000}"/>
    <cellStyle name="Note 2 2 4 6 2" xfId="9804" xr:uid="{00000000-0005-0000-0000-000002AB0000}"/>
    <cellStyle name="Note 2 2 4 6 2 2" xfId="21105" xr:uid="{00000000-0005-0000-0000-000003AB0000}"/>
    <cellStyle name="Note 2 2 4 6 2 2 2" xfId="43707" xr:uid="{00000000-0005-0000-0000-000004AB0000}"/>
    <cellStyle name="Note 2 2 4 6 2 3" xfId="32406" xr:uid="{00000000-0005-0000-0000-000005AB0000}"/>
    <cellStyle name="Note 2 2 4 6 3" xfId="15455" xr:uid="{00000000-0005-0000-0000-000006AB0000}"/>
    <cellStyle name="Note 2 2 4 6 3 2" xfId="38057" xr:uid="{00000000-0005-0000-0000-000007AB0000}"/>
    <cellStyle name="Note 2 2 4 6 4" xfId="26756" xr:uid="{00000000-0005-0000-0000-000008AB0000}"/>
    <cellStyle name="Note 2 2 4 7" xfId="6605" xr:uid="{00000000-0005-0000-0000-000009AB0000}"/>
    <cellStyle name="Note 2 2 4 7 2" xfId="17906" xr:uid="{00000000-0005-0000-0000-00000AAB0000}"/>
    <cellStyle name="Note 2 2 4 7 2 2" xfId="40508" xr:uid="{00000000-0005-0000-0000-00000BAB0000}"/>
    <cellStyle name="Note 2 2 4 7 3" xfId="29207" xr:uid="{00000000-0005-0000-0000-00000CAB0000}"/>
    <cellStyle name="Note 2 2 4 8" xfId="12256" xr:uid="{00000000-0005-0000-0000-00000DAB0000}"/>
    <cellStyle name="Note 2 2 4 8 2" xfId="34858" xr:uid="{00000000-0005-0000-0000-00000EAB0000}"/>
    <cellStyle name="Note 2 2 4 9" xfId="23557" xr:uid="{00000000-0005-0000-0000-00000FAB0000}"/>
    <cellStyle name="Note 2 2 5" xfId="1112" xr:uid="{00000000-0005-0000-0000-000010AB0000}"/>
    <cellStyle name="Note 2 2 5 2" xfId="2135" xr:uid="{00000000-0005-0000-0000-000011AB0000}"/>
    <cellStyle name="Note 2 2 5 2 2" xfId="3179" xr:uid="{00000000-0005-0000-0000-000012AB0000}"/>
    <cellStyle name="Note 2 2 5 2 2 2" xfId="6151" xr:uid="{00000000-0005-0000-0000-000013AB0000}"/>
    <cellStyle name="Note 2 2 5 2 2 2 2" xfId="11801" xr:uid="{00000000-0005-0000-0000-000014AB0000}"/>
    <cellStyle name="Note 2 2 5 2 2 2 2 2" xfId="23102" xr:uid="{00000000-0005-0000-0000-000015AB0000}"/>
    <cellStyle name="Note 2 2 5 2 2 2 2 2 2" xfId="45704" xr:uid="{00000000-0005-0000-0000-000016AB0000}"/>
    <cellStyle name="Note 2 2 5 2 2 2 2 3" xfId="34403" xr:uid="{00000000-0005-0000-0000-000017AB0000}"/>
    <cellStyle name="Note 2 2 5 2 2 2 3" xfId="17452" xr:uid="{00000000-0005-0000-0000-000018AB0000}"/>
    <cellStyle name="Note 2 2 5 2 2 2 3 2" xfId="40054" xr:uid="{00000000-0005-0000-0000-000019AB0000}"/>
    <cellStyle name="Note 2 2 5 2 2 2 4" xfId="28753" xr:uid="{00000000-0005-0000-0000-00001AAB0000}"/>
    <cellStyle name="Note 2 2 5 2 2 3" xfId="8969" xr:uid="{00000000-0005-0000-0000-00001BAB0000}"/>
    <cellStyle name="Note 2 2 5 2 2 3 2" xfId="20270" xr:uid="{00000000-0005-0000-0000-00001CAB0000}"/>
    <cellStyle name="Note 2 2 5 2 2 3 2 2" xfId="42872" xr:uid="{00000000-0005-0000-0000-00001DAB0000}"/>
    <cellStyle name="Note 2 2 5 2 2 3 3" xfId="31571" xr:uid="{00000000-0005-0000-0000-00001EAB0000}"/>
    <cellStyle name="Note 2 2 5 2 2 4" xfId="14620" xr:uid="{00000000-0005-0000-0000-00001FAB0000}"/>
    <cellStyle name="Note 2 2 5 2 2 4 2" xfId="37222" xr:uid="{00000000-0005-0000-0000-000020AB0000}"/>
    <cellStyle name="Note 2 2 5 2 2 5" xfId="25921" xr:uid="{00000000-0005-0000-0000-000021AB0000}"/>
    <cellStyle name="Note 2 2 5 2 3" xfId="4917" xr:uid="{00000000-0005-0000-0000-000022AB0000}"/>
    <cellStyle name="Note 2 2 5 2 3 2" xfId="10567" xr:uid="{00000000-0005-0000-0000-000023AB0000}"/>
    <cellStyle name="Note 2 2 5 2 3 2 2" xfId="21868" xr:uid="{00000000-0005-0000-0000-000024AB0000}"/>
    <cellStyle name="Note 2 2 5 2 3 2 2 2" xfId="44470" xr:uid="{00000000-0005-0000-0000-000025AB0000}"/>
    <cellStyle name="Note 2 2 5 2 3 2 3" xfId="33169" xr:uid="{00000000-0005-0000-0000-000026AB0000}"/>
    <cellStyle name="Note 2 2 5 2 3 3" xfId="16218" xr:uid="{00000000-0005-0000-0000-000027AB0000}"/>
    <cellStyle name="Note 2 2 5 2 3 3 2" xfId="38820" xr:uid="{00000000-0005-0000-0000-000028AB0000}"/>
    <cellStyle name="Note 2 2 5 2 3 4" xfId="27519" xr:uid="{00000000-0005-0000-0000-000029AB0000}"/>
    <cellStyle name="Note 2 2 5 2 4" xfId="7991" xr:uid="{00000000-0005-0000-0000-00002AAB0000}"/>
    <cellStyle name="Note 2 2 5 2 4 2" xfId="19292" xr:uid="{00000000-0005-0000-0000-00002BAB0000}"/>
    <cellStyle name="Note 2 2 5 2 4 2 2" xfId="41894" xr:uid="{00000000-0005-0000-0000-00002CAB0000}"/>
    <cellStyle name="Note 2 2 5 2 4 3" xfId="30593" xr:uid="{00000000-0005-0000-0000-00002DAB0000}"/>
    <cellStyle name="Note 2 2 5 2 5" xfId="13642" xr:uid="{00000000-0005-0000-0000-00002EAB0000}"/>
    <cellStyle name="Note 2 2 5 2 5 2" xfId="36244" xr:uid="{00000000-0005-0000-0000-00002FAB0000}"/>
    <cellStyle name="Note 2 2 5 2 6" xfId="24943" xr:uid="{00000000-0005-0000-0000-000030AB0000}"/>
    <cellStyle name="Note 2 2 5 3" xfId="2508" xr:uid="{00000000-0005-0000-0000-000031AB0000}"/>
    <cellStyle name="Note 2 2 5 3 2" xfId="5527" xr:uid="{00000000-0005-0000-0000-000032AB0000}"/>
    <cellStyle name="Note 2 2 5 3 2 2" xfId="11177" xr:uid="{00000000-0005-0000-0000-000033AB0000}"/>
    <cellStyle name="Note 2 2 5 3 2 2 2" xfId="22478" xr:uid="{00000000-0005-0000-0000-000034AB0000}"/>
    <cellStyle name="Note 2 2 5 3 2 2 2 2" xfId="45080" xr:uid="{00000000-0005-0000-0000-000035AB0000}"/>
    <cellStyle name="Note 2 2 5 3 2 2 3" xfId="33779" xr:uid="{00000000-0005-0000-0000-000036AB0000}"/>
    <cellStyle name="Note 2 2 5 3 2 3" xfId="16828" xr:uid="{00000000-0005-0000-0000-000037AB0000}"/>
    <cellStyle name="Note 2 2 5 3 2 3 2" xfId="39430" xr:uid="{00000000-0005-0000-0000-000038AB0000}"/>
    <cellStyle name="Note 2 2 5 3 2 4" xfId="28129" xr:uid="{00000000-0005-0000-0000-000039AB0000}"/>
    <cellStyle name="Note 2 2 5 3 3" xfId="8344" xr:uid="{00000000-0005-0000-0000-00003AAB0000}"/>
    <cellStyle name="Note 2 2 5 3 3 2" xfId="19645" xr:uid="{00000000-0005-0000-0000-00003BAB0000}"/>
    <cellStyle name="Note 2 2 5 3 3 2 2" xfId="42247" xr:uid="{00000000-0005-0000-0000-00003CAB0000}"/>
    <cellStyle name="Note 2 2 5 3 3 3" xfId="30946" xr:uid="{00000000-0005-0000-0000-00003DAB0000}"/>
    <cellStyle name="Note 2 2 5 3 4" xfId="13995" xr:uid="{00000000-0005-0000-0000-00003EAB0000}"/>
    <cellStyle name="Note 2 2 5 3 4 2" xfId="36597" xr:uid="{00000000-0005-0000-0000-00003FAB0000}"/>
    <cellStyle name="Note 2 2 5 3 5" xfId="25296" xr:uid="{00000000-0005-0000-0000-000040AB0000}"/>
    <cellStyle name="Note 2 2 5 4" xfId="4293" xr:uid="{00000000-0005-0000-0000-000041AB0000}"/>
    <cellStyle name="Note 2 2 5 4 2" xfId="9943" xr:uid="{00000000-0005-0000-0000-000042AB0000}"/>
    <cellStyle name="Note 2 2 5 4 2 2" xfId="21244" xr:uid="{00000000-0005-0000-0000-000043AB0000}"/>
    <cellStyle name="Note 2 2 5 4 2 2 2" xfId="43846" xr:uid="{00000000-0005-0000-0000-000044AB0000}"/>
    <cellStyle name="Note 2 2 5 4 2 3" xfId="32545" xr:uid="{00000000-0005-0000-0000-000045AB0000}"/>
    <cellStyle name="Note 2 2 5 4 3" xfId="15594" xr:uid="{00000000-0005-0000-0000-000046AB0000}"/>
    <cellStyle name="Note 2 2 5 4 3 2" xfId="38196" xr:uid="{00000000-0005-0000-0000-000047AB0000}"/>
    <cellStyle name="Note 2 2 5 4 4" xfId="26895" xr:uid="{00000000-0005-0000-0000-000048AB0000}"/>
    <cellStyle name="Note 2 2 5 5" xfId="7091" xr:uid="{00000000-0005-0000-0000-000049AB0000}"/>
    <cellStyle name="Note 2 2 5 5 2" xfId="18392" xr:uid="{00000000-0005-0000-0000-00004AAB0000}"/>
    <cellStyle name="Note 2 2 5 5 2 2" xfId="40994" xr:uid="{00000000-0005-0000-0000-00004BAB0000}"/>
    <cellStyle name="Note 2 2 5 5 3" xfId="29693" xr:uid="{00000000-0005-0000-0000-00004CAB0000}"/>
    <cellStyle name="Note 2 2 5 6" xfId="12742" xr:uid="{00000000-0005-0000-0000-00004DAB0000}"/>
    <cellStyle name="Note 2 2 5 6 2" xfId="35344" xr:uid="{00000000-0005-0000-0000-00004EAB0000}"/>
    <cellStyle name="Note 2 2 5 7" xfId="24043" xr:uid="{00000000-0005-0000-0000-00004FAB0000}"/>
    <cellStyle name="Note 2 2 6" xfId="775" xr:uid="{00000000-0005-0000-0000-000050AB0000}"/>
    <cellStyle name="Note 2 2 6 2" xfId="2873" xr:uid="{00000000-0005-0000-0000-000051AB0000}"/>
    <cellStyle name="Note 2 2 6 2 2" xfId="5845" xr:uid="{00000000-0005-0000-0000-000052AB0000}"/>
    <cellStyle name="Note 2 2 6 2 2 2" xfId="11495" xr:uid="{00000000-0005-0000-0000-000053AB0000}"/>
    <cellStyle name="Note 2 2 6 2 2 2 2" xfId="22796" xr:uid="{00000000-0005-0000-0000-000054AB0000}"/>
    <cellStyle name="Note 2 2 6 2 2 2 2 2" xfId="45398" xr:uid="{00000000-0005-0000-0000-000055AB0000}"/>
    <cellStyle name="Note 2 2 6 2 2 2 3" xfId="34097" xr:uid="{00000000-0005-0000-0000-000056AB0000}"/>
    <cellStyle name="Note 2 2 6 2 2 3" xfId="17146" xr:uid="{00000000-0005-0000-0000-000057AB0000}"/>
    <cellStyle name="Note 2 2 6 2 2 3 2" xfId="39748" xr:uid="{00000000-0005-0000-0000-000058AB0000}"/>
    <cellStyle name="Note 2 2 6 2 2 4" xfId="28447" xr:uid="{00000000-0005-0000-0000-000059AB0000}"/>
    <cellStyle name="Note 2 2 6 2 3" xfId="8663" xr:uid="{00000000-0005-0000-0000-00005AAB0000}"/>
    <cellStyle name="Note 2 2 6 2 3 2" xfId="19964" xr:uid="{00000000-0005-0000-0000-00005BAB0000}"/>
    <cellStyle name="Note 2 2 6 2 3 2 2" xfId="42566" xr:uid="{00000000-0005-0000-0000-00005CAB0000}"/>
    <cellStyle name="Note 2 2 6 2 3 3" xfId="31265" xr:uid="{00000000-0005-0000-0000-00005DAB0000}"/>
    <cellStyle name="Note 2 2 6 2 4" xfId="14314" xr:uid="{00000000-0005-0000-0000-00005EAB0000}"/>
    <cellStyle name="Note 2 2 6 2 4 2" xfId="36916" xr:uid="{00000000-0005-0000-0000-00005FAB0000}"/>
    <cellStyle name="Note 2 2 6 2 5" xfId="25615" xr:uid="{00000000-0005-0000-0000-000060AB0000}"/>
    <cellStyle name="Note 2 2 6 3" xfId="4611" xr:uid="{00000000-0005-0000-0000-000061AB0000}"/>
    <cellStyle name="Note 2 2 6 3 2" xfId="10261" xr:uid="{00000000-0005-0000-0000-000062AB0000}"/>
    <cellStyle name="Note 2 2 6 3 2 2" xfId="21562" xr:uid="{00000000-0005-0000-0000-000063AB0000}"/>
    <cellStyle name="Note 2 2 6 3 2 2 2" xfId="44164" xr:uid="{00000000-0005-0000-0000-000064AB0000}"/>
    <cellStyle name="Note 2 2 6 3 2 3" xfId="32863" xr:uid="{00000000-0005-0000-0000-000065AB0000}"/>
    <cellStyle name="Note 2 2 6 3 3" xfId="15912" xr:uid="{00000000-0005-0000-0000-000066AB0000}"/>
    <cellStyle name="Note 2 2 6 3 3 2" xfId="38514" xr:uid="{00000000-0005-0000-0000-000067AB0000}"/>
    <cellStyle name="Note 2 2 6 3 4" xfId="27213" xr:uid="{00000000-0005-0000-0000-000068AB0000}"/>
    <cellStyle name="Note 2 2 6 4" xfId="6793" xr:uid="{00000000-0005-0000-0000-000069AB0000}"/>
    <cellStyle name="Note 2 2 6 4 2" xfId="18094" xr:uid="{00000000-0005-0000-0000-00006AAB0000}"/>
    <cellStyle name="Note 2 2 6 4 2 2" xfId="40696" xr:uid="{00000000-0005-0000-0000-00006BAB0000}"/>
    <cellStyle name="Note 2 2 6 4 3" xfId="29395" xr:uid="{00000000-0005-0000-0000-00006CAB0000}"/>
    <cellStyle name="Note 2 2 6 5" xfId="12444" xr:uid="{00000000-0005-0000-0000-00006DAB0000}"/>
    <cellStyle name="Note 2 2 6 5 2" xfId="35046" xr:uid="{00000000-0005-0000-0000-00006EAB0000}"/>
    <cellStyle name="Note 2 2 6 6" xfId="23745" xr:uid="{00000000-0005-0000-0000-00006FAB0000}"/>
    <cellStyle name="Note 2 2 7" xfId="2126" xr:uid="{00000000-0005-0000-0000-000070AB0000}"/>
    <cellStyle name="Note 2 2 7 2" xfId="3870" xr:uid="{00000000-0005-0000-0000-000071AB0000}"/>
    <cellStyle name="Note 2 2 7 2 2" xfId="9578" xr:uid="{00000000-0005-0000-0000-000072AB0000}"/>
    <cellStyle name="Note 2 2 7 2 2 2" xfId="20879" xr:uid="{00000000-0005-0000-0000-000073AB0000}"/>
    <cellStyle name="Note 2 2 7 2 2 2 2" xfId="43481" xr:uid="{00000000-0005-0000-0000-000074AB0000}"/>
    <cellStyle name="Note 2 2 7 2 2 3" xfId="32180" xr:uid="{00000000-0005-0000-0000-000075AB0000}"/>
    <cellStyle name="Note 2 2 7 2 3" xfId="15229" xr:uid="{00000000-0005-0000-0000-000076AB0000}"/>
    <cellStyle name="Note 2 2 7 2 3 2" xfId="37831" xr:uid="{00000000-0005-0000-0000-000077AB0000}"/>
    <cellStyle name="Note 2 2 7 2 4" xfId="26530" xr:uid="{00000000-0005-0000-0000-000078AB0000}"/>
    <cellStyle name="Note 2 2 7 3" xfId="5221" xr:uid="{00000000-0005-0000-0000-000079AB0000}"/>
    <cellStyle name="Note 2 2 7 3 2" xfId="10871" xr:uid="{00000000-0005-0000-0000-00007AAB0000}"/>
    <cellStyle name="Note 2 2 7 3 2 2" xfId="22172" xr:uid="{00000000-0005-0000-0000-00007BAB0000}"/>
    <cellStyle name="Note 2 2 7 3 2 2 2" xfId="44774" xr:uid="{00000000-0005-0000-0000-00007CAB0000}"/>
    <cellStyle name="Note 2 2 7 3 2 3" xfId="33473" xr:uid="{00000000-0005-0000-0000-00007DAB0000}"/>
    <cellStyle name="Note 2 2 7 3 3" xfId="16522" xr:uid="{00000000-0005-0000-0000-00007EAB0000}"/>
    <cellStyle name="Note 2 2 7 3 3 2" xfId="39124" xr:uid="{00000000-0005-0000-0000-00007FAB0000}"/>
    <cellStyle name="Note 2 2 7 3 4" xfId="27823" xr:uid="{00000000-0005-0000-0000-000080AB0000}"/>
    <cellStyle name="Note 2 2 7 4" xfId="7982" xr:uid="{00000000-0005-0000-0000-000081AB0000}"/>
    <cellStyle name="Note 2 2 7 4 2" xfId="19283" xr:uid="{00000000-0005-0000-0000-000082AB0000}"/>
    <cellStyle name="Note 2 2 7 4 2 2" xfId="41885" xr:uid="{00000000-0005-0000-0000-000083AB0000}"/>
    <cellStyle name="Note 2 2 7 4 3" xfId="30584" xr:uid="{00000000-0005-0000-0000-000084AB0000}"/>
    <cellStyle name="Note 2 2 7 5" xfId="13633" xr:uid="{00000000-0005-0000-0000-000085AB0000}"/>
    <cellStyle name="Note 2 2 7 5 2" xfId="36235" xr:uid="{00000000-0005-0000-0000-000086AB0000}"/>
    <cellStyle name="Note 2 2 7 6" xfId="24934" xr:uid="{00000000-0005-0000-0000-000087AB0000}"/>
    <cellStyle name="Note 2 2 8" xfId="2191" xr:uid="{00000000-0005-0000-0000-000088AB0000}"/>
    <cellStyle name="Note 2 2 8 2" xfId="8035" xr:uid="{00000000-0005-0000-0000-000089AB0000}"/>
    <cellStyle name="Note 2 2 8 2 2" xfId="19336" xr:uid="{00000000-0005-0000-0000-00008AAB0000}"/>
    <cellStyle name="Note 2 2 8 2 2 2" xfId="41938" xr:uid="{00000000-0005-0000-0000-00008BAB0000}"/>
    <cellStyle name="Note 2 2 8 2 3" xfId="30637" xr:uid="{00000000-0005-0000-0000-00008CAB0000}"/>
    <cellStyle name="Note 2 2 8 3" xfId="13686" xr:uid="{00000000-0005-0000-0000-00008DAB0000}"/>
    <cellStyle name="Note 2 2 8 3 2" xfId="36288" xr:uid="{00000000-0005-0000-0000-00008EAB0000}"/>
    <cellStyle name="Note 2 2 8 4" xfId="24987" xr:uid="{00000000-0005-0000-0000-00008FAB0000}"/>
    <cellStyle name="Note 2 2 9" xfId="3987" xr:uid="{00000000-0005-0000-0000-000090AB0000}"/>
    <cellStyle name="Note 2 2 9 2" xfId="9637" xr:uid="{00000000-0005-0000-0000-000091AB0000}"/>
    <cellStyle name="Note 2 2 9 2 2" xfId="20938" xr:uid="{00000000-0005-0000-0000-000092AB0000}"/>
    <cellStyle name="Note 2 2 9 2 2 2" xfId="43540" xr:uid="{00000000-0005-0000-0000-000093AB0000}"/>
    <cellStyle name="Note 2 2 9 2 3" xfId="32239" xr:uid="{00000000-0005-0000-0000-000094AB0000}"/>
    <cellStyle name="Note 2 2 9 3" xfId="15288" xr:uid="{00000000-0005-0000-0000-000095AB0000}"/>
    <cellStyle name="Note 2 2 9 3 2" xfId="37890" xr:uid="{00000000-0005-0000-0000-000096AB0000}"/>
    <cellStyle name="Note 2 2 9 4" xfId="26589" xr:uid="{00000000-0005-0000-0000-000097AB0000}"/>
    <cellStyle name="Note 2 3" xfId="336" xr:uid="{00000000-0005-0000-0000-000098AB0000}"/>
    <cellStyle name="Note 2 4" xfId="404" xr:uid="{00000000-0005-0000-0000-000099AB0000}"/>
    <cellStyle name="Note 2 4 10" xfId="23499" xr:uid="{00000000-0005-0000-0000-00009AAB0000}"/>
    <cellStyle name="Note 2 4 2" xfId="649" xr:uid="{00000000-0005-0000-0000-00009BAB0000}"/>
    <cellStyle name="Note 2 4 2 2" xfId="1359" xr:uid="{00000000-0005-0000-0000-00009CAB0000}"/>
    <cellStyle name="Note 2 4 2 2 2" xfId="2138" xr:uid="{00000000-0005-0000-0000-00009DAB0000}"/>
    <cellStyle name="Note 2 4 2 2 2 2" xfId="3428" xr:uid="{00000000-0005-0000-0000-00009EAB0000}"/>
    <cellStyle name="Note 2 4 2 2 2 2 2" xfId="6400" xr:uid="{00000000-0005-0000-0000-00009FAB0000}"/>
    <cellStyle name="Note 2 4 2 2 2 2 2 2" xfId="12050" xr:uid="{00000000-0005-0000-0000-0000A0AB0000}"/>
    <cellStyle name="Note 2 4 2 2 2 2 2 2 2" xfId="23351" xr:uid="{00000000-0005-0000-0000-0000A1AB0000}"/>
    <cellStyle name="Note 2 4 2 2 2 2 2 2 2 2" xfId="45953" xr:uid="{00000000-0005-0000-0000-0000A2AB0000}"/>
    <cellStyle name="Note 2 4 2 2 2 2 2 2 3" xfId="34652" xr:uid="{00000000-0005-0000-0000-0000A3AB0000}"/>
    <cellStyle name="Note 2 4 2 2 2 2 2 3" xfId="17701" xr:uid="{00000000-0005-0000-0000-0000A4AB0000}"/>
    <cellStyle name="Note 2 4 2 2 2 2 2 3 2" xfId="40303" xr:uid="{00000000-0005-0000-0000-0000A5AB0000}"/>
    <cellStyle name="Note 2 4 2 2 2 2 2 4" xfId="29002" xr:uid="{00000000-0005-0000-0000-0000A6AB0000}"/>
    <cellStyle name="Note 2 4 2 2 2 2 3" xfId="9218" xr:uid="{00000000-0005-0000-0000-0000A7AB0000}"/>
    <cellStyle name="Note 2 4 2 2 2 2 3 2" xfId="20519" xr:uid="{00000000-0005-0000-0000-0000A8AB0000}"/>
    <cellStyle name="Note 2 4 2 2 2 2 3 2 2" xfId="43121" xr:uid="{00000000-0005-0000-0000-0000A9AB0000}"/>
    <cellStyle name="Note 2 4 2 2 2 2 3 3" xfId="31820" xr:uid="{00000000-0005-0000-0000-0000AAAB0000}"/>
    <cellStyle name="Note 2 4 2 2 2 2 4" xfId="14869" xr:uid="{00000000-0005-0000-0000-0000ABAB0000}"/>
    <cellStyle name="Note 2 4 2 2 2 2 4 2" xfId="37471" xr:uid="{00000000-0005-0000-0000-0000ACAB0000}"/>
    <cellStyle name="Note 2 4 2 2 2 2 5" xfId="26170" xr:uid="{00000000-0005-0000-0000-0000ADAB0000}"/>
    <cellStyle name="Note 2 4 2 2 2 3" xfId="5166" xr:uid="{00000000-0005-0000-0000-0000AEAB0000}"/>
    <cellStyle name="Note 2 4 2 2 2 3 2" xfId="10816" xr:uid="{00000000-0005-0000-0000-0000AFAB0000}"/>
    <cellStyle name="Note 2 4 2 2 2 3 2 2" xfId="22117" xr:uid="{00000000-0005-0000-0000-0000B0AB0000}"/>
    <cellStyle name="Note 2 4 2 2 2 3 2 2 2" xfId="44719" xr:uid="{00000000-0005-0000-0000-0000B1AB0000}"/>
    <cellStyle name="Note 2 4 2 2 2 3 2 3" xfId="33418" xr:uid="{00000000-0005-0000-0000-0000B2AB0000}"/>
    <cellStyle name="Note 2 4 2 2 2 3 3" xfId="16467" xr:uid="{00000000-0005-0000-0000-0000B3AB0000}"/>
    <cellStyle name="Note 2 4 2 2 2 3 3 2" xfId="39069" xr:uid="{00000000-0005-0000-0000-0000B4AB0000}"/>
    <cellStyle name="Note 2 4 2 2 2 3 4" xfId="27768" xr:uid="{00000000-0005-0000-0000-0000B5AB0000}"/>
    <cellStyle name="Note 2 4 2 2 2 4" xfId="7994" xr:uid="{00000000-0005-0000-0000-0000B6AB0000}"/>
    <cellStyle name="Note 2 4 2 2 2 4 2" xfId="19295" xr:uid="{00000000-0005-0000-0000-0000B7AB0000}"/>
    <cellStyle name="Note 2 4 2 2 2 4 2 2" xfId="41897" xr:uid="{00000000-0005-0000-0000-0000B8AB0000}"/>
    <cellStyle name="Note 2 4 2 2 2 4 3" xfId="30596" xr:uid="{00000000-0005-0000-0000-0000B9AB0000}"/>
    <cellStyle name="Note 2 4 2 2 2 5" xfId="13645" xr:uid="{00000000-0005-0000-0000-0000BAAB0000}"/>
    <cellStyle name="Note 2 4 2 2 2 5 2" xfId="36247" xr:uid="{00000000-0005-0000-0000-0000BBAB0000}"/>
    <cellStyle name="Note 2 4 2 2 2 6" xfId="24946" xr:uid="{00000000-0005-0000-0000-0000BCAB0000}"/>
    <cellStyle name="Note 2 4 2 2 3" xfId="2757" xr:uid="{00000000-0005-0000-0000-0000BDAB0000}"/>
    <cellStyle name="Note 2 4 2 2 3 2" xfId="5776" xr:uid="{00000000-0005-0000-0000-0000BEAB0000}"/>
    <cellStyle name="Note 2 4 2 2 3 2 2" xfId="11426" xr:uid="{00000000-0005-0000-0000-0000BFAB0000}"/>
    <cellStyle name="Note 2 4 2 2 3 2 2 2" xfId="22727" xr:uid="{00000000-0005-0000-0000-0000C0AB0000}"/>
    <cellStyle name="Note 2 4 2 2 3 2 2 2 2" xfId="45329" xr:uid="{00000000-0005-0000-0000-0000C1AB0000}"/>
    <cellStyle name="Note 2 4 2 2 3 2 2 3" xfId="34028" xr:uid="{00000000-0005-0000-0000-0000C2AB0000}"/>
    <cellStyle name="Note 2 4 2 2 3 2 3" xfId="17077" xr:uid="{00000000-0005-0000-0000-0000C3AB0000}"/>
    <cellStyle name="Note 2 4 2 2 3 2 3 2" xfId="39679" xr:uid="{00000000-0005-0000-0000-0000C4AB0000}"/>
    <cellStyle name="Note 2 4 2 2 3 2 4" xfId="28378" xr:uid="{00000000-0005-0000-0000-0000C5AB0000}"/>
    <cellStyle name="Note 2 4 2 2 3 3" xfId="8593" xr:uid="{00000000-0005-0000-0000-0000C6AB0000}"/>
    <cellStyle name="Note 2 4 2 2 3 3 2" xfId="19894" xr:uid="{00000000-0005-0000-0000-0000C7AB0000}"/>
    <cellStyle name="Note 2 4 2 2 3 3 2 2" xfId="42496" xr:uid="{00000000-0005-0000-0000-0000C8AB0000}"/>
    <cellStyle name="Note 2 4 2 2 3 3 3" xfId="31195" xr:uid="{00000000-0005-0000-0000-0000C9AB0000}"/>
    <cellStyle name="Note 2 4 2 2 3 4" xfId="14244" xr:uid="{00000000-0005-0000-0000-0000CAAB0000}"/>
    <cellStyle name="Note 2 4 2 2 3 4 2" xfId="36846" xr:uid="{00000000-0005-0000-0000-0000CBAB0000}"/>
    <cellStyle name="Note 2 4 2 2 3 5" xfId="25545" xr:uid="{00000000-0005-0000-0000-0000CCAB0000}"/>
    <cellStyle name="Note 2 4 2 2 4" xfId="4542" xr:uid="{00000000-0005-0000-0000-0000CDAB0000}"/>
    <cellStyle name="Note 2 4 2 2 4 2" xfId="10192" xr:uid="{00000000-0005-0000-0000-0000CEAB0000}"/>
    <cellStyle name="Note 2 4 2 2 4 2 2" xfId="21493" xr:uid="{00000000-0005-0000-0000-0000CFAB0000}"/>
    <cellStyle name="Note 2 4 2 2 4 2 2 2" xfId="44095" xr:uid="{00000000-0005-0000-0000-0000D0AB0000}"/>
    <cellStyle name="Note 2 4 2 2 4 2 3" xfId="32794" xr:uid="{00000000-0005-0000-0000-0000D1AB0000}"/>
    <cellStyle name="Note 2 4 2 2 4 3" xfId="15843" xr:uid="{00000000-0005-0000-0000-0000D2AB0000}"/>
    <cellStyle name="Note 2 4 2 2 4 3 2" xfId="38445" xr:uid="{00000000-0005-0000-0000-0000D3AB0000}"/>
    <cellStyle name="Note 2 4 2 2 4 4" xfId="27144" xr:uid="{00000000-0005-0000-0000-0000D4AB0000}"/>
    <cellStyle name="Note 2 4 2 2 5" xfId="7338" xr:uid="{00000000-0005-0000-0000-0000D5AB0000}"/>
    <cellStyle name="Note 2 4 2 2 5 2" xfId="18639" xr:uid="{00000000-0005-0000-0000-0000D6AB0000}"/>
    <cellStyle name="Note 2 4 2 2 5 2 2" xfId="41241" xr:uid="{00000000-0005-0000-0000-0000D7AB0000}"/>
    <cellStyle name="Note 2 4 2 2 5 3" xfId="29940" xr:uid="{00000000-0005-0000-0000-0000D8AB0000}"/>
    <cellStyle name="Note 2 4 2 2 6" xfId="12989" xr:uid="{00000000-0005-0000-0000-0000D9AB0000}"/>
    <cellStyle name="Note 2 4 2 2 6 2" xfId="35591" xr:uid="{00000000-0005-0000-0000-0000DAAB0000}"/>
    <cellStyle name="Note 2 4 2 2 7" xfId="24290" xr:uid="{00000000-0005-0000-0000-0000DBAB0000}"/>
    <cellStyle name="Note 2 4 2 3" xfId="1057" xr:uid="{00000000-0005-0000-0000-0000DCAB0000}"/>
    <cellStyle name="Note 2 4 2 3 2" xfId="3120" xr:uid="{00000000-0005-0000-0000-0000DDAB0000}"/>
    <cellStyle name="Note 2 4 2 3 2 2" xfId="6092" xr:uid="{00000000-0005-0000-0000-0000DEAB0000}"/>
    <cellStyle name="Note 2 4 2 3 2 2 2" xfId="11742" xr:uid="{00000000-0005-0000-0000-0000DFAB0000}"/>
    <cellStyle name="Note 2 4 2 3 2 2 2 2" xfId="23043" xr:uid="{00000000-0005-0000-0000-0000E0AB0000}"/>
    <cellStyle name="Note 2 4 2 3 2 2 2 2 2" xfId="45645" xr:uid="{00000000-0005-0000-0000-0000E1AB0000}"/>
    <cellStyle name="Note 2 4 2 3 2 2 2 3" xfId="34344" xr:uid="{00000000-0005-0000-0000-0000E2AB0000}"/>
    <cellStyle name="Note 2 4 2 3 2 2 3" xfId="17393" xr:uid="{00000000-0005-0000-0000-0000E3AB0000}"/>
    <cellStyle name="Note 2 4 2 3 2 2 3 2" xfId="39995" xr:uid="{00000000-0005-0000-0000-0000E4AB0000}"/>
    <cellStyle name="Note 2 4 2 3 2 2 4" xfId="28694" xr:uid="{00000000-0005-0000-0000-0000E5AB0000}"/>
    <cellStyle name="Note 2 4 2 3 2 3" xfId="8910" xr:uid="{00000000-0005-0000-0000-0000E6AB0000}"/>
    <cellStyle name="Note 2 4 2 3 2 3 2" xfId="20211" xr:uid="{00000000-0005-0000-0000-0000E7AB0000}"/>
    <cellStyle name="Note 2 4 2 3 2 3 2 2" xfId="42813" xr:uid="{00000000-0005-0000-0000-0000E8AB0000}"/>
    <cellStyle name="Note 2 4 2 3 2 3 3" xfId="31512" xr:uid="{00000000-0005-0000-0000-0000E9AB0000}"/>
    <cellStyle name="Note 2 4 2 3 2 4" xfId="14561" xr:uid="{00000000-0005-0000-0000-0000EAAB0000}"/>
    <cellStyle name="Note 2 4 2 3 2 4 2" xfId="37163" xr:uid="{00000000-0005-0000-0000-0000EBAB0000}"/>
    <cellStyle name="Note 2 4 2 3 2 5" xfId="25862" xr:uid="{00000000-0005-0000-0000-0000ECAB0000}"/>
    <cellStyle name="Note 2 4 2 3 3" xfId="4858" xr:uid="{00000000-0005-0000-0000-0000EDAB0000}"/>
    <cellStyle name="Note 2 4 2 3 3 2" xfId="10508" xr:uid="{00000000-0005-0000-0000-0000EEAB0000}"/>
    <cellStyle name="Note 2 4 2 3 3 2 2" xfId="21809" xr:uid="{00000000-0005-0000-0000-0000EFAB0000}"/>
    <cellStyle name="Note 2 4 2 3 3 2 2 2" xfId="44411" xr:uid="{00000000-0005-0000-0000-0000F0AB0000}"/>
    <cellStyle name="Note 2 4 2 3 3 2 3" xfId="33110" xr:uid="{00000000-0005-0000-0000-0000F1AB0000}"/>
    <cellStyle name="Note 2 4 2 3 3 3" xfId="16159" xr:uid="{00000000-0005-0000-0000-0000F2AB0000}"/>
    <cellStyle name="Note 2 4 2 3 3 3 2" xfId="38761" xr:uid="{00000000-0005-0000-0000-0000F3AB0000}"/>
    <cellStyle name="Note 2 4 2 3 3 4" xfId="27460" xr:uid="{00000000-0005-0000-0000-0000F4AB0000}"/>
    <cellStyle name="Note 2 4 2 3 4" xfId="7045" xr:uid="{00000000-0005-0000-0000-0000F5AB0000}"/>
    <cellStyle name="Note 2 4 2 3 4 2" xfId="18346" xr:uid="{00000000-0005-0000-0000-0000F6AB0000}"/>
    <cellStyle name="Note 2 4 2 3 4 2 2" xfId="40948" xr:uid="{00000000-0005-0000-0000-0000F7AB0000}"/>
    <cellStyle name="Note 2 4 2 3 4 3" xfId="29647" xr:uid="{00000000-0005-0000-0000-0000F8AB0000}"/>
    <cellStyle name="Note 2 4 2 3 5" xfId="12696" xr:uid="{00000000-0005-0000-0000-0000F9AB0000}"/>
    <cellStyle name="Note 2 4 2 3 5 2" xfId="35298" xr:uid="{00000000-0005-0000-0000-0000FAAB0000}"/>
    <cellStyle name="Note 2 4 2 3 6" xfId="23997" xr:uid="{00000000-0005-0000-0000-0000FBAB0000}"/>
    <cellStyle name="Note 2 4 2 4" xfId="2137" xr:uid="{00000000-0005-0000-0000-0000FCAB0000}"/>
    <cellStyle name="Note 2 4 2 4 2" xfId="3876" xr:uid="{00000000-0005-0000-0000-0000FDAB0000}"/>
    <cellStyle name="Note 2 4 2 4 2 2" xfId="9584" xr:uid="{00000000-0005-0000-0000-0000FEAB0000}"/>
    <cellStyle name="Note 2 4 2 4 2 2 2" xfId="20885" xr:uid="{00000000-0005-0000-0000-0000FFAB0000}"/>
    <cellStyle name="Note 2 4 2 4 2 2 2 2" xfId="43487" xr:uid="{00000000-0005-0000-0000-000000AC0000}"/>
    <cellStyle name="Note 2 4 2 4 2 2 3" xfId="32186" xr:uid="{00000000-0005-0000-0000-000001AC0000}"/>
    <cellStyle name="Note 2 4 2 4 2 3" xfId="15235" xr:uid="{00000000-0005-0000-0000-000002AC0000}"/>
    <cellStyle name="Note 2 4 2 4 2 3 2" xfId="37837" xr:uid="{00000000-0005-0000-0000-000003AC0000}"/>
    <cellStyle name="Note 2 4 2 4 2 4" xfId="26536" xr:uid="{00000000-0005-0000-0000-000004AC0000}"/>
    <cellStyle name="Note 2 4 2 4 3" xfId="5468" xr:uid="{00000000-0005-0000-0000-000005AC0000}"/>
    <cellStyle name="Note 2 4 2 4 3 2" xfId="11118" xr:uid="{00000000-0005-0000-0000-000006AC0000}"/>
    <cellStyle name="Note 2 4 2 4 3 2 2" xfId="22419" xr:uid="{00000000-0005-0000-0000-000007AC0000}"/>
    <cellStyle name="Note 2 4 2 4 3 2 2 2" xfId="45021" xr:uid="{00000000-0005-0000-0000-000008AC0000}"/>
    <cellStyle name="Note 2 4 2 4 3 2 3" xfId="33720" xr:uid="{00000000-0005-0000-0000-000009AC0000}"/>
    <cellStyle name="Note 2 4 2 4 3 3" xfId="16769" xr:uid="{00000000-0005-0000-0000-00000AAC0000}"/>
    <cellStyle name="Note 2 4 2 4 3 3 2" xfId="39371" xr:uid="{00000000-0005-0000-0000-00000BAC0000}"/>
    <cellStyle name="Note 2 4 2 4 3 4" xfId="28070" xr:uid="{00000000-0005-0000-0000-00000CAC0000}"/>
    <cellStyle name="Note 2 4 2 4 4" xfId="7993" xr:uid="{00000000-0005-0000-0000-00000DAC0000}"/>
    <cellStyle name="Note 2 4 2 4 4 2" xfId="19294" xr:uid="{00000000-0005-0000-0000-00000EAC0000}"/>
    <cellStyle name="Note 2 4 2 4 4 2 2" xfId="41896" xr:uid="{00000000-0005-0000-0000-00000FAC0000}"/>
    <cellStyle name="Note 2 4 2 4 4 3" xfId="30595" xr:uid="{00000000-0005-0000-0000-000010AC0000}"/>
    <cellStyle name="Note 2 4 2 4 5" xfId="13644" xr:uid="{00000000-0005-0000-0000-000011AC0000}"/>
    <cellStyle name="Note 2 4 2 4 5 2" xfId="36246" xr:uid="{00000000-0005-0000-0000-000012AC0000}"/>
    <cellStyle name="Note 2 4 2 4 6" xfId="24945" xr:uid="{00000000-0005-0000-0000-000013AC0000}"/>
    <cellStyle name="Note 2 4 2 5" xfId="2449" xr:uid="{00000000-0005-0000-0000-000014AC0000}"/>
    <cellStyle name="Note 2 4 2 5 2" xfId="8285" xr:uid="{00000000-0005-0000-0000-000015AC0000}"/>
    <cellStyle name="Note 2 4 2 5 2 2" xfId="19586" xr:uid="{00000000-0005-0000-0000-000016AC0000}"/>
    <cellStyle name="Note 2 4 2 5 2 2 2" xfId="42188" xr:uid="{00000000-0005-0000-0000-000017AC0000}"/>
    <cellStyle name="Note 2 4 2 5 2 3" xfId="30887" xr:uid="{00000000-0005-0000-0000-000018AC0000}"/>
    <cellStyle name="Note 2 4 2 5 3" xfId="13936" xr:uid="{00000000-0005-0000-0000-000019AC0000}"/>
    <cellStyle name="Note 2 4 2 5 3 2" xfId="36538" xr:uid="{00000000-0005-0000-0000-00001AAC0000}"/>
    <cellStyle name="Note 2 4 2 5 4" xfId="25237" xr:uid="{00000000-0005-0000-0000-00001BAC0000}"/>
    <cellStyle name="Note 2 4 2 6" xfId="4234" xr:uid="{00000000-0005-0000-0000-00001CAC0000}"/>
    <cellStyle name="Note 2 4 2 6 2" xfId="9884" xr:uid="{00000000-0005-0000-0000-00001DAC0000}"/>
    <cellStyle name="Note 2 4 2 6 2 2" xfId="21185" xr:uid="{00000000-0005-0000-0000-00001EAC0000}"/>
    <cellStyle name="Note 2 4 2 6 2 2 2" xfId="43787" xr:uid="{00000000-0005-0000-0000-00001FAC0000}"/>
    <cellStyle name="Note 2 4 2 6 2 3" xfId="32486" xr:uid="{00000000-0005-0000-0000-000020AC0000}"/>
    <cellStyle name="Note 2 4 2 6 3" xfId="15535" xr:uid="{00000000-0005-0000-0000-000021AC0000}"/>
    <cellStyle name="Note 2 4 2 6 3 2" xfId="38137" xr:uid="{00000000-0005-0000-0000-000022AC0000}"/>
    <cellStyle name="Note 2 4 2 6 4" xfId="26836" xr:uid="{00000000-0005-0000-0000-000023AC0000}"/>
    <cellStyle name="Note 2 4 2 7" xfId="6714" xr:uid="{00000000-0005-0000-0000-000024AC0000}"/>
    <cellStyle name="Note 2 4 2 7 2" xfId="18015" xr:uid="{00000000-0005-0000-0000-000025AC0000}"/>
    <cellStyle name="Note 2 4 2 7 2 2" xfId="40617" xr:uid="{00000000-0005-0000-0000-000026AC0000}"/>
    <cellStyle name="Note 2 4 2 7 3" xfId="29316" xr:uid="{00000000-0005-0000-0000-000027AC0000}"/>
    <cellStyle name="Note 2 4 2 8" xfId="12365" xr:uid="{00000000-0005-0000-0000-000028AC0000}"/>
    <cellStyle name="Note 2 4 2 8 2" xfId="34967" xr:uid="{00000000-0005-0000-0000-000029AC0000}"/>
    <cellStyle name="Note 2 4 2 9" xfId="23666" xr:uid="{00000000-0005-0000-0000-00002AAC0000}"/>
    <cellStyle name="Note 2 4 3" xfId="1221" xr:uid="{00000000-0005-0000-0000-00002BAC0000}"/>
    <cellStyle name="Note 2 4 3 2" xfId="2139" xr:uid="{00000000-0005-0000-0000-00002CAC0000}"/>
    <cellStyle name="Note 2 4 3 2 2" xfId="3289" xr:uid="{00000000-0005-0000-0000-00002DAC0000}"/>
    <cellStyle name="Note 2 4 3 2 2 2" xfId="6261" xr:uid="{00000000-0005-0000-0000-00002EAC0000}"/>
    <cellStyle name="Note 2 4 3 2 2 2 2" xfId="11911" xr:uid="{00000000-0005-0000-0000-00002FAC0000}"/>
    <cellStyle name="Note 2 4 3 2 2 2 2 2" xfId="23212" xr:uid="{00000000-0005-0000-0000-000030AC0000}"/>
    <cellStyle name="Note 2 4 3 2 2 2 2 2 2" xfId="45814" xr:uid="{00000000-0005-0000-0000-000031AC0000}"/>
    <cellStyle name="Note 2 4 3 2 2 2 2 3" xfId="34513" xr:uid="{00000000-0005-0000-0000-000032AC0000}"/>
    <cellStyle name="Note 2 4 3 2 2 2 3" xfId="17562" xr:uid="{00000000-0005-0000-0000-000033AC0000}"/>
    <cellStyle name="Note 2 4 3 2 2 2 3 2" xfId="40164" xr:uid="{00000000-0005-0000-0000-000034AC0000}"/>
    <cellStyle name="Note 2 4 3 2 2 2 4" xfId="28863" xr:uid="{00000000-0005-0000-0000-000035AC0000}"/>
    <cellStyle name="Note 2 4 3 2 2 3" xfId="9079" xr:uid="{00000000-0005-0000-0000-000036AC0000}"/>
    <cellStyle name="Note 2 4 3 2 2 3 2" xfId="20380" xr:uid="{00000000-0005-0000-0000-000037AC0000}"/>
    <cellStyle name="Note 2 4 3 2 2 3 2 2" xfId="42982" xr:uid="{00000000-0005-0000-0000-000038AC0000}"/>
    <cellStyle name="Note 2 4 3 2 2 3 3" xfId="31681" xr:uid="{00000000-0005-0000-0000-000039AC0000}"/>
    <cellStyle name="Note 2 4 3 2 2 4" xfId="14730" xr:uid="{00000000-0005-0000-0000-00003AAC0000}"/>
    <cellStyle name="Note 2 4 3 2 2 4 2" xfId="37332" xr:uid="{00000000-0005-0000-0000-00003BAC0000}"/>
    <cellStyle name="Note 2 4 3 2 2 5" xfId="26031" xr:uid="{00000000-0005-0000-0000-00003CAC0000}"/>
    <cellStyle name="Note 2 4 3 2 3" xfId="5027" xr:uid="{00000000-0005-0000-0000-00003DAC0000}"/>
    <cellStyle name="Note 2 4 3 2 3 2" xfId="10677" xr:uid="{00000000-0005-0000-0000-00003EAC0000}"/>
    <cellStyle name="Note 2 4 3 2 3 2 2" xfId="21978" xr:uid="{00000000-0005-0000-0000-00003FAC0000}"/>
    <cellStyle name="Note 2 4 3 2 3 2 2 2" xfId="44580" xr:uid="{00000000-0005-0000-0000-000040AC0000}"/>
    <cellStyle name="Note 2 4 3 2 3 2 3" xfId="33279" xr:uid="{00000000-0005-0000-0000-000041AC0000}"/>
    <cellStyle name="Note 2 4 3 2 3 3" xfId="16328" xr:uid="{00000000-0005-0000-0000-000042AC0000}"/>
    <cellStyle name="Note 2 4 3 2 3 3 2" xfId="38930" xr:uid="{00000000-0005-0000-0000-000043AC0000}"/>
    <cellStyle name="Note 2 4 3 2 3 4" xfId="27629" xr:uid="{00000000-0005-0000-0000-000044AC0000}"/>
    <cellStyle name="Note 2 4 3 2 4" xfId="7995" xr:uid="{00000000-0005-0000-0000-000045AC0000}"/>
    <cellStyle name="Note 2 4 3 2 4 2" xfId="19296" xr:uid="{00000000-0005-0000-0000-000046AC0000}"/>
    <cellStyle name="Note 2 4 3 2 4 2 2" xfId="41898" xr:uid="{00000000-0005-0000-0000-000047AC0000}"/>
    <cellStyle name="Note 2 4 3 2 4 3" xfId="30597" xr:uid="{00000000-0005-0000-0000-000048AC0000}"/>
    <cellStyle name="Note 2 4 3 2 5" xfId="13646" xr:uid="{00000000-0005-0000-0000-000049AC0000}"/>
    <cellStyle name="Note 2 4 3 2 5 2" xfId="36248" xr:uid="{00000000-0005-0000-0000-00004AAC0000}"/>
    <cellStyle name="Note 2 4 3 2 6" xfId="24947" xr:uid="{00000000-0005-0000-0000-00004BAC0000}"/>
    <cellStyle name="Note 2 4 3 3" xfId="2618" xr:uid="{00000000-0005-0000-0000-00004CAC0000}"/>
    <cellStyle name="Note 2 4 3 3 2" xfId="5637" xr:uid="{00000000-0005-0000-0000-00004DAC0000}"/>
    <cellStyle name="Note 2 4 3 3 2 2" xfId="11287" xr:uid="{00000000-0005-0000-0000-00004EAC0000}"/>
    <cellStyle name="Note 2 4 3 3 2 2 2" xfId="22588" xr:uid="{00000000-0005-0000-0000-00004FAC0000}"/>
    <cellStyle name="Note 2 4 3 3 2 2 2 2" xfId="45190" xr:uid="{00000000-0005-0000-0000-000050AC0000}"/>
    <cellStyle name="Note 2 4 3 3 2 2 3" xfId="33889" xr:uid="{00000000-0005-0000-0000-000051AC0000}"/>
    <cellStyle name="Note 2 4 3 3 2 3" xfId="16938" xr:uid="{00000000-0005-0000-0000-000052AC0000}"/>
    <cellStyle name="Note 2 4 3 3 2 3 2" xfId="39540" xr:uid="{00000000-0005-0000-0000-000053AC0000}"/>
    <cellStyle name="Note 2 4 3 3 2 4" xfId="28239" xr:uid="{00000000-0005-0000-0000-000054AC0000}"/>
    <cellStyle name="Note 2 4 3 3 3" xfId="8454" xr:uid="{00000000-0005-0000-0000-000055AC0000}"/>
    <cellStyle name="Note 2 4 3 3 3 2" xfId="19755" xr:uid="{00000000-0005-0000-0000-000056AC0000}"/>
    <cellStyle name="Note 2 4 3 3 3 2 2" xfId="42357" xr:uid="{00000000-0005-0000-0000-000057AC0000}"/>
    <cellStyle name="Note 2 4 3 3 3 3" xfId="31056" xr:uid="{00000000-0005-0000-0000-000058AC0000}"/>
    <cellStyle name="Note 2 4 3 3 4" xfId="14105" xr:uid="{00000000-0005-0000-0000-000059AC0000}"/>
    <cellStyle name="Note 2 4 3 3 4 2" xfId="36707" xr:uid="{00000000-0005-0000-0000-00005AAC0000}"/>
    <cellStyle name="Note 2 4 3 3 5" xfId="25406" xr:uid="{00000000-0005-0000-0000-00005BAC0000}"/>
    <cellStyle name="Note 2 4 3 4" xfId="4403" xr:uid="{00000000-0005-0000-0000-00005CAC0000}"/>
    <cellStyle name="Note 2 4 3 4 2" xfId="10053" xr:uid="{00000000-0005-0000-0000-00005DAC0000}"/>
    <cellStyle name="Note 2 4 3 4 2 2" xfId="21354" xr:uid="{00000000-0005-0000-0000-00005EAC0000}"/>
    <cellStyle name="Note 2 4 3 4 2 2 2" xfId="43956" xr:uid="{00000000-0005-0000-0000-00005FAC0000}"/>
    <cellStyle name="Note 2 4 3 4 2 3" xfId="32655" xr:uid="{00000000-0005-0000-0000-000060AC0000}"/>
    <cellStyle name="Note 2 4 3 4 3" xfId="15704" xr:uid="{00000000-0005-0000-0000-000061AC0000}"/>
    <cellStyle name="Note 2 4 3 4 3 2" xfId="38306" xr:uid="{00000000-0005-0000-0000-000062AC0000}"/>
    <cellStyle name="Note 2 4 3 4 4" xfId="27005" xr:uid="{00000000-0005-0000-0000-000063AC0000}"/>
    <cellStyle name="Note 2 4 3 5" xfId="7200" xr:uid="{00000000-0005-0000-0000-000064AC0000}"/>
    <cellStyle name="Note 2 4 3 5 2" xfId="18501" xr:uid="{00000000-0005-0000-0000-000065AC0000}"/>
    <cellStyle name="Note 2 4 3 5 2 2" xfId="41103" xr:uid="{00000000-0005-0000-0000-000066AC0000}"/>
    <cellStyle name="Note 2 4 3 5 3" xfId="29802" xr:uid="{00000000-0005-0000-0000-000067AC0000}"/>
    <cellStyle name="Note 2 4 3 6" xfId="12851" xr:uid="{00000000-0005-0000-0000-000068AC0000}"/>
    <cellStyle name="Note 2 4 3 6 2" xfId="35453" xr:uid="{00000000-0005-0000-0000-000069AC0000}"/>
    <cellStyle name="Note 2 4 3 7" xfId="24152" xr:uid="{00000000-0005-0000-0000-00006AAC0000}"/>
    <cellStyle name="Note 2 4 4" xfId="912" xr:uid="{00000000-0005-0000-0000-00006BAC0000}"/>
    <cellStyle name="Note 2 4 4 2" xfId="2982" xr:uid="{00000000-0005-0000-0000-00006CAC0000}"/>
    <cellStyle name="Note 2 4 4 2 2" xfId="5954" xr:uid="{00000000-0005-0000-0000-00006DAC0000}"/>
    <cellStyle name="Note 2 4 4 2 2 2" xfId="11604" xr:uid="{00000000-0005-0000-0000-00006EAC0000}"/>
    <cellStyle name="Note 2 4 4 2 2 2 2" xfId="22905" xr:uid="{00000000-0005-0000-0000-00006FAC0000}"/>
    <cellStyle name="Note 2 4 4 2 2 2 2 2" xfId="45507" xr:uid="{00000000-0005-0000-0000-000070AC0000}"/>
    <cellStyle name="Note 2 4 4 2 2 2 3" xfId="34206" xr:uid="{00000000-0005-0000-0000-000071AC0000}"/>
    <cellStyle name="Note 2 4 4 2 2 3" xfId="17255" xr:uid="{00000000-0005-0000-0000-000072AC0000}"/>
    <cellStyle name="Note 2 4 4 2 2 3 2" xfId="39857" xr:uid="{00000000-0005-0000-0000-000073AC0000}"/>
    <cellStyle name="Note 2 4 4 2 2 4" xfId="28556" xr:uid="{00000000-0005-0000-0000-000074AC0000}"/>
    <cellStyle name="Note 2 4 4 2 3" xfId="8772" xr:uid="{00000000-0005-0000-0000-000075AC0000}"/>
    <cellStyle name="Note 2 4 4 2 3 2" xfId="20073" xr:uid="{00000000-0005-0000-0000-000076AC0000}"/>
    <cellStyle name="Note 2 4 4 2 3 2 2" xfId="42675" xr:uid="{00000000-0005-0000-0000-000077AC0000}"/>
    <cellStyle name="Note 2 4 4 2 3 3" xfId="31374" xr:uid="{00000000-0005-0000-0000-000078AC0000}"/>
    <cellStyle name="Note 2 4 4 2 4" xfId="14423" xr:uid="{00000000-0005-0000-0000-000079AC0000}"/>
    <cellStyle name="Note 2 4 4 2 4 2" xfId="37025" xr:uid="{00000000-0005-0000-0000-00007AAC0000}"/>
    <cellStyle name="Note 2 4 4 2 5" xfId="25724" xr:uid="{00000000-0005-0000-0000-00007BAC0000}"/>
    <cellStyle name="Note 2 4 4 3" xfId="4720" xr:uid="{00000000-0005-0000-0000-00007CAC0000}"/>
    <cellStyle name="Note 2 4 4 3 2" xfId="10370" xr:uid="{00000000-0005-0000-0000-00007DAC0000}"/>
    <cellStyle name="Note 2 4 4 3 2 2" xfId="21671" xr:uid="{00000000-0005-0000-0000-00007EAC0000}"/>
    <cellStyle name="Note 2 4 4 3 2 2 2" xfId="44273" xr:uid="{00000000-0005-0000-0000-00007FAC0000}"/>
    <cellStyle name="Note 2 4 4 3 2 3" xfId="32972" xr:uid="{00000000-0005-0000-0000-000080AC0000}"/>
    <cellStyle name="Note 2 4 4 3 3" xfId="16021" xr:uid="{00000000-0005-0000-0000-000081AC0000}"/>
    <cellStyle name="Note 2 4 4 3 3 2" xfId="38623" xr:uid="{00000000-0005-0000-0000-000082AC0000}"/>
    <cellStyle name="Note 2 4 4 3 4" xfId="27322" xr:uid="{00000000-0005-0000-0000-000083AC0000}"/>
    <cellStyle name="Note 2 4 4 4" xfId="6907" xr:uid="{00000000-0005-0000-0000-000084AC0000}"/>
    <cellStyle name="Note 2 4 4 4 2" xfId="18208" xr:uid="{00000000-0005-0000-0000-000085AC0000}"/>
    <cellStyle name="Note 2 4 4 4 2 2" xfId="40810" xr:uid="{00000000-0005-0000-0000-000086AC0000}"/>
    <cellStyle name="Note 2 4 4 4 3" xfId="29509" xr:uid="{00000000-0005-0000-0000-000087AC0000}"/>
    <cellStyle name="Note 2 4 4 5" xfId="12558" xr:uid="{00000000-0005-0000-0000-000088AC0000}"/>
    <cellStyle name="Note 2 4 4 5 2" xfId="35160" xr:uid="{00000000-0005-0000-0000-000089AC0000}"/>
    <cellStyle name="Note 2 4 4 6" xfId="23859" xr:uid="{00000000-0005-0000-0000-00008AAC0000}"/>
    <cellStyle name="Note 2 4 5" xfId="2136" xr:uid="{00000000-0005-0000-0000-00008BAC0000}"/>
    <cellStyle name="Note 2 4 5 2" xfId="3875" xr:uid="{00000000-0005-0000-0000-00008CAC0000}"/>
    <cellStyle name="Note 2 4 5 2 2" xfId="9583" xr:uid="{00000000-0005-0000-0000-00008DAC0000}"/>
    <cellStyle name="Note 2 4 5 2 2 2" xfId="20884" xr:uid="{00000000-0005-0000-0000-00008EAC0000}"/>
    <cellStyle name="Note 2 4 5 2 2 2 2" xfId="43486" xr:uid="{00000000-0005-0000-0000-00008FAC0000}"/>
    <cellStyle name="Note 2 4 5 2 2 3" xfId="32185" xr:uid="{00000000-0005-0000-0000-000090AC0000}"/>
    <cellStyle name="Note 2 4 5 2 3" xfId="15234" xr:uid="{00000000-0005-0000-0000-000091AC0000}"/>
    <cellStyle name="Note 2 4 5 2 3 2" xfId="37836" xr:uid="{00000000-0005-0000-0000-000092AC0000}"/>
    <cellStyle name="Note 2 4 5 2 4" xfId="26535" xr:uid="{00000000-0005-0000-0000-000093AC0000}"/>
    <cellStyle name="Note 2 4 5 3" xfId="5330" xr:uid="{00000000-0005-0000-0000-000094AC0000}"/>
    <cellStyle name="Note 2 4 5 3 2" xfId="10980" xr:uid="{00000000-0005-0000-0000-000095AC0000}"/>
    <cellStyle name="Note 2 4 5 3 2 2" xfId="22281" xr:uid="{00000000-0005-0000-0000-000096AC0000}"/>
    <cellStyle name="Note 2 4 5 3 2 2 2" xfId="44883" xr:uid="{00000000-0005-0000-0000-000097AC0000}"/>
    <cellStyle name="Note 2 4 5 3 2 3" xfId="33582" xr:uid="{00000000-0005-0000-0000-000098AC0000}"/>
    <cellStyle name="Note 2 4 5 3 3" xfId="16631" xr:uid="{00000000-0005-0000-0000-000099AC0000}"/>
    <cellStyle name="Note 2 4 5 3 3 2" xfId="39233" xr:uid="{00000000-0005-0000-0000-00009AAC0000}"/>
    <cellStyle name="Note 2 4 5 3 4" xfId="27932" xr:uid="{00000000-0005-0000-0000-00009BAC0000}"/>
    <cellStyle name="Note 2 4 5 4" xfId="7992" xr:uid="{00000000-0005-0000-0000-00009CAC0000}"/>
    <cellStyle name="Note 2 4 5 4 2" xfId="19293" xr:uid="{00000000-0005-0000-0000-00009DAC0000}"/>
    <cellStyle name="Note 2 4 5 4 2 2" xfId="41895" xr:uid="{00000000-0005-0000-0000-00009EAC0000}"/>
    <cellStyle name="Note 2 4 5 4 3" xfId="30594" xr:uid="{00000000-0005-0000-0000-00009FAC0000}"/>
    <cellStyle name="Note 2 4 5 5" xfId="13643" xr:uid="{00000000-0005-0000-0000-0000A0AC0000}"/>
    <cellStyle name="Note 2 4 5 5 2" xfId="36245" xr:uid="{00000000-0005-0000-0000-0000A1AC0000}"/>
    <cellStyle name="Note 2 4 5 6" xfId="24944" xr:uid="{00000000-0005-0000-0000-0000A2AC0000}"/>
    <cellStyle name="Note 2 4 6" xfId="2309" xr:uid="{00000000-0005-0000-0000-0000A3AC0000}"/>
    <cellStyle name="Note 2 4 6 2" xfId="8145" xr:uid="{00000000-0005-0000-0000-0000A4AC0000}"/>
    <cellStyle name="Note 2 4 6 2 2" xfId="19446" xr:uid="{00000000-0005-0000-0000-0000A5AC0000}"/>
    <cellStyle name="Note 2 4 6 2 2 2" xfId="42048" xr:uid="{00000000-0005-0000-0000-0000A6AC0000}"/>
    <cellStyle name="Note 2 4 6 2 3" xfId="30747" xr:uid="{00000000-0005-0000-0000-0000A7AC0000}"/>
    <cellStyle name="Note 2 4 6 3" xfId="13796" xr:uid="{00000000-0005-0000-0000-0000A8AC0000}"/>
    <cellStyle name="Note 2 4 6 3 2" xfId="36398" xr:uid="{00000000-0005-0000-0000-0000A9AC0000}"/>
    <cellStyle name="Note 2 4 6 4" xfId="25097" xr:uid="{00000000-0005-0000-0000-0000AAAC0000}"/>
    <cellStyle name="Note 2 4 7" xfId="4096" xr:uid="{00000000-0005-0000-0000-0000ABAC0000}"/>
    <cellStyle name="Note 2 4 7 2" xfId="9746" xr:uid="{00000000-0005-0000-0000-0000ACAC0000}"/>
    <cellStyle name="Note 2 4 7 2 2" xfId="21047" xr:uid="{00000000-0005-0000-0000-0000ADAC0000}"/>
    <cellStyle name="Note 2 4 7 2 2 2" xfId="43649" xr:uid="{00000000-0005-0000-0000-0000AEAC0000}"/>
    <cellStyle name="Note 2 4 7 2 3" xfId="32348" xr:uid="{00000000-0005-0000-0000-0000AFAC0000}"/>
    <cellStyle name="Note 2 4 7 3" xfId="15397" xr:uid="{00000000-0005-0000-0000-0000B0AC0000}"/>
    <cellStyle name="Note 2 4 7 3 2" xfId="37999" xr:uid="{00000000-0005-0000-0000-0000B1AC0000}"/>
    <cellStyle name="Note 2 4 7 4" xfId="26698" xr:uid="{00000000-0005-0000-0000-0000B2AC0000}"/>
    <cellStyle name="Note 2 4 8" xfId="6547" xr:uid="{00000000-0005-0000-0000-0000B3AC0000}"/>
    <cellStyle name="Note 2 4 8 2" xfId="17848" xr:uid="{00000000-0005-0000-0000-0000B4AC0000}"/>
    <cellStyle name="Note 2 4 8 2 2" xfId="40450" xr:uid="{00000000-0005-0000-0000-0000B5AC0000}"/>
    <cellStyle name="Note 2 4 8 3" xfId="29149" xr:uid="{00000000-0005-0000-0000-0000B6AC0000}"/>
    <cellStyle name="Note 2 4 9" xfId="12198" xr:uid="{00000000-0005-0000-0000-0000B7AC0000}"/>
    <cellStyle name="Note 2 4 9 2" xfId="34800" xr:uid="{00000000-0005-0000-0000-0000B8AC0000}"/>
    <cellStyle name="Note 2 5" xfId="709" xr:uid="{00000000-0005-0000-0000-0000B9AC0000}"/>
    <cellStyle name="Note 2 5 2" xfId="715" xr:uid="{00000000-0005-0000-0000-0000BAAC0000}"/>
    <cellStyle name="Note 2 5 2 2" xfId="2812" xr:uid="{00000000-0005-0000-0000-0000BBAC0000}"/>
    <cellStyle name="Note 2 5 2 2 2" xfId="8645" xr:uid="{00000000-0005-0000-0000-0000BCAC0000}"/>
    <cellStyle name="Note 2 5 2 2 2 2" xfId="19946" xr:uid="{00000000-0005-0000-0000-0000BDAC0000}"/>
    <cellStyle name="Note 2 5 2 2 2 2 2" xfId="42548" xr:uid="{00000000-0005-0000-0000-0000BEAC0000}"/>
    <cellStyle name="Note 2 5 2 2 2 3" xfId="31247" xr:uid="{00000000-0005-0000-0000-0000BFAC0000}"/>
    <cellStyle name="Note 2 5 2 2 3" xfId="14296" xr:uid="{00000000-0005-0000-0000-0000C0AC0000}"/>
    <cellStyle name="Note 2 5 2 2 3 2" xfId="36898" xr:uid="{00000000-0005-0000-0000-0000C1AC0000}"/>
    <cellStyle name="Note 2 5 2 2 4" xfId="25597" xr:uid="{00000000-0005-0000-0000-0000C2AC0000}"/>
    <cellStyle name="Note 2 5 2 3" xfId="5841" xr:uid="{00000000-0005-0000-0000-0000C3AC0000}"/>
    <cellStyle name="Note 2 5 2 3 2" xfId="11491" xr:uid="{00000000-0005-0000-0000-0000C4AC0000}"/>
    <cellStyle name="Note 2 5 2 3 2 2" xfId="22792" xr:uid="{00000000-0005-0000-0000-0000C5AC0000}"/>
    <cellStyle name="Note 2 5 2 3 2 2 2" xfId="45394" xr:uid="{00000000-0005-0000-0000-0000C6AC0000}"/>
    <cellStyle name="Note 2 5 2 3 2 3" xfId="34093" xr:uid="{00000000-0005-0000-0000-0000C7AC0000}"/>
    <cellStyle name="Note 2 5 2 3 3" xfId="17142" xr:uid="{00000000-0005-0000-0000-0000C8AC0000}"/>
    <cellStyle name="Note 2 5 2 3 3 2" xfId="39744" xr:uid="{00000000-0005-0000-0000-0000C9AC0000}"/>
    <cellStyle name="Note 2 5 2 3 4" xfId="28443" xr:uid="{00000000-0005-0000-0000-0000CAAC0000}"/>
    <cellStyle name="Note 2 5 2 4" xfId="6774" xr:uid="{00000000-0005-0000-0000-0000CBAC0000}"/>
    <cellStyle name="Note 2 5 2 4 2" xfId="18075" xr:uid="{00000000-0005-0000-0000-0000CCAC0000}"/>
    <cellStyle name="Note 2 5 2 4 2 2" xfId="40677" xr:uid="{00000000-0005-0000-0000-0000CDAC0000}"/>
    <cellStyle name="Note 2 5 2 4 3" xfId="29376" xr:uid="{00000000-0005-0000-0000-0000CEAC0000}"/>
    <cellStyle name="Note 2 5 2 5" xfId="12425" xr:uid="{00000000-0005-0000-0000-0000CFAC0000}"/>
    <cellStyle name="Note 2 5 2 5 2" xfId="35027" xr:uid="{00000000-0005-0000-0000-0000D0AC0000}"/>
    <cellStyle name="Note 2 5 2 6" xfId="23726" xr:uid="{00000000-0005-0000-0000-0000D1AC0000}"/>
    <cellStyle name="Note 2 5 3" xfId="2826" xr:uid="{00000000-0005-0000-0000-0000D2AC0000}"/>
    <cellStyle name="Note 2 5 3 2" xfId="8659" xr:uid="{00000000-0005-0000-0000-0000D3AC0000}"/>
    <cellStyle name="Note 2 5 3 2 2" xfId="19960" xr:uid="{00000000-0005-0000-0000-0000D4AC0000}"/>
    <cellStyle name="Note 2 5 3 2 2 2" xfId="42562" xr:uid="{00000000-0005-0000-0000-0000D5AC0000}"/>
    <cellStyle name="Note 2 5 3 2 3" xfId="31261" xr:uid="{00000000-0005-0000-0000-0000D6AC0000}"/>
    <cellStyle name="Note 2 5 3 3" xfId="14310" xr:uid="{00000000-0005-0000-0000-0000D7AC0000}"/>
    <cellStyle name="Note 2 5 3 3 2" xfId="36912" xr:uid="{00000000-0005-0000-0000-0000D8AC0000}"/>
    <cellStyle name="Note 2 5 3 4" xfId="25611" xr:uid="{00000000-0005-0000-0000-0000D9AC0000}"/>
    <cellStyle name="Note 2 5 4" xfId="4607" xr:uid="{00000000-0005-0000-0000-0000DAAC0000}"/>
    <cellStyle name="Note 2 5 4 2" xfId="10257" xr:uid="{00000000-0005-0000-0000-0000DBAC0000}"/>
    <cellStyle name="Note 2 5 4 2 2" xfId="21558" xr:uid="{00000000-0005-0000-0000-0000DCAC0000}"/>
    <cellStyle name="Note 2 5 4 2 2 2" xfId="44160" xr:uid="{00000000-0005-0000-0000-0000DDAC0000}"/>
    <cellStyle name="Note 2 5 4 2 3" xfId="32859" xr:uid="{00000000-0005-0000-0000-0000DEAC0000}"/>
    <cellStyle name="Note 2 5 4 3" xfId="15908" xr:uid="{00000000-0005-0000-0000-0000DFAC0000}"/>
    <cellStyle name="Note 2 5 4 3 2" xfId="38510" xr:uid="{00000000-0005-0000-0000-0000E0AC0000}"/>
    <cellStyle name="Note 2 5 4 4" xfId="27209" xr:uid="{00000000-0005-0000-0000-0000E1AC0000}"/>
    <cellStyle name="Note 2 5 5" xfId="6772" xr:uid="{00000000-0005-0000-0000-0000E2AC0000}"/>
    <cellStyle name="Note 2 5 5 2" xfId="18073" xr:uid="{00000000-0005-0000-0000-0000E3AC0000}"/>
    <cellStyle name="Note 2 5 5 2 2" xfId="40675" xr:uid="{00000000-0005-0000-0000-0000E4AC0000}"/>
    <cellStyle name="Note 2 5 5 3" xfId="29374" xr:uid="{00000000-0005-0000-0000-0000E5AC0000}"/>
    <cellStyle name="Note 2 5 6" xfId="12423" xr:uid="{00000000-0005-0000-0000-0000E6AC0000}"/>
    <cellStyle name="Note 2 5 6 2" xfId="35025" xr:uid="{00000000-0005-0000-0000-0000E7AC0000}"/>
    <cellStyle name="Note 2 5 7" xfId="23724" xr:uid="{00000000-0005-0000-0000-0000E8AC0000}"/>
    <cellStyle name="Note 2 6" xfId="2865" xr:uid="{00000000-0005-0000-0000-0000E9AC0000}"/>
    <cellStyle name="Note 2 7" xfId="3543" xr:uid="{00000000-0005-0000-0000-0000EAAC0000}"/>
    <cellStyle name="Note 2 7 2" xfId="9291" xr:uid="{00000000-0005-0000-0000-0000EBAC0000}"/>
    <cellStyle name="Note 2 7 2 2" xfId="20592" xr:uid="{00000000-0005-0000-0000-0000ECAC0000}"/>
    <cellStyle name="Note 2 7 2 2 2" xfId="43194" xr:uid="{00000000-0005-0000-0000-0000EDAC0000}"/>
    <cellStyle name="Note 2 7 2 3" xfId="31893" xr:uid="{00000000-0005-0000-0000-0000EEAC0000}"/>
    <cellStyle name="Note 2 7 3" xfId="14942" xr:uid="{00000000-0005-0000-0000-0000EFAC0000}"/>
    <cellStyle name="Note 2 7 3 2" xfId="37544" xr:uid="{00000000-0005-0000-0000-0000F0AC0000}"/>
    <cellStyle name="Note 2 7 4" xfId="26243" xr:uid="{00000000-0005-0000-0000-0000F1AC0000}"/>
    <cellStyle name="Note 2 8" xfId="3931" xr:uid="{00000000-0005-0000-0000-0000F2AC0000}"/>
    <cellStyle name="Note 2 9" xfId="185" xr:uid="{00000000-0005-0000-0000-0000F3AC0000}"/>
    <cellStyle name="Note 3" xfId="206" xr:uid="{00000000-0005-0000-0000-0000F4AC0000}"/>
    <cellStyle name="Note 3 2" xfId="341" xr:uid="{00000000-0005-0000-0000-0000F5AC0000}"/>
    <cellStyle name="Note 3 2 10" xfId="23452" xr:uid="{00000000-0005-0000-0000-0000F6AC0000}"/>
    <cellStyle name="Note 3 2 2" xfId="602" xr:uid="{00000000-0005-0000-0000-0000F7AC0000}"/>
    <cellStyle name="Note 3 2 2 2" xfId="1312" xr:uid="{00000000-0005-0000-0000-0000F8AC0000}"/>
    <cellStyle name="Note 3 2 2 2 2" xfId="2142" xr:uid="{00000000-0005-0000-0000-0000F9AC0000}"/>
    <cellStyle name="Note 3 2 2 2 2 2" xfId="3381" xr:uid="{00000000-0005-0000-0000-0000FAAC0000}"/>
    <cellStyle name="Note 3 2 2 2 2 2 2" xfId="6353" xr:uid="{00000000-0005-0000-0000-0000FBAC0000}"/>
    <cellStyle name="Note 3 2 2 2 2 2 2 2" xfId="12003" xr:uid="{00000000-0005-0000-0000-0000FCAC0000}"/>
    <cellStyle name="Note 3 2 2 2 2 2 2 2 2" xfId="23304" xr:uid="{00000000-0005-0000-0000-0000FDAC0000}"/>
    <cellStyle name="Note 3 2 2 2 2 2 2 2 2 2" xfId="45906" xr:uid="{00000000-0005-0000-0000-0000FEAC0000}"/>
    <cellStyle name="Note 3 2 2 2 2 2 2 2 3" xfId="34605" xr:uid="{00000000-0005-0000-0000-0000FFAC0000}"/>
    <cellStyle name="Note 3 2 2 2 2 2 2 3" xfId="17654" xr:uid="{00000000-0005-0000-0000-000000AD0000}"/>
    <cellStyle name="Note 3 2 2 2 2 2 2 3 2" xfId="40256" xr:uid="{00000000-0005-0000-0000-000001AD0000}"/>
    <cellStyle name="Note 3 2 2 2 2 2 2 4" xfId="28955" xr:uid="{00000000-0005-0000-0000-000002AD0000}"/>
    <cellStyle name="Note 3 2 2 2 2 2 3" xfId="9171" xr:uid="{00000000-0005-0000-0000-000003AD0000}"/>
    <cellStyle name="Note 3 2 2 2 2 2 3 2" xfId="20472" xr:uid="{00000000-0005-0000-0000-000004AD0000}"/>
    <cellStyle name="Note 3 2 2 2 2 2 3 2 2" xfId="43074" xr:uid="{00000000-0005-0000-0000-000005AD0000}"/>
    <cellStyle name="Note 3 2 2 2 2 2 3 3" xfId="31773" xr:uid="{00000000-0005-0000-0000-000006AD0000}"/>
    <cellStyle name="Note 3 2 2 2 2 2 4" xfId="14822" xr:uid="{00000000-0005-0000-0000-000007AD0000}"/>
    <cellStyle name="Note 3 2 2 2 2 2 4 2" xfId="37424" xr:uid="{00000000-0005-0000-0000-000008AD0000}"/>
    <cellStyle name="Note 3 2 2 2 2 2 5" xfId="26123" xr:uid="{00000000-0005-0000-0000-000009AD0000}"/>
    <cellStyle name="Note 3 2 2 2 2 3" xfId="5119" xr:uid="{00000000-0005-0000-0000-00000AAD0000}"/>
    <cellStyle name="Note 3 2 2 2 2 3 2" xfId="10769" xr:uid="{00000000-0005-0000-0000-00000BAD0000}"/>
    <cellStyle name="Note 3 2 2 2 2 3 2 2" xfId="22070" xr:uid="{00000000-0005-0000-0000-00000CAD0000}"/>
    <cellStyle name="Note 3 2 2 2 2 3 2 2 2" xfId="44672" xr:uid="{00000000-0005-0000-0000-00000DAD0000}"/>
    <cellStyle name="Note 3 2 2 2 2 3 2 3" xfId="33371" xr:uid="{00000000-0005-0000-0000-00000EAD0000}"/>
    <cellStyle name="Note 3 2 2 2 2 3 3" xfId="16420" xr:uid="{00000000-0005-0000-0000-00000FAD0000}"/>
    <cellStyle name="Note 3 2 2 2 2 3 3 2" xfId="39022" xr:uid="{00000000-0005-0000-0000-000010AD0000}"/>
    <cellStyle name="Note 3 2 2 2 2 3 4" xfId="27721" xr:uid="{00000000-0005-0000-0000-000011AD0000}"/>
    <cellStyle name="Note 3 2 2 2 2 4" xfId="7998" xr:uid="{00000000-0005-0000-0000-000012AD0000}"/>
    <cellStyle name="Note 3 2 2 2 2 4 2" xfId="19299" xr:uid="{00000000-0005-0000-0000-000013AD0000}"/>
    <cellStyle name="Note 3 2 2 2 2 4 2 2" xfId="41901" xr:uid="{00000000-0005-0000-0000-000014AD0000}"/>
    <cellStyle name="Note 3 2 2 2 2 4 3" xfId="30600" xr:uid="{00000000-0005-0000-0000-000015AD0000}"/>
    <cellStyle name="Note 3 2 2 2 2 5" xfId="13649" xr:uid="{00000000-0005-0000-0000-000016AD0000}"/>
    <cellStyle name="Note 3 2 2 2 2 5 2" xfId="36251" xr:uid="{00000000-0005-0000-0000-000017AD0000}"/>
    <cellStyle name="Note 3 2 2 2 2 6" xfId="24950" xr:uid="{00000000-0005-0000-0000-000018AD0000}"/>
    <cellStyle name="Note 3 2 2 2 3" xfId="2710" xr:uid="{00000000-0005-0000-0000-000019AD0000}"/>
    <cellStyle name="Note 3 2 2 2 3 2" xfId="5729" xr:uid="{00000000-0005-0000-0000-00001AAD0000}"/>
    <cellStyle name="Note 3 2 2 2 3 2 2" xfId="11379" xr:uid="{00000000-0005-0000-0000-00001BAD0000}"/>
    <cellStyle name="Note 3 2 2 2 3 2 2 2" xfId="22680" xr:uid="{00000000-0005-0000-0000-00001CAD0000}"/>
    <cellStyle name="Note 3 2 2 2 3 2 2 2 2" xfId="45282" xr:uid="{00000000-0005-0000-0000-00001DAD0000}"/>
    <cellStyle name="Note 3 2 2 2 3 2 2 3" xfId="33981" xr:uid="{00000000-0005-0000-0000-00001EAD0000}"/>
    <cellStyle name="Note 3 2 2 2 3 2 3" xfId="17030" xr:uid="{00000000-0005-0000-0000-00001FAD0000}"/>
    <cellStyle name="Note 3 2 2 2 3 2 3 2" xfId="39632" xr:uid="{00000000-0005-0000-0000-000020AD0000}"/>
    <cellStyle name="Note 3 2 2 2 3 2 4" xfId="28331" xr:uid="{00000000-0005-0000-0000-000021AD0000}"/>
    <cellStyle name="Note 3 2 2 2 3 3" xfId="8546" xr:uid="{00000000-0005-0000-0000-000022AD0000}"/>
    <cellStyle name="Note 3 2 2 2 3 3 2" xfId="19847" xr:uid="{00000000-0005-0000-0000-000023AD0000}"/>
    <cellStyle name="Note 3 2 2 2 3 3 2 2" xfId="42449" xr:uid="{00000000-0005-0000-0000-000024AD0000}"/>
    <cellStyle name="Note 3 2 2 2 3 3 3" xfId="31148" xr:uid="{00000000-0005-0000-0000-000025AD0000}"/>
    <cellStyle name="Note 3 2 2 2 3 4" xfId="14197" xr:uid="{00000000-0005-0000-0000-000026AD0000}"/>
    <cellStyle name="Note 3 2 2 2 3 4 2" xfId="36799" xr:uid="{00000000-0005-0000-0000-000027AD0000}"/>
    <cellStyle name="Note 3 2 2 2 3 5" xfId="25498" xr:uid="{00000000-0005-0000-0000-000028AD0000}"/>
    <cellStyle name="Note 3 2 2 2 4" xfId="4495" xr:uid="{00000000-0005-0000-0000-000029AD0000}"/>
    <cellStyle name="Note 3 2 2 2 4 2" xfId="10145" xr:uid="{00000000-0005-0000-0000-00002AAD0000}"/>
    <cellStyle name="Note 3 2 2 2 4 2 2" xfId="21446" xr:uid="{00000000-0005-0000-0000-00002BAD0000}"/>
    <cellStyle name="Note 3 2 2 2 4 2 2 2" xfId="44048" xr:uid="{00000000-0005-0000-0000-00002CAD0000}"/>
    <cellStyle name="Note 3 2 2 2 4 2 3" xfId="32747" xr:uid="{00000000-0005-0000-0000-00002DAD0000}"/>
    <cellStyle name="Note 3 2 2 2 4 3" xfId="15796" xr:uid="{00000000-0005-0000-0000-00002EAD0000}"/>
    <cellStyle name="Note 3 2 2 2 4 3 2" xfId="38398" xr:uid="{00000000-0005-0000-0000-00002FAD0000}"/>
    <cellStyle name="Note 3 2 2 2 4 4" xfId="27097" xr:uid="{00000000-0005-0000-0000-000030AD0000}"/>
    <cellStyle name="Note 3 2 2 2 5" xfId="7291" xr:uid="{00000000-0005-0000-0000-000031AD0000}"/>
    <cellStyle name="Note 3 2 2 2 5 2" xfId="18592" xr:uid="{00000000-0005-0000-0000-000032AD0000}"/>
    <cellStyle name="Note 3 2 2 2 5 2 2" xfId="41194" xr:uid="{00000000-0005-0000-0000-000033AD0000}"/>
    <cellStyle name="Note 3 2 2 2 5 3" xfId="29893" xr:uid="{00000000-0005-0000-0000-000034AD0000}"/>
    <cellStyle name="Note 3 2 2 2 6" xfId="12942" xr:uid="{00000000-0005-0000-0000-000035AD0000}"/>
    <cellStyle name="Note 3 2 2 2 6 2" xfId="35544" xr:uid="{00000000-0005-0000-0000-000036AD0000}"/>
    <cellStyle name="Note 3 2 2 2 7" xfId="24243" xr:uid="{00000000-0005-0000-0000-000037AD0000}"/>
    <cellStyle name="Note 3 2 2 3" xfId="1010" xr:uid="{00000000-0005-0000-0000-000038AD0000}"/>
    <cellStyle name="Note 3 2 2 3 2" xfId="3073" xr:uid="{00000000-0005-0000-0000-000039AD0000}"/>
    <cellStyle name="Note 3 2 2 3 2 2" xfId="6045" xr:uid="{00000000-0005-0000-0000-00003AAD0000}"/>
    <cellStyle name="Note 3 2 2 3 2 2 2" xfId="11695" xr:uid="{00000000-0005-0000-0000-00003BAD0000}"/>
    <cellStyle name="Note 3 2 2 3 2 2 2 2" xfId="22996" xr:uid="{00000000-0005-0000-0000-00003CAD0000}"/>
    <cellStyle name="Note 3 2 2 3 2 2 2 2 2" xfId="45598" xr:uid="{00000000-0005-0000-0000-00003DAD0000}"/>
    <cellStyle name="Note 3 2 2 3 2 2 2 3" xfId="34297" xr:uid="{00000000-0005-0000-0000-00003EAD0000}"/>
    <cellStyle name="Note 3 2 2 3 2 2 3" xfId="17346" xr:uid="{00000000-0005-0000-0000-00003FAD0000}"/>
    <cellStyle name="Note 3 2 2 3 2 2 3 2" xfId="39948" xr:uid="{00000000-0005-0000-0000-000040AD0000}"/>
    <cellStyle name="Note 3 2 2 3 2 2 4" xfId="28647" xr:uid="{00000000-0005-0000-0000-000041AD0000}"/>
    <cellStyle name="Note 3 2 2 3 2 3" xfId="8863" xr:uid="{00000000-0005-0000-0000-000042AD0000}"/>
    <cellStyle name="Note 3 2 2 3 2 3 2" xfId="20164" xr:uid="{00000000-0005-0000-0000-000043AD0000}"/>
    <cellStyle name="Note 3 2 2 3 2 3 2 2" xfId="42766" xr:uid="{00000000-0005-0000-0000-000044AD0000}"/>
    <cellStyle name="Note 3 2 2 3 2 3 3" xfId="31465" xr:uid="{00000000-0005-0000-0000-000045AD0000}"/>
    <cellStyle name="Note 3 2 2 3 2 4" xfId="14514" xr:uid="{00000000-0005-0000-0000-000046AD0000}"/>
    <cellStyle name="Note 3 2 2 3 2 4 2" xfId="37116" xr:uid="{00000000-0005-0000-0000-000047AD0000}"/>
    <cellStyle name="Note 3 2 2 3 2 5" xfId="25815" xr:uid="{00000000-0005-0000-0000-000048AD0000}"/>
    <cellStyle name="Note 3 2 2 3 3" xfId="4811" xr:uid="{00000000-0005-0000-0000-000049AD0000}"/>
    <cellStyle name="Note 3 2 2 3 3 2" xfId="10461" xr:uid="{00000000-0005-0000-0000-00004AAD0000}"/>
    <cellStyle name="Note 3 2 2 3 3 2 2" xfId="21762" xr:uid="{00000000-0005-0000-0000-00004BAD0000}"/>
    <cellStyle name="Note 3 2 2 3 3 2 2 2" xfId="44364" xr:uid="{00000000-0005-0000-0000-00004CAD0000}"/>
    <cellStyle name="Note 3 2 2 3 3 2 3" xfId="33063" xr:uid="{00000000-0005-0000-0000-00004DAD0000}"/>
    <cellStyle name="Note 3 2 2 3 3 3" xfId="16112" xr:uid="{00000000-0005-0000-0000-00004EAD0000}"/>
    <cellStyle name="Note 3 2 2 3 3 3 2" xfId="38714" xr:uid="{00000000-0005-0000-0000-00004FAD0000}"/>
    <cellStyle name="Note 3 2 2 3 3 4" xfId="27413" xr:uid="{00000000-0005-0000-0000-000050AD0000}"/>
    <cellStyle name="Note 3 2 2 3 4" xfId="6998" xr:uid="{00000000-0005-0000-0000-000051AD0000}"/>
    <cellStyle name="Note 3 2 2 3 4 2" xfId="18299" xr:uid="{00000000-0005-0000-0000-000052AD0000}"/>
    <cellStyle name="Note 3 2 2 3 4 2 2" xfId="40901" xr:uid="{00000000-0005-0000-0000-000053AD0000}"/>
    <cellStyle name="Note 3 2 2 3 4 3" xfId="29600" xr:uid="{00000000-0005-0000-0000-000054AD0000}"/>
    <cellStyle name="Note 3 2 2 3 5" xfId="12649" xr:uid="{00000000-0005-0000-0000-000055AD0000}"/>
    <cellStyle name="Note 3 2 2 3 5 2" xfId="35251" xr:uid="{00000000-0005-0000-0000-000056AD0000}"/>
    <cellStyle name="Note 3 2 2 3 6" xfId="23950" xr:uid="{00000000-0005-0000-0000-000057AD0000}"/>
    <cellStyle name="Note 3 2 2 4" xfId="2141" xr:uid="{00000000-0005-0000-0000-000058AD0000}"/>
    <cellStyle name="Note 3 2 2 4 2" xfId="3878" xr:uid="{00000000-0005-0000-0000-000059AD0000}"/>
    <cellStyle name="Note 3 2 2 4 2 2" xfId="9586" xr:uid="{00000000-0005-0000-0000-00005AAD0000}"/>
    <cellStyle name="Note 3 2 2 4 2 2 2" xfId="20887" xr:uid="{00000000-0005-0000-0000-00005BAD0000}"/>
    <cellStyle name="Note 3 2 2 4 2 2 2 2" xfId="43489" xr:uid="{00000000-0005-0000-0000-00005CAD0000}"/>
    <cellStyle name="Note 3 2 2 4 2 2 3" xfId="32188" xr:uid="{00000000-0005-0000-0000-00005DAD0000}"/>
    <cellStyle name="Note 3 2 2 4 2 3" xfId="15237" xr:uid="{00000000-0005-0000-0000-00005EAD0000}"/>
    <cellStyle name="Note 3 2 2 4 2 3 2" xfId="37839" xr:uid="{00000000-0005-0000-0000-00005FAD0000}"/>
    <cellStyle name="Note 3 2 2 4 2 4" xfId="26538" xr:uid="{00000000-0005-0000-0000-000060AD0000}"/>
    <cellStyle name="Note 3 2 2 4 3" xfId="5421" xr:uid="{00000000-0005-0000-0000-000061AD0000}"/>
    <cellStyle name="Note 3 2 2 4 3 2" xfId="11071" xr:uid="{00000000-0005-0000-0000-000062AD0000}"/>
    <cellStyle name="Note 3 2 2 4 3 2 2" xfId="22372" xr:uid="{00000000-0005-0000-0000-000063AD0000}"/>
    <cellStyle name="Note 3 2 2 4 3 2 2 2" xfId="44974" xr:uid="{00000000-0005-0000-0000-000064AD0000}"/>
    <cellStyle name="Note 3 2 2 4 3 2 3" xfId="33673" xr:uid="{00000000-0005-0000-0000-000065AD0000}"/>
    <cellStyle name="Note 3 2 2 4 3 3" xfId="16722" xr:uid="{00000000-0005-0000-0000-000066AD0000}"/>
    <cellStyle name="Note 3 2 2 4 3 3 2" xfId="39324" xr:uid="{00000000-0005-0000-0000-000067AD0000}"/>
    <cellStyle name="Note 3 2 2 4 3 4" xfId="28023" xr:uid="{00000000-0005-0000-0000-000068AD0000}"/>
    <cellStyle name="Note 3 2 2 4 4" xfId="7997" xr:uid="{00000000-0005-0000-0000-000069AD0000}"/>
    <cellStyle name="Note 3 2 2 4 4 2" xfId="19298" xr:uid="{00000000-0005-0000-0000-00006AAD0000}"/>
    <cellStyle name="Note 3 2 2 4 4 2 2" xfId="41900" xr:uid="{00000000-0005-0000-0000-00006BAD0000}"/>
    <cellStyle name="Note 3 2 2 4 4 3" xfId="30599" xr:uid="{00000000-0005-0000-0000-00006CAD0000}"/>
    <cellStyle name="Note 3 2 2 4 5" xfId="13648" xr:uid="{00000000-0005-0000-0000-00006DAD0000}"/>
    <cellStyle name="Note 3 2 2 4 5 2" xfId="36250" xr:uid="{00000000-0005-0000-0000-00006EAD0000}"/>
    <cellStyle name="Note 3 2 2 4 6" xfId="24949" xr:uid="{00000000-0005-0000-0000-00006FAD0000}"/>
    <cellStyle name="Note 3 2 2 5" xfId="2402" xr:uid="{00000000-0005-0000-0000-000070AD0000}"/>
    <cellStyle name="Note 3 2 2 5 2" xfId="8238" xr:uid="{00000000-0005-0000-0000-000071AD0000}"/>
    <cellStyle name="Note 3 2 2 5 2 2" xfId="19539" xr:uid="{00000000-0005-0000-0000-000072AD0000}"/>
    <cellStyle name="Note 3 2 2 5 2 2 2" xfId="42141" xr:uid="{00000000-0005-0000-0000-000073AD0000}"/>
    <cellStyle name="Note 3 2 2 5 2 3" xfId="30840" xr:uid="{00000000-0005-0000-0000-000074AD0000}"/>
    <cellStyle name="Note 3 2 2 5 3" xfId="13889" xr:uid="{00000000-0005-0000-0000-000075AD0000}"/>
    <cellStyle name="Note 3 2 2 5 3 2" xfId="36491" xr:uid="{00000000-0005-0000-0000-000076AD0000}"/>
    <cellStyle name="Note 3 2 2 5 4" xfId="25190" xr:uid="{00000000-0005-0000-0000-000077AD0000}"/>
    <cellStyle name="Note 3 2 2 6" xfId="4187" xr:uid="{00000000-0005-0000-0000-000078AD0000}"/>
    <cellStyle name="Note 3 2 2 6 2" xfId="9837" xr:uid="{00000000-0005-0000-0000-000079AD0000}"/>
    <cellStyle name="Note 3 2 2 6 2 2" xfId="21138" xr:uid="{00000000-0005-0000-0000-00007AAD0000}"/>
    <cellStyle name="Note 3 2 2 6 2 2 2" xfId="43740" xr:uid="{00000000-0005-0000-0000-00007BAD0000}"/>
    <cellStyle name="Note 3 2 2 6 2 3" xfId="32439" xr:uid="{00000000-0005-0000-0000-00007CAD0000}"/>
    <cellStyle name="Note 3 2 2 6 3" xfId="15488" xr:uid="{00000000-0005-0000-0000-00007DAD0000}"/>
    <cellStyle name="Note 3 2 2 6 3 2" xfId="38090" xr:uid="{00000000-0005-0000-0000-00007EAD0000}"/>
    <cellStyle name="Note 3 2 2 6 4" xfId="26789" xr:uid="{00000000-0005-0000-0000-00007FAD0000}"/>
    <cellStyle name="Note 3 2 2 7" xfId="6667" xr:uid="{00000000-0005-0000-0000-000080AD0000}"/>
    <cellStyle name="Note 3 2 2 7 2" xfId="17968" xr:uid="{00000000-0005-0000-0000-000081AD0000}"/>
    <cellStyle name="Note 3 2 2 7 2 2" xfId="40570" xr:uid="{00000000-0005-0000-0000-000082AD0000}"/>
    <cellStyle name="Note 3 2 2 7 3" xfId="29269" xr:uid="{00000000-0005-0000-0000-000083AD0000}"/>
    <cellStyle name="Note 3 2 2 8" xfId="12318" xr:uid="{00000000-0005-0000-0000-000084AD0000}"/>
    <cellStyle name="Note 3 2 2 8 2" xfId="34920" xr:uid="{00000000-0005-0000-0000-000085AD0000}"/>
    <cellStyle name="Note 3 2 2 9" xfId="23619" xr:uid="{00000000-0005-0000-0000-000086AD0000}"/>
    <cellStyle name="Note 3 2 3" xfId="1174" xr:uid="{00000000-0005-0000-0000-000087AD0000}"/>
    <cellStyle name="Note 3 2 3 2" xfId="2143" xr:uid="{00000000-0005-0000-0000-000088AD0000}"/>
    <cellStyle name="Note 3 2 3 2 2" xfId="3242" xr:uid="{00000000-0005-0000-0000-000089AD0000}"/>
    <cellStyle name="Note 3 2 3 2 2 2" xfId="6214" xr:uid="{00000000-0005-0000-0000-00008AAD0000}"/>
    <cellStyle name="Note 3 2 3 2 2 2 2" xfId="11864" xr:uid="{00000000-0005-0000-0000-00008BAD0000}"/>
    <cellStyle name="Note 3 2 3 2 2 2 2 2" xfId="23165" xr:uid="{00000000-0005-0000-0000-00008CAD0000}"/>
    <cellStyle name="Note 3 2 3 2 2 2 2 2 2" xfId="45767" xr:uid="{00000000-0005-0000-0000-00008DAD0000}"/>
    <cellStyle name="Note 3 2 3 2 2 2 2 3" xfId="34466" xr:uid="{00000000-0005-0000-0000-00008EAD0000}"/>
    <cellStyle name="Note 3 2 3 2 2 2 3" xfId="17515" xr:uid="{00000000-0005-0000-0000-00008FAD0000}"/>
    <cellStyle name="Note 3 2 3 2 2 2 3 2" xfId="40117" xr:uid="{00000000-0005-0000-0000-000090AD0000}"/>
    <cellStyle name="Note 3 2 3 2 2 2 4" xfId="28816" xr:uid="{00000000-0005-0000-0000-000091AD0000}"/>
    <cellStyle name="Note 3 2 3 2 2 3" xfId="9032" xr:uid="{00000000-0005-0000-0000-000092AD0000}"/>
    <cellStyle name="Note 3 2 3 2 2 3 2" xfId="20333" xr:uid="{00000000-0005-0000-0000-000093AD0000}"/>
    <cellStyle name="Note 3 2 3 2 2 3 2 2" xfId="42935" xr:uid="{00000000-0005-0000-0000-000094AD0000}"/>
    <cellStyle name="Note 3 2 3 2 2 3 3" xfId="31634" xr:uid="{00000000-0005-0000-0000-000095AD0000}"/>
    <cellStyle name="Note 3 2 3 2 2 4" xfId="14683" xr:uid="{00000000-0005-0000-0000-000096AD0000}"/>
    <cellStyle name="Note 3 2 3 2 2 4 2" xfId="37285" xr:uid="{00000000-0005-0000-0000-000097AD0000}"/>
    <cellStyle name="Note 3 2 3 2 2 5" xfId="25984" xr:uid="{00000000-0005-0000-0000-000098AD0000}"/>
    <cellStyle name="Note 3 2 3 2 3" xfId="4980" xr:uid="{00000000-0005-0000-0000-000099AD0000}"/>
    <cellStyle name="Note 3 2 3 2 3 2" xfId="10630" xr:uid="{00000000-0005-0000-0000-00009AAD0000}"/>
    <cellStyle name="Note 3 2 3 2 3 2 2" xfId="21931" xr:uid="{00000000-0005-0000-0000-00009BAD0000}"/>
    <cellStyle name="Note 3 2 3 2 3 2 2 2" xfId="44533" xr:uid="{00000000-0005-0000-0000-00009CAD0000}"/>
    <cellStyle name="Note 3 2 3 2 3 2 3" xfId="33232" xr:uid="{00000000-0005-0000-0000-00009DAD0000}"/>
    <cellStyle name="Note 3 2 3 2 3 3" xfId="16281" xr:uid="{00000000-0005-0000-0000-00009EAD0000}"/>
    <cellStyle name="Note 3 2 3 2 3 3 2" xfId="38883" xr:uid="{00000000-0005-0000-0000-00009FAD0000}"/>
    <cellStyle name="Note 3 2 3 2 3 4" xfId="27582" xr:uid="{00000000-0005-0000-0000-0000A0AD0000}"/>
    <cellStyle name="Note 3 2 3 2 4" xfId="7999" xr:uid="{00000000-0005-0000-0000-0000A1AD0000}"/>
    <cellStyle name="Note 3 2 3 2 4 2" xfId="19300" xr:uid="{00000000-0005-0000-0000-0000A2AD0000}"/>
    <cellStyle name="Note 3 2 3 2 4 2 2" xfId="41902" xr:uid="{00000000-0005-0000-0000-0000A3AD0000}"/>
    <cellStyle name="Note 3 2 3 2 4 3" xfId="30601" xr:uid="{00000000-0005-0000-0000-0000A4AD0000}"/>
    <cellStyle name="Note 3 2 3 2 5" xfId="13650" xr:uid="{00000000-0005-0000-0000-0000A5AD0000}"/>
    <cellStyle name="Note 3 2 3 2 5 2" xfId="36252" xr:uid="{00000000-0005-0000-0000-0000A6AD0000}"/>
    <cellStyle name="Note 3 2 3 2 6" xfId="24951" xr:uid="{00000000-0005-0000-0000-0000A7AD0000}"/>
    <cellStyle name="Note 3 2 3 3" xfId="2571" xr:uid="{00000000-0005-0000-0000-0000A8AD0000}"/>
    <cellStyle name="Note 3 2 3 3 2" xfId="5590" xr:uid="{00000000-0005-0000-0000-0000A9AD0000}"/>
    <cellStyle name="Note 3 2 3 3 2 2" xfId="11240" xr:uid="{00000000-0005-0000-0000-0000AAAD0000}"/>
    <cellStyle name="Note 3 2 3 3 2 2 2" xfId="22541" xr:uid="{00000000-0005-0000-0000-0000ABAD0000}"/>
    <cellStyle name="Note 3 2 3 3 2 2 2 2" xfId="45143" xr:uid="{00000000-0005-0000-0000-0000ACAD0000}"/>
    <cellStyle name="Note 3 2 3 3 2 2 3" xfId="33842" xr:uid="{00000000-0005-0000-0000-0000ADAD0000}"/>
    <cellStyle name="Note 3 2 3 3 2 3" xfId="16891" xr:uid="{00000000-0005-0000-0000-0000AEAD0000}"/>
    <cellStyle name="Note 3 2 3 3 2 3 2" xfId="39493" xr:uid="{00000000-0005-0000-0000-0000AFAD0000}"/>
    <cellStyle name="Note 3 2 3 3 2 4" xfId="28192" xr:uid="{00000000-0005-0000-0000-0000B0AD0000}"/>
    <cellStyle name="Note 3 2 3 3 3" xfId="8407" xr:uid="{00000000-0005-0000-0000-0000B1AD0000}"/>
    <cellStyle name="Note 3 2 3 3 3 2" xfId="19708" xr:uid="{00000000-0005-0000-0000-0000B2AD0000}"/>
    <cellStyle name="Note 3 2 3 3 3 2 2" xfId="42310" xr:uid="{00000000-0005-0000-0000-0000B3AD0000}"/>
    <cellStyle name="Note 3 2 3 3 3 3" xfId="31009" xr:uid="{00000000-0005-0000-0000-0000B4AD0000}"/>
    <cellStyle name="Note 3 2 3 3 4" xfId="14058" xr:uid="{00000000-0005-0000-0000-0000B5AD0000}"/>
    <cellStyle name="Note 3 2 3 3 4 2" xfId="36660" xr:uid="{00000000-0005-0000-0000-0000B6AD0000}"/>
    <cellStyle name="Note 3 2 3 3 5" xfId="25359" xr:uid="{00000000-0005-0000-0000-0000B7AD0000}"/>
    <cellStyle name="Note 3 2 3 4" xfId="4356" xr:uid="{00000000-0005-0000-0000-0000B8AD0000}"/>
    <cellStyle name="Note 3 2 3 4 2" xfId="10006" xr:uid="{00000000-0005-0000-0000-0000B9AD0000}"/>
    <cellStyle name="Note 3 2 3 4 2 2" xfId="21307" xr:uid="{00000000-0005-0000-0000-0000BAAD0000}"/>
    <cellStyle name="Note 3 2 3 4 2 2 2" xfId="43909" xr:uid="{00000000-0005-0000-0000-0000BBAD0000}"/>
    <cellStyle name="Note 3 2 3 4 2 3" xfId="32608" xr:uid="{00000000-0005-0000-0000-0000BCAD0000}"/>
    <cellStyle name="Note 3 2 3 4 3" xfId="15657" xr:uid="{00000000-0005-0000-0000-0000BDAD0000}"/>
    <cellStyle name="Note 3 2 3 4 3 2" xfId="38259" xr:uid="{00000000-0005-0000-0000-0000BEAD0000}"/>
    <cellStyle name="Note 3 2 3 4 4" xfId="26958" xr:uid="{00000000-0005-0000-0000-0000BFAD0000}"/>
    <cellStyle name="Note 3 2 3 5" xfId="7153" xr:uid="{00000000-0005-0000-0000-0000C0AD0000}"/>
    <cellStyle name="Note 3 2 3 5 2" xfId="18454" xr:uid="{00000000-0005-0000-0000-0000C1AD0000}"/>
    <cellStyle name="Note 3 2 3 5 2 2" xfId="41056" xr:uid="{00000000-0005-0000-0000-0000C2AD0000}"/>
    <cellStyle name="Note 3 2 3 5 3" xfId="29755" xr:uid="{00000000-0005-0000-0000-0000C3AD0000}"/>
    <cellStyle name="Note 3 2 3 6" xfId="12804" xr:uid="{00000000-0005-0000-0000-0000C4AD0000}"/>
    <cellStyle name="Note 3 2 3 6 2" xfId="35406" xr:uid="{00000000-0005-0000-0000-0000C5AD0000}"/>
    <cellStyle name="Note 3 2 3 7" xfId="24105" xr:uid="{00000000-0005-0000-0000-0000C6AD0000}"/>
    <cellStyle name="Note 3 2 4" xfId="863" xr:uid="{00000000-0005-0000-0000-0000C7AD0000}"/>
    <cellStyle name="Note 3 2 4 2" xfId="2935" xr:uid="{00000000-0005-0000-0000-0000C8AD0000}"/>
    <cellStyle name="Note 3 2 4 2 2" xfId="5907" xr:uid="{00000000-0005-0000-0000-0000C9AD0000}"/>
    <cellStyle name="Note 3 2 4 2 2 2" xfId="11557" xr:uid="{00000000-0005-0000-0000-0000CAAD0000}"/>
    <cellStyle name="Note 3 2 4 2 2 2 2" xfId="22858" xr:uid="{00000000-0005-0000-0000-0000CBAD0000}"/>
    <cellStyle name="Note 3 2 4 2 2 2 2 2" xfId="45460" xr:uid="{00000000-0005-0000-0000-0000CCAD0000}"/>
    <cellStyle name="Note 3 2 4 2 2 2 3" xfId="34159" xr:uid="{00000000-0005-0000-0000-0000CDAD0000}"/>
    <cellStyle name="Note 3 2 4 2 2 3" xfId="17208" xr:uid="{00000000-0005-0000-0000-0000CEAD0000}"/>
    <cellStyle name="Note 3 2 4 2 2 3 2" xfId="39810" xr:uid="{00000000-0005-0000-0000-0000CFAD0000}"/>
    <cellStyle name="Note 3 2 4 2 2 4" xfId="28509" xr:uid="{00000000-0005-0000-0000-0000D0AD0000}"/>
    <cellStyle name="Note 3 2 4 2 3" xfId="8725" xr:uid="{00000000-0005-0000-0000-0000D1AD0000}"/>
    <cellStyle name="Note 3 2 4 2 3 2" xfId="20026" xr:uid="{00000000-0005-0000-0000-0000D2AD0000}"/>
    <cellStyle name="Note 3 2 4 2 3 2 2" xfId="42628" xr:uid="{00000000-0005-0000-0000-0000D3AD0000}"/>
    <cellStyle name="Note 3 2 4 2 3 3" xfId="31327" xr:uid="{00000000-0005-0000-0000-0000D4AD0000}"/>
    <cellStyle name="Note 3 2 4 2 4" xfId="14376" xr:uid="{00000000-0005-0000-0000-0000D5AD0000}"/>
    <cellStyle name="Note 3 2 4 2 4 2" xfId="36978" xr:uid="{00000000-0005-0000-0000-0000D6AD0000}"/>
    <cellStyle name="Note 3 2 4 2 5" xfId="25677" xr:uid="{00000000-0005-0000-0000-0000D7AD0000}"/>
    <cellStyle name="Note 3 2 4 3" xfId="4673" xr:uid="{00000000-0005-0000-0000-0000D8AD0000}"/>
    <cellStyle name="Note 3 2 4 3 2" xfId="10323" xr:uid="{00000000-0005-0000-0000-0000D9AD0000}"/>
    <cellStyle name="Note 3 2 4 3 2 2" xfId="21624" xr:uid="{00000000-0005-0000-0000-0000DAAD0000}"/>
    <cellStyle name="Note 3 2 4 3 2 2 2" xfId="44226" xr:uid="{00000000-0005-0000-0000-0000DBAD0000}"/>
    <cellStyle name="Note 3 2 4 3 2 3" xfId="32925" xr:uid="{00000000-0005-0000-0000-0000DCAD0000}"/>
    <cellStyle name="Note 3 2 4 3 3" xfId="15974" xr:uid="{00000000-0005-0000-0000-0000DDAD0000}"/>
    <cellStyle name="Note 3 2 4 3 3 2" xfId="38576" xr:uid="{00000000-0005-0000-0000-0000DEAD0000}"/>
    <cellStyle name="Note 3 2 4 3 4" xfId="27275" xr:uid="{00000000-0005-0000-0000-0000DFAD0000}"/>
    <cellStyle name="Note 3 2 4 4" xfId="6860" xr:uid="{00000000-0005-0000-0000-0000E0AD0000}"/>
    <cellStyle name="Note 3 2 4 4 2" xfId="18161" xr:uid="{00000000-0005-0000-0000-0000E1AD0000}"/>
    <cellStyle name="Note 3 2 4 4 2 2" xfId="40763" xr:uid="{00000000-0005-0000-0000-0000E2AD0000}"/>
    <cellStyle name="Note 3 2 4 4 3" xfId="29462" xr:uid="{00000000-0005-0000-0000-0000E3AD0000}"/>
    <cellStyle name="Note 3 2 4 5" xfId="12511" xr:uid="{00000000-0005-0000-0000-0000E4AD0000}"/>
    <cellStyle name="Note 3 2 4 5 2" xfId="35113" xr:uid="{00000000-0005-0000-0000-0000E5AD0000}"/>
    <cellStyle name="Note 3 2 4 6" xfId="23812" xr:uid="{00000000-0005-0000-0000-0000E6AD0000}"/>
    <cellStyle name="Note 3 2 5" xfId="2140" xr:uid="{00000000-0005-0000-0000-0000E7AD0000}"/>
    <cellStyle name="Note 3 2 5 2" xfId="3877" xr:uid="{00000000-0005-0000-0000-0000E8AD0000}"/>
    <cellStyle name="Note 3 2 5 2 2" xfId="9585" xr:uid="{00000000-0005-0000-0000-0000E9AD0000}"/>
    <cellStyle name="Note 3 2 5 2 2 2" xfId="20886" xr:uid="{00000000-0005-0000-0000-0000EAAD0000}"/>
    <cellStyle name="Note 3 2 5 2 2 2 2" xfId="43488" xr:uid="{00000000-0005-0000-0000-0000EBAD0000}"/>
    <cellStyle name="Note 3 2 5 2 2 3" xfId="32187" xr:uid="{00000000-0005-0000-0000-0000ECAD0000}"/>
    <cellStyle name="Note 3 2 5 2 3" xfId="15236" xr:uid="{00000000-0005-0000-0000-0000EDAD0000}"/>
    <cellStyle name="Note 3 2 5 2 3 2" xfId="37838" xr:uid="{00000000-0005-0000-0000-0000EEAD0000}"/>
    <cellStyle name="Note 3 2 5 2 4" xfId="26537" xr:uid="{00000000-0005-0000-0000-0000EFAD0000}"/>
    <cellStyle name="Note 3 2 5 3" xfId="5283" xr:uid="{00000000-0005-0000-0000-0000F0AD0000}"/>
    <cellStyle name="Note 3 2 5 3 2" xfId="10933" xr:uid="{00000000-0005-0000-0000-0000F1AD0000}"/>
    <cellStyle name="Note 3 2 5 3 2 2" xfId="22234" xr:uid="{00000000-0005-0000-0000-0000F2AD0000}"/>
    <cellStyle name="Note 3 2 5 3 2 2 2" xfId="44836" xr:uid="{00000000-0005-0000-0000-0000F3AD0000}"/>
    <cellStyle name="Note 3 2 5 3 2 3" xfId="33535" xr:uid="{00000000-0005-0000-0000-0000F4AD0000}"/>
    <cellStyle name="Note 3 2 5 3 3" xfId="16584" xr:uid="{00000000-0005-0000-0000-0000F5AD0000}"/>
    <cellStyle name="Note 3 2 5 3 3 2" xfId="39186" xr:uid="{00000000-0005-0000-0000-0000F6AD0000}"/>
    <cellStyle name="Note 3 2 5 3 4" xfId="27885" xr:uid="{00000000-0005-0000-0000-0000F7AD0000}"/>
    <cellStyle name="Note 3 2 5 4" xfId="7996" xr:uid="{00000000-0005-0000-0000-0000F8AD0000}"/>
    <cellStyle name="Note 3 2 5 4 2" xfId="19297" xr:uid="{00000000-0005-0000-0000-0000F9AD0000}"/>
    <cellStyle name="Note 3 2 5 4 2 2" xfId="41899" xr:uid="{00000000-0005-0000-0000-0000FAAD0000}"/>
    <cellStyle name="Note 3 2 5 4 3" xfId="30598" xr:uid="{00000000-0005-0000-0000-0000FBAD0000}"/>
    <cellStyle name="Note 3 2 5 5" xfId="13647" xr:uid="{00000000-0005-0000-0000-0000FCAD0000}"/>
    <cellStyle name="Note 3 2 5 5 2" xfId="36249" xr:uid="{00000000-0005-0000-0000-0000FDAD0000}"/>
    <cellStyle name="Note 3 2 5 6" xfId="24948" xr:uid="{00000000-0005-0000-0000-0000FEAD0000}"/>
    <cellStyle name="Note 3 2 6" xfId="2261" xr:uid="{00000000-0005-0000-0000-0000FFAD0000}"/>
    <cellStyle name="Note 3 2 6 2" xfId="8097" xr:uid="{00000000-0005-0000-0000-000000AE0000}"/>
    <cellStyle name="Note 3 2 6 2 2" xfId="19398" xr:uid="{00000000-0005-0000-0000-000001AE0000}"/>
    <cellStyle name="Note 3 2 6 2 2 2" xfId="42000" xr:uid="{00000000-0005-0000-0000-000002AE0000}"/>
    <cellStyle name="Note 3 2 6 2 3" xfId="30699" xr:uid="{00000000-0005-0000-0000-000003AE0000}"/>
    <cellStyle name="Note 3 2 6 3" xfId="13748" xr:uid="{00000000-0005-0000-0000-000004AE0000}"/>
    <cellStyle name="Note 3 2 6 3 2" xfId="36350" xr:uid="{00000000-0005-0000-0000-000005AE0000}"/>
    <cellStyle name="Note 3 2 6 4" xfId="25049" xr:uid="{00000000-0005-0000-0000-000006AE0000}"/>
    <cellStyle name="Note 3 2 7" xfId="4049" xr:uid="{00000000-0005-0000-0000-000007AE0000}"/>
    <cellStyle name="Note 3 2 7 2" xfId="9699" xr:uid="{00000000-0005-0000-0000-000008AE0000}"/>
    <cellStyle name="Note 3 2 7 2 2" xfId="21000" xr:uid="{00000000-0005-0000-0000-000009AE0000}"/>
    <cellStyle name="Note 3 2 7 2 2 2" xfId="43602" xr:uid="{00000000-0005-0000-0000-00000AAE0000}"/>
    <cellStyle name="Note 3 2 7 2 3" xfId="32301" xr:uid="{00000000-0005-0000-0000-00000BAE0000}"/>
    <cellStyle name="Note 3 2 7 3" xfId="15350" xr:uid="{00000000-0005-0000-0000-00000CAE0000}"/>
    <cellStyle name="Note 3 2 7 3 2" xfId="37952" xr:uid="{00000000-0005-0000-0000-00000DAE0000}"/>
    <cellStyle name="Note 3 2 7 4" xfId="26651" xr:uid="{00000000-0005-0000-0000-00000EAE0000}"/>
    <cellStyle name="Note 3 2 8" xfId="6500" xr:uid="{00000000-0005-0000-0000-00000FAE0000}"/>
    <cellStyle name="Note 3 2 8 2" xfId="17801" xr:uid="{00000000-0005-0000-0000-000010AE0000}"/>
    <cellStyle name="Note 3 2 8 2 2" xfId="40403" xr:uid="{00000000-0005-0000-0000-000011AE0000}"/>
    <cellStyle name="Note 3 2 8 3" xfId="29102" xr:uid="{00000000-0005-0000-0000-000012AE0000}"/>
    <cellStyle name="Note 3 2 9" xfId="12151" xr:uid="{00000000-0005-0000-0000-000013AE0000}"/>
    <cellStyle name="Note 3 2 9 2" xfId="34753" xr:uid="{00000000-0005-0000-0000-000014AE0000}"/>
    <cellStyle name="Note 3 3" xfId="406" xr:uid="{00000000-0005-0000-0000-000015AE0000}"/>
    <cellStyle name="Note 3 3 10" xfId="23501" xr:uid="{00000000-0005-0000-0000-000016AE0000}"/>
    <cellStyle name="Note 3 3 2" xfId="651" xr:uid="{00000000-0005-0000-0000-000017AE0000}"/>
    <cellStyle name="Note 3 3 2 2" xfId="1361" xr:uid="{00000000-0005-0000-0000-000018AE0000}"/>
    <cellStyle name="Note 3 3 2 2 2" xfId="2146" xr:uid="{00000000-0005-0000-0000-000019AE0000}"/>
    <cellStyle name="Note 3 3 2 2 2 2" xfId="3430" xr:uid="{00000000-0005-0000-0000-00001AAE0000}"/>
    <cellStyle name="Note 3 3 2 2 2 2 2" xfId="6402" xr:uid="{00000000-0005-0000-0000-00001BAE0000}"/>
    <cellStyle name="Note 3 3 2 2 2 2 2 2" xfId="12052" xr:uid="{00000000-0005-0000-0000-00001CAE0000}"/>
    <cellStyle name="Note 3 3 2 2 2 2 2 2 2" xfId="23353" xr:uid="{00000000-0005-0000-0000-00001DAE0000}"/>
    <cellStyle name="Note 3 3 2 2 2 2 2 2 2 2" xfId="45955" xr:uid="{00000000-0005-0000-0000-00001EAE0000}"/>
    <cellStyle name="Note 3 3 2 2 2 2 2 2 3" xfId="34654" xr:uid="{00000000-0005-0000-0000-00001FAE0000}"/>
    <cellStyle name="Note 3 3 2 2 2 2 2 3" xfId="17703" xr:uid="{00000000-0005-0000-0000-000020AE0000}"/>
    <cellStyle name="Note 3 3 2 2 2 2 2 3 2" xfId="40305" xr:uid="{00000000-0005-0000-0000-000021AE0000}"/>
    <cellStyle name="Note 3 3 2 2 2 2 2 4" xfId="29004" xr:uid="{00000000-0005-0000-0000-000022AE0000}"/>
    <cellStyle name="Note 3 3 2 2 2 2 3" xfId="9220" xr:uid="{00000000-0005-0000-0000-000023AE0000}"/>
    <cellStyle name="Note 3 3 2 2 2 2 3 2" xfId="20521" xr:uid="{00000000-0005-0000-0000-000024AE0000}"/>
    <cellStyle name="Note 3 3 2 2 2 2 3 2 2" xfId="43123" xr:uid="{00000000-0005-0000-0000-000025AE0000}"/>
    <cellStyle name="Note 3 3 2 2 2 2 3 3" xfId="31822" xr:uid="{00000000-0005-0000-0000-000026AE0000}"/>
    <cellStyle name="Note 3 3 2 2 2 2 4" xfId="14871" xr:uid="{00000000-0005-0000-0000-000027AE0000}"/>
    <cellStyle name="Note 3 3 2 2 2 2 4 2" xfId="37473" xr:uid="{00000000-0005-0000-0000-000028AE0000}"/>
    <cellStyle name="Note 3 3 2 2 2 2 5" xfId="26172" xr:uid="{00000000-0005-0000-0000-000029AE0000}"/>
    <cellStyle name="Note 3 3 2 2 2 3" xfId="5168" xr:uid="{00000000-0005-0000-0000-00002AAE0000}"/>
    <cellStyle name="Note 3 3 2 2 2 3 2" xfId="10818" xr:uid="{00000000-0005-0000-0000-00002BAE0000}"/>
    <cellStyle name="Note 3 3 2 2 2 3 2 2" xfId="22119" xr:uid="{00000000-0005-0000-0000-00002CAE0000}"/>
    <cellStyle name="Note 3 3 2 2 2 3 2 2 2" xfId="44721" xr:uid="{00000000-0005-0000-0000-00002DAE0000}"/>
    <cellStyle name="Note 3 3 2 2 2 3 2 3" xfId="33420" xr:uid="{00000000-0005-0000-0000-00002EAE0000}"/>
    <cellStyle name="Note 3 3 2 2 2 3 3" xfId="16469" xr:uid="{00000000-0005-0000-0000-00002FAE0000}"/>
    <cellStyle name="Note 3 3 2 2 2 3 3 2" xfId="39071" xr:uid="{00000000-0005-0000-0000-000030AE0000}"/>
    <cellStyle name="Note 3 3 2 2 2 3 4" xfId="27770" xr:uid="{00000000-0005-0000-0000-000031AE0000}"/>
    <cellStyle name="Note 3 3 2 2 2 4" xfId="8002" xr:uid="{00000000-0005-0000-0000-000032AE0000}"/>
    <cellStyle name="Note 3 3 2 2 2 4 2" xfId="19303" xr:uid="{00000000-0005-0000-0000-000033AE0000}"/>
    <cellStyle name="Note 3 3 2 2 2 4 2 2" xfId="41905" xr:uid="{00000000-0005-0000-0000-000034AE0000}"/>
    <cellStyle name="Note 3 3 2 2 2 4 3" xfId="30604" xr:uid="{00000000-0005-0000-0000-000035AE0000}"/>
    <cellStyle name="Note 3 3 2 2 2 5" xfId="13653" xr:uid="{00000000-0005-0000-0000-000036AE0000}"/>
    <cellStyle name="Note 3 3 2 2 2 5 2" xfId="36255" xr:uid="{00000000-0005-0000-0000-000037AE0000}"/>
    <cellStyle name="Note 3 3 2 2 2 6" xfId="24954" xr:uid="{00000000-0005-0000-0000-000038AE0000}"/>
    <cellStyle name="Note 3 3 2 2 3" xfId="2759" xr:uid="{00000000-0005-0000-0000-000039AE0000}"/>
    <cellStyle name="Note 3 3 2 2 3 2" xfId="5778" xr:uid="{00000000-0005-0000-0000-00003AAE0000}"/>
    <cellStyle name="Note 3 3 2 2 3 2 2" xfId="11428" xr:uid="{00000000-0005-0000-0000-00003BAE0000}"/>
    <cellStyle name="Note 3 3 2 2 3 2 2 2" xfId="22729" xr:uid="{00000000-0005-0000-0000-00003CAE0000}"/>
    <cellStyle name="Note 3 3 2 2 3 2 2 2 2" xfId="45331" xr:uid="{00000000-0005-0000-0000-00003DAE0000}"/>
    <cellStyle name="Note 3 3 2 2 3 2 2 3" xfId="34030" xr:uid="{00000000-0005-0000-0000-00003EAE0000}"/>
    <cellStyle name="Note 3 3 2 2 3 2 3" xfId="17079" xr:uid="{00000000-0005-0000-0000-00003FAE0000}"/>
    <cellStyle name="Note 3 3 2 2 3 2 3 2" xfId="39681" xr:uid="{00000000-0005-0000-0000-000040AE0000}"/>
    <cellStyle name="Note 3 3 2 2 3 2 4" xfId="28380" xr:uid="{00000000-0005-0000-0000-000041AE0000}"/>
    <cellStyle name="Note 3 3 2 2 3 3" xfId="8595" xr:uid="{00000000-0005-0000-0000-000042AE0000}"/>
    <cellStyle name="Note 3 3 2 2 3 3 2" xfId="19896" xr:uid="{00000000-0005-0000-0000-000043AE0000}"/>
    <cellStyle name="Note 3 3 2 2 3 3 2 2" xfId="42498" xr:uid="{00000000-0005-0000-0000-000044AE0000}"/>
    <cellStyle name="Note 3 3 2 2 3 3 3" xfId="31197" xr:uid="{00000000-0005-0000-0000-000045AE0000}"/>
    <cellStyle name="Note 3 3 2 2 3 4" xfId="14246" xr:uid="{00000000-0005-0000-0000-000046AE0000}"/>
    <cellStyle name="Note 3 3 2 2 3 4 2" xfId="36848" xr:uid="{00000000-0005-0000-0000-000047AE0000}"/>
    <cellStyle name="Note 3 3 2 2 3 5" xfId="25547" xr:uid="{00000000-0005-0000-0000-000048AE0000}"/>
    <cellStyle name="Note 3 3 2 2 4" xfId="4544" xr:uid="{00000000-0005-0000-0000-000049AE0000}"/>
    <cellStyle name="Note 3 3 2 2 4 2" xfId="10194" xr:uid="{00000000-0005-0000-0000-00004AAE0000}"/>
    <cellStyle name="Note 3 3 2 2 4 2 2" xfId="21495" xr:uid="{00000000-0005-0000-0000-00004BAE0000}"/>
    <cellStyle name="Note 3 3 2 2 4 2 2 2" xfId="44097" xr:uid="{00000000-0005-0000-0000-00004CAE0000}"/>
    <cellStyle name="Note 3 3 2 2 4 2 3" xfId="32796" xr:uid="{00000000-0005-0000-0000-00004DAE0000}"/>
    <cellStyle name="Note 3 3 2 2 4 3" xfId="15845" xr:uid="{00000000-0005-0000-0000-00004EAE0000}"/>
    <cellStyle name="Note 3 3 2 2 4 3 2" xfId="38447" xr:uid="{00000000-0005-0000-0000-00004FAE0000}"/>
    <cellStyle name="Note 3 3 2 2 4 4" xfId="27146" xr:uid="{00000000-0005-0000-0000-000050AE0000}"/>
    <cellStyle name="Note 3 3 2 2 5" xfId="7340" xr:uid="{00000000-0005-0000-0000-000051AE0000}"/>
    <cellStyle name="Note 3 3 2 2 5 2" xfId="18641" xr:uid="{00000000-0005-0000-0000-000052AE0000}"/>
    <cellStyle name="Note 3 3 2 2 5 2 2" xfId="41243" xr:uid="{00000000-0005-0000-0000-000053AE0000}"/>
    <cellStyle name="Note 3 3 2 2 5 3" xfId="29942" xr:uid="{00000000-0005-0000-0000-000054AE0000}"/>
    <cellStyle name="Note 3 3 2 2 6" xfId="12991" xr:uid="{00000000-0005-0000-0000-000055AE0000}"/>
    <cellStyle name="Note 3 3 2 2 6 2" xfId="35593" xr:uid="{00000000-0005-0000-0000-000056AE0000}"/>
    <cellStyle name="Note 3 3 2 2 7" xfId="24292" xr:uid="{00000000-0005-0000-0000-000057AE0000}"/>
    <cellStyle name="Note 3 3 2 3" xfId="1059" xr:uid="{00000000-0005-0000-0000-000058AE0000}"/>
    <cellStyle name="Note 3 3 2 3 2" xfId="3122" xr:uid="{00000000-0005-0000-0000-000059AE0000}"/>
    <cellStyle name="Note 3 3 2 3 2 2" xfId="6094" xr:uid="{00000000-0005-0000-0000-00005AAE0000}"/>
    <cellStyle name="Note 3 3 2 3 2 2 2" xfId="11744" xr:uid="{00000000-0005-0000-0000-00005BAE0000}"/>
    <cellStyle name="Note 3 3 2 3 2 2 2 2" xfId="23045" xr:uid="{00000000-0005-0000-0000-00005CAE0000}"/>
    <cellStyle name="Note 3 3 2 3 2 2 2 2 2" xfId="45647" xr:uid="{00000000-0005-0000-0000-00005DAE0000}"/>
    <cellStyle name="Note 3 3 2 3 2 2 2 3" xfId="34346" xr:uid="{00000000-0005-0000-0000-00005EAE0000}"/>
    <cellStyle name="Note 3 3 2 3 2 2 3" xfId="17395" xr:uid="{00000000-0005-0000-0000-00005FAE0000}"/>
    <cellStyle name="Note 3 3 2 3 2 2 3 2" xfId="39997" xr:uid="{00000000-0005-0000-0000-000060AE0000}"/>
    <cellStyle name="Note 3 3 2 3 2 2 4" xfId="28696" xr:uid="{00000000-0005-0000-0000-000061AE0000}"/>
    <cellStyle name="Note 3 3 2 3 2 3" xfId="8912" xr:uid="{00000000-0005-0000-0000-000062AE0000}"/>
    <cellStyle name="Note 3 3 2 3 2 3 2" xfId="20213" xr:uid="{00000000-0005-0000-0000-000063AE0000}"/>
    <cellStyle name="Note 3 3 2 3 2 3 2 2" xfId="42815" xr:uid="{00000000-0005-0000-0000-000064AE0000}"/>
    <cellStyle name="Note 3 3 2 3 2 3 3" xfId="31514" xr:uid="{00000000-0005-0000-0000-000065AE0000}"/>
    <cellStyle name="Note 3 3 2 3 2 4" xfId="14563" xr:uid="{00000000-0005-0000-0000-000066AE0000}"/>
    <cellStyle name="Note 3 3 2 3 2 4 2" xfId="37165" xr:uid="{00000000-0005-0000-0000-000067AE0000}"/>
    <cellStyle name="Note 3 3 2 3 2 5" xfId="25864" xr:uid="{00000000-0005-0000-0000-000068AE0000}"/>
    <cellStyle name="Note 3 3 2 3 3" xfId="4860" xr:uid="{00000000-0005-0000-0000-000069AE0000}"/>
    <cellStyle name="Note 3 3 2 3 3 2" xfId="10510" xr:uid="{00000000-0005-0000-0000-00006AAE0000}"/>
    <cellStyle name="Note 3 3 2 3 3 2 2" xfId="21811" xr:uid="{00000000-0005-0000-0000-00006BAE0000}"/>
    <cellStyle name="Note 3 3 2 3 3 2 2 2" xfId="44413" xr:uid="{00000000-0005-0000-0000-00006CAE0000}"/>
    <cellStyle name="Note 3 3 2 3 3 2 3" xfId="33112" xr:uid="{00000000-0005-0000-0000-00006DAE0000}"/>
    <cellStyle name="Note 3 3 2 3 3 3" xfId="16161" xr:uid="{00000000-0005-0000-0000-00006EAE0000}"/>
    <cellStyle name="Note 3 3 2 3 3 3 2" xfId="38763" xr:uid="{00000000-0005-0000-0000-00006FAE0000}"/>
    <cellStyle name="Note 3 3 2 3 3 4" xfId="27462" xr:uid="{00000000-0005-0000-0000-000070AE0000}"/>
    <cellStyle name="Note 3 3 2 3 4" xfId="7047" xr:uid="{00000000-0005-0000-0000-000071AE0000}"/>
    <cellStyle name="Note 3 3 2 3 4 2" xfId="18348" xr:uid="{00000000-0005-0000-0000-000072AE0000}"/>
    <cellStyle name="Note 3 3 2 3 4 2 2" xfId="40950" xr:uid="{00000000-0005-0000-0000-000073AE0000}"/>
    <cellStyle name="Note 3 3 2 3 4 3" xfId="29649" xr:uid="{00000000-0005-0000-0000-000074AE0000}"/>
    <cellStyle name="Note 3 3 2 3 5" xfId="12698" xr:uid="{00000000-0005-0000-0000-000075AE0000}"/>
    <cellStyle name="Note 3 3 2 3 5 2" xfId="35300" xr:uid="{00000000-0005-0000-0000-000076AE0000}"/>
    <cellStyle name="Note 3 3 2 3 6" xfId="23999" xr:uid="{00000000-0005-0000-0000-000077AE0000}"/>
    <cellStyle name="Note 3 3 2 4" xfId="2145" xr:uid="{00000000-0005-0000-0000-000078AE0000}"/>
    <cellStyle name="Note 3 3 2 4 2" xfId="3880" xr:uid="{00000000-0005-0000-0000-000079AE0000}"/>
    <cellStyle name="Note 3 3 2 4 2 2" xfId="9588" xr:uid="{00000000-0005-0000-0000-00007AAE0000}"/>
    <cellStyle name="Note 3 3 2 4 2 2 2" xfId="20889" xr:uid="{00000000-0005-0000-0000-00007BAE0000}"/>
    <cellStyle name="Note 3 3 2 4 2 2 2 2" xfId="43491" xr:uid="{00000000-0005-0000-0000-00007CAE0000}"/>
    <cellStyle name="Note 3 3 2 4 2 2 3" xfId="32190" xr:uid="{00000000-0005-0000-0000-00007DAE0000}"/>
    <cellStyle name="Note 3 3 2 4 2 3" xfId="15239" xr:uid="{00000000-0005-0000-0000-00007EAE0000}"/>
    <cellStyle name="Note 3 3 2 4 2 3 2" xfId="37841" xr:uid="{00000000-0005-0000-0000-00007FAE0000}"/>
    <cellStyle name="Note 3 3 2 4 2 4" xfId="26540" xr:uid="{00000000-0005-0000-0000-000080AE0000}"/>
    <cellStyle name="Note 3 3 2 4 3" xfId="5470" xr:uid="{00000000-0005-0000-0000-000081AE0000}"/>
    <cellStyle name="Note 3 3 2 4 3 2" xfId="11120" xr:uid="{00000000-0005-0000-0000-000082AE0000}"/>
    <cellStyle name="Note 3 3 2 4 3 2 2" xfId="22421" xr:uid="{00000000-0005-0000-0000-000083AE0000}"/>
    <cellStyle name="Note 3 3 2 4 3 2 2 2" xfId="45023" xr:uid="{00000000-0005-0000-0000-000084AE0000}"/>
    <cellStyle name="Note 3 3 2 4 3 2 3" xfId="33722" xr:uid="{00000000-0005-0000-0000-000085AE0000}"/>
    <cellStyle name="Note 3 3 2 4 3 3" xfId="16771" xr:uid="{00000000-0005-0000-0000-000086AE0000}"/>
    <cellStyle name="Note 3 3 2 4 3 3 2" xfId="39373" xr:uid="{00000000-0005-0000-0000-000087AE0000}"/>
    <cellStyle name="Note 3 3 2 4 3 4" xfId="28072" xr:uid="{00000000-0005-0000-0000-000088AE0000}"/>
    <cellStyle name="Note 3 3 2 4 4" xfId="8001" xr:uid="{00000000-0005-0000-0000-000089AE0000}"/>
    <cellStyle name="Note 3 3 2 4 4 2" xfId="19302" xr:uid="{00000000-0005-0000-0000-00008AAE0000}"/>
    <cellStyle name="Note 3 3 2 4 4 2 2" xfId="41904" xr:uid="{00000000-0005-0000-0000-00008BAE0000}"/>
    <cellStyle name="Note 3 3 2 4 4 3" xfId="30603" xr:uid="{00000000-0005-0000-0000-00008CAE0000}"/>
    <cellStyle name="Note 3 3 2 4 5" xfId="13652" xr:uid="{00000000-0005-0000-0000-00008DAE0000}"/>
    <cellStyle name="Note 3 3 2 4 5 2" xfId="36254" xr:uid="{00000000-0005-0000-0000-00008EAE0000}"/>
    <cellStyle name="Note 3 3 2 4 6" xfId="24953" xr:uid="{00000000-0005-0000-0000-00008FAE0000}"/>
    <cellStyle name="Note 3 3 2 5" xfId="2451" xr:uid="{00000000-0005-0000-0000-000090AE0000}"/>
    <cellStyle name="Note 3 3 2 5 2" xfId="8287" xr:uid="{00000000-0005-0000-0000-000091AE0000}"/>
    <cellStyle name="Note 3 3 2 5 2 2" xfId="19588" xr:uid="{00000000-0005-0000-0000-000092AE0000}"/>
    <cellStyle name="Note 3 3 2 5 2 2 2" xfId="42190" xr:uid="{00000000-0005-0000-0000-000093AE0000}"/>
    <cellStyle name="Note 3 3 2 5 2 3" xfId="30889" xr:uid="{00000000-0005-0000-0000-000094AE0000}"/>
    <cellStyle name="Note 3 3 2 5 3" xfId="13938" xr:uid="{00000000-0005-0000-0000-000095AE0000}"/>
    <cellStyle name="Note 3 3 2 5 3 2" xfId="36540" xr:uid="{00000000-0005-0000-0000-000096AE0000}"/>
    <cellStyle name="Note 3 3 2 5 4" xfId="25239" xr:uid="{00000000-0005-0000-0000-000097AE0000}"/>
    <cellStyle name="Note 3 3 2 6" xfId="4236" xr:uid="{00000000-0005-0000-0000-000098AE0000}"/>
    <cellStyle name="Note 3 3 2 6 2" xfId="9886" xr:uid="{00000000-0005-0000-0000-000099AE0000}"/>
    <cellStyle name="Note 3 3 2 6 2 2" xfId="21187" xr:uid="{00000000-0005-0000-0000-00009AAE0000}"/>
    <cellStyle name="Note 3 3 2 6 2 2 2" xfId="43789" xr:uid="{00000000-0005-0000-0000-00009BAE0000}"/>
    <cellStyle name="Note 3 3 2 6 2 3" xfId="32488" xr:uid="{00000000-0005-0000-0000-00009CAE0000}"/>
    <cellStyle name="Note 3 3 2 6 3" xfId="15537" xr:uid="{00000000-0005-0000-0000-00009DAE0000}"/>
    <cellStyle name="Note 3 3 2 6 3 2" xfId="38139" xr:uid="{00000000-0005-0000-0000-00009EAE0000}"/>
    <cellStyle name="Note 3 3 2 6 4" xfId="26838" xr:uid="{00000000-0005-0000-0000-00009FAE0000}"/>
    <cellStyle name="Note 3 3 2 7" xfId="6716" xr:uid="{00000000-0005-0000-0000-0000A0AE0000}"/>
    <cellStyle name="Note 3 3 2 7 2" xfId="18017" xr:uid="{00000000-0005-0000-0000-0000A1AE0000}"/>
    <cellStyle name="Note 3 3 2 7 2 2" xfId="40619" xr:uid="{00000000-0005-0000-0000-0000A2AE0000}"/>
    <cellStyle name="Note 3 3 2 7 3" xfId="29318" xr:uid="{00000000-0005-0000-0000-0000A3AE0000}"/>
    <cellStyle name="Note 3 3 2 8" xfId="12367" xr:uid="{00000000-0005-0000-0000-0000A4AE0000}"/>
    <cellStyle name="Note 3 3 2 8 2" xfId="34969" xr:uid="{00000000-0005-0000-0000-0000A5AE0000}"/>
    <cellStyle name="Note 3 3 2 9" xfId="23668" xr:uid="{00000000-0005-0000-0000-0000A6AE0000}"/>
    <cellStyle name="Note 3 3 3" xfId="1223" xr:uid="{00000000-0005-0000-0000-0000A7AE0000}"/>
    <cellStyle name="Note 3 3 3 2" xfId="2147" xr:uid="{00000000-0005-0000-0000-0000A8AE0000}"/>
    <cellStyle name="Note 3 3 3 2 2" xfId="3291" xr:uid="{00000000-0005-0000-0000-0000A9AE0000}"/>
    <cellStyle name="Note 3 3 3 2 2 2" xfId="6263" xr:uid="{00000000-0005-0000-0000-0000AAAE0000}"/>
    <cellStyle name="Note 3 3 3 2 2 2 2" xfId="11913" xr:uid="{00000000-0005-0000-0000-0000ABAE0000}"/>
    <cellStyle name="Note 3 3 3 2 2 2 2 2" xfId="23214" xr:uid="{00000000-0005-0000-0000-0000ACAE0000}"/>
    <cellStyle name="Note 3 3 3 2 2 2 2 2 2" xfId="45816" xr:uid="{00000000-0005-0000-0000-0000ADAE0000}"/>
    <cellStyle name="Note 3 3 3 2 2 2 2 3" xfId="34515" xr:uid="{00000000-0005-0000-0000-0000AEAE0000}"/>
    <cellStyle name="Note 3 3 3 2 2 2 3" xfId="17564" xr:uid="{00000000-0005-0000-0000-0000AFAE0000}"/>
    <cellStyle name="Note 3 3 3 2 2 2 3 2" xfId="40166" xr:uid="{00000000-0005-0000-0000-0000B0AE0000}"/>
    <cellStyle name="Note 3 3 3 2 2 2 4" xfId="28865" xr:uid="{00000000-0005-0000-0000-0000B1AE0000}"/>
    <cellStyle name="Note 3 3 3 2 2 3" xfId="9081" xr:uid="{00000000-0005-0000-0000-0000B2AE0000}"/>
    <cellStyle name="Note 3 3 3 2 2 3 2" xfId="20382" xr:uid="{00000000-0005-0000-0000-0000B3AE0000}"/>
    <cellStyle name="Note 3 3 3 2 2 3 2 2" xfId="42984" xr:uid="{00000000-0005-0000-0000-0000B4AE0000}"/>
    <cellStyle name="Note 3 3 3 2 2 3 3" xfId="31683" xr:uid="{00000000-0005-0000-0000-0000B5AE0000}"/>
    <cellStyle name="Note 3 3 3 2 2 4" xfId="14732" xr:uid="{00000000-0005-0000-0000-0000B6AE0000}"/>
    <cellStyle name="Note 3 3 3 2 2 4 2" xfId="37334" xr:uid="{00000000-0005-0000-0000-0000B7AE0000}"/>
    <cellStyle name="Note 3 3 3 2 2 5" xfId="26033" xr:uid="{00000000-0005-0000-0000-0000B8AE0000}"/>
    <cellStyle name="Note 3 3 3 2 3" xfId="5029" xr:uid="{00000000-0005-0000-0000-0000B9AE0000}"/>
    <cellStyle name="Note 3 3 3 2 3 2" xfId="10679" xr:uid="{00000000-0005-0000-0000-0000BAAE0000}"/>
    <cellStyle name="Note 3 3 3 2 3 2 2" xfId="21980" xr:uid="{00000000-0005-0000-0000-0000BBAE0000}"/>
    <cellStyle name="Note 3 3 3 2 3 2 2 2" xfId="44582" xr:uid="{00000000-0005-0000-0000-0000BCAE0000}"/>
    <cellStyle name="Note 3 3 3 2 3 2 3" xfId="33281" xr:uid="{00000000-0005-0000-0000-0000BDAE0000}"/>
    <cellStyle name="Note 3 3 3 2 3 3" xfId="16330" xr:uid="{00000000-0005-0000-0000-0000BEAE0000}"/>
    <cellStyle name="Note 3 3 3 2 3 3 2" xfId="38932" xr:uid="{00000000-0005-0000-0000-0000BFAE0000}"/>
    <cellStyle name="Note 3 3 3 2 3 4" xfId="27631" xr:uid="{00000000-0005-0000-0000-0000C0AE0000}"/>
    <cellStyle name="Note 3 3 3 2 4" xfId="8003" xr:uid="{00000000-0005-0000-0000-0000C1AE0000}"/>
    <cellStyle name="Note 3 3 3 2 4 2" xfId="19304" xr:uid="{00000000-0005-0000-0000-0000C2AE0000}"/>
    <cellStyle name="Note 3 3 3 2 4 2 2" xfId="41906" xr:uid="{00000000-0005-0000-0000-0000C3AE0000}"/>
    <cellStyle name="Note 3 3 3 2 4 3" xfId="30605" xr:uid="{00000000-0005-0000-0000-0000C4AE0000}"/>
    <cellStyle name="Note 3 3 3 2 5" xfId="13654" xr:uid="{00000000-0005-0000-0000-0000C5AE0000}"/>
    <cellStyle name="Note 3 3 3 2 5 2" xfId="36256" xr:uid="{00000000-0005-0000-0000-0000C6AE0000}"/>
    <cellStyle name="Note 3 3 3 2 6" xfId="24955" xr:uid="{00000000-0005-0000-0000-0000C7AE0000}"/>
    <cellStyle name="Note 3 3 3 3" xfId="2620" xr:uid="{00000000-0005-0000-0000-0000C8AE0000}"/>
    <cellStyle name="Note 3 3 3 3 2" xfId="5639" xr:uid="{00000000-0005-0000-0000-0000C9AE0000}"/>
    <cellStyle name="Note 3 3 3 3 2 2" xfId="11289" xr:uid="{00000000-0005-0000-0000-0000CAAE0000}"/>
    <cellStyle name="Note 3 3 3 3 2 2 2" xfId="22590" xr:uid="{00000000-0005-0000-0000-0000CBAE0000}"/>
    <cellStyle name="Note 3 3 3 3 2 2 2 2" xfId="45192" xr:uid="{00000000-0005-0000-0000-0000CCAE0000}"/>
    <cellStyle name="Note 3 3 3 3 2 2 3" xfId="33891" xr:uid="{00000000-0005-0000-0000-0000CDAE0000}"/>
    <cellStyle name="Note 3 3 3 3 2 3" xfId="16940" xr:uid="{00000000-0005-0000-0000-0000CEAE0000}"/>
    <cellStyle name="Note 3 3 3 3 2 3 2" xfId="39542" xr:uid="{00000000-0005-0000-0000-0000CFAE0000}"/>
    <cellStyle name="Note 3 3 3 3 2 4" xfId="28241" xr:uid="{00000000-0005-0000-0000-0000D0AE0000}"/>
    <cellStyle name="Note 3 3 3 3 3" xfId="8456" xr:uid="{00000000-0005-0000-0000-0000D1AE0000}"/>
    <cellStyle name="Note 3 3 3 3 3 2" xfId="19757" xr:uid="{00000000-0005-0000-0000-0000D2AE0000}"/>
    <cellStyle name="Note 3 3 3 3 3 2 2" xfId="42359" xr:uid="{00000000-0005-0000-0000-0000D3AE0000}"/>
    <cellStyle name="Note 3 3 3 3 3 3" xfId="31058" xr:uid="{00000000-0005-0000-0000-0000D4AE0000}"/>
    <cellStyle name="Note 3 3 3 3 4" xfId="14107" xr:uid="{00000000-0005-0000-0000-0000D5AE0000}"/>
    <cellStyle name="Note 3 3 3 3 4 2" xfId="36709" xr:uid="{00000000-0005-0000-0000-0000D6AE0000}"/>
    <cellStyle name="Note 3 3 3 3 5" xfId="25408" xr:uid="{00000000-0005-0000-0000-0000D7AE0000}"/>
    <cellStyle name="Note 3 3 3 4" xfId="4405" xr:uid="{00000000-0005-0000-0000-0000D8AE0000}"/>
    <cellStyle name="Note 3 3 3 4 2" xfId="10055" xr:uid="{00000000-0005-0000-0000-0000D9AE0000}"/>
    <cellStyle name="Note 3 3 3 4 2 2" xfId="21356" xr:uid="{00000000-0005-0000-0000-0000DAAE0000}"/>
    <cellStyle name="Note 3 3 3 4 2 2 2" xfId="43958" xr:uid="{00000000-0005-0000-0000-0000DBAE0000}"/>
    <cellStyle name="Note 3 3 3 4 2 3" xfId="32657" xr:uid="{00000000-0005-0000-0000-0000DCAE0000}"/>
    <cellStyle name="Note 3 3 3 4 3" xfId="15706" xr:uid="{00000000-0005-0000-0000-0000DDAE0000}"/>
    <cellStyle name="Note 3 3 3 4 3 2" xfId="38308" xr:uid="{00000000-0005-0000-0000-0000DEAE0000}"/>
    <cellStyle name="Note 3 3 3 4 4" xfId="27007" xr:uid="{00000000-0005-0000-0000-0000DFAE0000}"/>
    <cellStyle name="Note 3 3 3 5" xfId="7202" xr:uid="{00000000-0005-0000-0000-0000E0AE0000}"/>
    <cellStyle name="Note 3 3 3 5 2" xfId="18503" xr:uid="{00000000-0005-0000-0000-0000E1AE0000}"/>
    <cellStyle name="Note 3 3 3 5 2 2" xfId="41105" xr:uid="{00000000-0005-0000-0000-0000E2AE0000}"/>
    <cellStyle name="Note 3 3 3 5 3" xfId="29804" xr:uid="{00000000-0005-0000-0000-0000E3AE0000}"/>
    <cellStyle name="Note 3 3 3 6" xfId="12853" xr:uid="{00000000-0005-0000-0000-0000E4AE0000}"/>
    <cellStyle name="Note 3 3 3 6 2" xfId="35455" xr:uid="{00000000-0005-0000-0000-0000E5AE0000}"/>
    <cellStyle name="Note 3 3 3 7" xfId="24154" xr:uid="{00000000-0005-0000-0000-0000E6AE0000}"/>
    <cellStyle name="Note 3 3 4" xfId="914" xr:uid="{00000000-0005-0000-0000-0000E7AE0000}"/>
    <cellStyle name="Note 3 3 4 2" xfId="2984" xr:uid="{00000000-0005-0000-0000-0000E8AE0000}"/>
    <cellStyle name="Note 3 3 4 2 2" xfId="5956" xr:uid="{00000000-0005-0000-0000-0000E9AE0000}"/>
    <cellStyle name="Note 3 3 4 2 2 2" xfId="11606" xr:uid="{00000000-0005-0000-0000-0000EAAE0000}"/>
    <cellStyle name="Note 3 3 4 2 2 2 2" xfId="22907" xr:uid="{00000000-0005-0000-0000-0000EBAE0000}"/>
    <cellStyle name="Note 3 3 4 2 2 2 2 2" xfId="45509" xr:uid="{00000000-0005-0000-0000-0000ECAE0000}"/>
    <cellStyle name="Note 3 3 4 2 2 2 3" xfId="34208" xr:uid="{00000000-0005-0000-0000-0000EDAE0000}"/>
    <cellStyle name="Note 3 3 4 2 2 3" xfId="17257" xr:uid="{00000000-0005-0000-0000-0000EEAE0000}"/>
    <cellStyle name="Note 3 3 4 2 2 3 2" xfId="39859" xr:uid="{00000000-0005-0000-0000-0000EFAE0000}"/>
    <cellStyle name="Note 3 3 4 2 2 4" xfId="28558" xr:uid="{00000000-0005-0000-0000-0000F0AE0000}"/>
    <cellStyle name="Note 3 3 4 2 3" xfId="8774" xr:uid="{00000000-0005-0000-0000-0000F1AE0000}"/>
    <cellStyle name="Note 3 3 4 2 3 2" xfId="20075" xr:uid="{00000000-0005-0000-0000-0000F2AE0000}"/>
    <cellStyle name="Note 3 3 4 2 3 2 2" xfId="42677" xr:uid="{00000000-0005-0000-0000-0000F3AE0000}"/>
    <cellStyle name="Note 3 3 4 2 3 3" xfId="31376" xr:uid="{00000000-0005-0000-0000-0000F4AE0000}"/>
    <cellStyle name="Note 3 3 4 2 4" xfId="14425" xr:uid="{00000000-0005-0000-0000-0000F5AE0000}"/>
    <cellStyle name="Note 3 3 4 2 4 2" xfId="37027" xr:uid="{00000000-0005-0000-0000-0000F6AE0000}"/>
    <cellStyle name="Note 3 3 4 2 5" xfId="25726" xr:uid="{00000000-0005-0000-0000-0000F7AE0000}"/>
    <cellStyle name="Note 3 3 4 3" xfId="4722" xr:uid="{00000000-0005-0000-0000-0000F8AE0000}"/>
    <cellStyle name="Note 3 3 4 3 2" xfId="10372" xr:uid="{00000000-0005-0000-0000-0000F9AE0000}"/>
    <cellStyle name="Note 3 3 4 3 2 2" xfId="21673" xr:uid="{00000000-0005-0000-0000-0000FAAE0000}"/>
    <cellStyle name="Note 3 3 4 3 2 2 2" xfId="44275" xr:uid="{00000000-0005-0000-0000-0000FBAE0000}"/>
    <cellStyle name="Note 3 3 4 3 2 3" xfId="32974" xr:uid="{00000000-0005-0000-0000-0000FCAE0000}"/>
    <cellStyle name="Note 3 3 4 3 3" xfId="16023" xr:uid="{00000000-0005-0000-0000-0000FDAE0000}"/>
    <cellStyle name="Note 3 3 4 3 3 2" xfId="38625" xr:uid="{00000000-0005-0000-0000-0000FEAE0000}"/>
    <cellStyle name="Note 3 3 4 3 4" xfId="27324" xr:uid="{00000000-0005-0000-0000-0000FFAE0000}"/>
    <cellStyle name="Note 3 3 4 4" xfId="6909" xr:uid="{00000000-0005-0000-0000-000000AF0000}"/>
    <cellStyle name="Note 3 3 4 4 2" xfId="18210" xr:uid="{00000000-0005-0000-0000-000001AF0000}"/>
    <cellStyle name="Note 3 3 4 4 2 2" xfId="40812" xr:uid="{00000000-0005-0000-0000-000002AF0000}"/>
    <cellStyle name="Note 3 3 4 4 3" xfId="29511" xr:uid="{00000000-0005-0000-0000-000003AF0000}"/>
    <cellStyle name="Note 3 3 4 5" xfId="12560" xr:uid="{00000000-0005-0000-0000-000004AF0000}"/>
    <cellStyle name="Note 3 3 4 5 2" xfId="35162" xr:uid="{00000000-0005-0000-0000-000005AF0000}"/>
    <cellStyle name="Note 3 3 4 6" xfId="23861" xr:uid="{00000000-0005-0000-0000-000006AF0000}"/>
    <cellStyle name="Note 3 3 5" xfId="2144" xr:uid="{00000000-0005-0000-0000-000007AF0000}"/>
    <cellStyle name="Note 3 3 5 2" xfId="3879" xr:uid="{00000000-0005-0000-0000-000008AF0000}"/>
    <cellStyle name="Note 3 3 5 2 2" xfId="9587" xr:uid="{00000000-0005-0000-0000-000009AF0000}"/>
    <cellStyle name="Note 3 3 5 2 2 2" xfId="20888" xr:uid="{00000000-0005-0000-0000-00000AAF0000}"/>
    <cellStyle name="Note 3 3 5 2 2 2 2" xfId="43490" xr:uid="{00000000-0005-0000-0000-00000BAF0000}"/>
    <cellStyle name="Note 3 3 5 2 2 3" xfId="32189" xr:uid="{00000000-0005-0000-0000-00000CAF0000}"/>
    <cellStyle name="Note 3 3 5 2 3" xfId="15238" xr:uid="{00000000-0005-0000-0000-00000DAF0000}"/>
    <cellStyle name="Note 3 3 5 2 3 2" xfId="37840" xr:uid="{00000000-0005-0000-0000-00000EAF0000}"/>
    <cellStyle name="Note 3 3 5 2 4" xfId="26539" xr:uid="{00000000-0005-0000-0000-00000FAF0000}"/>
    <cellStyle name="Note 3 3 5 3" xfId="5332" xr:uid="{00000000-0005-0000-0000-000010AF0000}"/>
    <cellStyle name="Note 3 3 5 3 2" xfId="10982" xr:uid="{00000000-0005-0000-0000-000011AF0000}"/>
    <cellStyle name="Note 3 3 5 3 2 2" xfId="22283" xr:uid="{00000000-0005-0000-0000-000012AF0000}"/>
    <cellStyle name="Note 3 3 5 3 2 2 2" xfId="44885" xr:uid="{00000000-0005-0000-0000-000013AF0000}"/>
    <cellStyle name="Note 3 3 5 3 2 3" xfId="33584" xr:uid="{00000000-0005-0000-0000-000014AF0000}"/>
    <cellStyle name="Note 3 3 5 3 3" xfId="16633" xr:uid="{00000000-0005-0000-0000-000015AF0000}"/>
    <cellStyle name="Note 3 3 5 3 3 2" xfId="39235" xr:uid="{00000000-0005-0000-0000-000016AF0000}"/>
    <cellStyle name="Note 3 3 5 3 4" xfId="27934" xr:uid="{00000000-0005-0000-0000-000017AF0000}"/>
    <cellStyle name="Note 3 3 5 4" xfId="8000" xr:uid="{00000000-0005-0000-0000-000018AF0000}"/>
    <cellStyle name="Note 3 3 5 4 2" xfId="19301" xr:uid="{00000000-0005-0000-0000-000019AF0000}"/>
    <cellStyle name="Note 3 3 5 4 2 2" xfId="41903" xr:uid="{00000000-0005-0000-0000-00001AAF0000}"/>
    <cellStyle name="Note 3 3 5 4 3" xfId="30602" xr:uid="{00000000-0005-0000-0000-00001BAF0000}"/>
    <cellStyle name="Note 3 3 5 5" xfId="13651" xr:uid="{00000000-0005-0000-0000-00001CAF0000}"/>
    <cellStyle name="Note 3 3 5 5 2" xfId="36253" xr:uid="{00000000-0005-0000-0000-00001DAF0000}"/>
    <cellStyle name="Note 3 3 5 6" xfId="24952" xr:uid="{00000000-0005-0000-0000-00001EAF0000}"/>
    <cellStyle name="Note 3 3 6" xfId="2311" xr:uid="{00000000-0005-0000-0000-00001FAF0000}"/>
    <cellStyle name="Note 3 3 6 2" xfId="8147" xr:uid="{00000000-0005-0000-0000-000020AF0000}"/>
    <cellStyle name="Note 3 3 6 2 2" xfId="19448" xr:uid="{00000000-0005-0000-0000-000021AF0000}"/>
    <cellStyle name="Note 3 3 6 2 2 2" xfId="42050" xr:uid="{00000000-0005-0000-0000-000022AF0000}"/>
    <cellStyle name="Note 3 3 6 2 3" xfId="30749" xr:uid="{00000000-0005-0000-0000-000023AF0000}"/>
    <cellStyle name="Note 3 3 6 3" xfId="13798" xr:uid="{00000000-0005-0000-0000-000024AF0000}"/>
    <cellStyle name="Note 3 3 6 3 2" xfId="36400" xr:uid="{00000000-0005-0000-0000-000025AF0000}"/>
    <cellStyle name="Note 3 3 6 4" xfId="25099" xr:uid="{00000000-0005-0000-0000-000026AF0000}"/>
    <cellStyle name="Note 3 3 7" xfId="4098" xr:uid="{00000000-0005-0000-0000-000027AF0000}"/>
    <cellStyle name="Note 3 3 7 2" xfId="9748" xr:uid="{00000000-0005-0000-0000-000028AF0000}"/>
    <cellStyle name="Note 3 3 7 2 2" xfId="21049" xr:uid="{00000000-0005-0000-0000-000029AF0000}"/>
    <cellStyle name="Note 3 3 7 2 2 2" xfId="43651" xr:uid="{00000000-0005-0000-0000-00002AAF0000}"/>
    <cellStyle name="Note 3 3 7 2 3" xfId="32350" xr:uid="{00000000-0005-0000-0000-00002BAF0000}"/>
    <cellStyle name="Note 3 3 7 3" xfId="15399" xr:uid="{00000000-0005-0000-0000-00002CAF0000}"/>
    <cellStyle name="Note 3 3 7 3 2" xfId="38001" xr:uid="{00000000-0005-0000-0000-00002DAF0000}"/>
    <cellStyle name="Note 3 3 7 4" xfId="26700" xr:uid="{00000000-0005-0000-0000-00002EAF0000}"/>
    <cellStyle name="Note 3 3 8" xfId="6549" xr:uid="{00000000-0005-0000-0000-00002FAF0000}"/>
    <cellStyle name="Note 3 3 8 2" xfId="17850" xr:uid="{00000000-0005-0000-0000-000030AF0000}"/>
    <cellStyle name="Note 3 3 8 2 2" xfId="40452" xr:uid="{00000000-0005-0000-0000-000031AF0000}"/>
    <cellStyle name="Note 3 3 8 3" xfId="29151" xr:uid="{00000000-0005-0000-0000-000032AF0000}"/>
    <cellStyle name="Note 3 3 9" xfId="12200" xr:uid="{00000000-0005-0000-0000-000033AF0000}"/>
    <cellStyle name="Note 3 3 9 2" xfId="34802" xr:uid="{00000000-0005-0000-0000-000034AF0000}"/>
    <cellStyle name="Note 3 4" xfId="539" xr:uid="{00000000-0005-0000-0000-000035AF0000}"/>
    <cellStyle name="Note 3 4 2" xfId="1127" xr:uid="{00000000-0005-0000-0000-000036AF0000}"/>
    <cellStyle name="Note 3 4 2 2" xfId="2149" xr:uid="{00000000-0005-0000-0000-000037AF0000}"/>
    <cellStyle name="Note 3 4 2 2 2" xfId="3194" xr:uid="{00000000-0005-0000-0000-000038AF0000}"/>
    <cellStyle name="Note 3 4 2 2 2 2" xfId="6166" xr:uid="{00000000-0005-0000-0000-000039AF0000}"/>
    <cellStyle name="Note 3 4 2 2 2 2 2" xfId="11816" xr:uid="{00000000-0005-0000-0000-00003AAF0000}"/>
    <cellStyle name="Note 3 4 2 2 2 2 2 2" xfId="23117" xr:uid="{00000000-0005-0000-0000-00003BAF0000}"/>
    <cellStyle name="Note 3 4 2 2 2 2 2 2 2" xfId="45719" xr:uid="{00000000-0005-0000-0000-00003CAF0000}"/>
    <cellStyle name="Note 3 4 2 2 2 2 2 3" xfId="34418" xr:uid="{00000000-0005-0000-0000-00003DAF0000}"/>
    <cellStyle name="Note 3 4 2 2 2 2 3" xfId="17467" xr:uid="{00000000-0005-0000-0000-00003EAF0000}"/>
    <cellStyle name="Note 3 4 2 2 2 2 3 2" xfId="40069" xr:uid="{00000000-0005-0000-0000-00003FAF0000}"/>
    <cellStyle name="Note 3 4 2 2 2 2 4" xfId="28768" xr:uid="{00000000-0005-0000-0000-000040AF0000}"/>
    <cellStyle name="Note 3 4 2 2 2 3" xfId="8984" xr:uid="{00000000-0005-0000-0000-000041AF0000}"/>
    <cellStyle name="Note 3 4 2 2 2 3 2" xfId="20285" xr:uid="{00000000-0005-0000-0000-000042AF0000}"/>
    <cellStyle name="Note 3 4 2 2 2 3 2 2" xfId="42887" xr:uid="{00000000-0005-0000-0000-000043AF0000}"/>
    <cellStyle name="Note 3 4 2 2 2 3 3" xfId="31586" xr:uid="{00000000-0005-0000-0000-000044AF0000}"/>
    <cellStyle name="Note 3 4 2 2 2 4" xfId="14635" xr:uid="{00000000-0005-0000-0000-000045AF0000}"/>
    <cellStyle name="Note 3 4 2 2 2 4 2" xfId="37237" xr:uid="{00000000-0005-0000-0000-000046AF0000}"/>
    <cellStyle name="Note 3 4 2 2 2 5" xfId="25936" xr:uid="{00000000-0005-0000-0000-000047AF0000}"/>
    <cellStyle name="Note 3 4 2 2 3" xfId="4932" xr:uid="{00000000-0005-0000-0000-000048AF0000}"/>
    <cellStyle name="Note 3 4 2 2 3 2" xfId="10582" xr:uid="{00000000-0005-0000-0000-000049AF0000}"/>
    <cellStyle name="Note 3 4 2 2 3 2 2" xfId="21883" xr:uid="{00000000-0005-0000-0000-00004AAF0000}"/>
    <cellStyle name="Note 3 4 2 2 3 2 2 2" xfId="44485" xr:uid="{00000000-0005-0000-0000-00004BAF0000}"/>
    <cellStyle name="Note 3 4 2 2 3 2 3" xfId="33184" xr:uid="{00000000-0005-0000-0000-00004CAF0000}"/>
    <cellStyle name="Note 3 4 2 2 3 3" xfId="16233" xr:uid="{00000000-0005-0000-0000-00004DAF0000}"/>
    <cellStyle name="Note 3 4 2 2 3 3 2" xfId="38835" xr:uid="{00000000-0005-0000-0000-00004EAF0000}"/>
    <cellStyle name="Note 3 4 2 2 3 4" xfId="27534" xr:uid="{00000000-0005-0000-0000-00004FAF0000}"/>
    <cellStyle name="Note 3 4 2 2 4" xfId="8005" xr:uid="{00000000-0005-0000-0000-000050AF0000}"/>
    <cellStyle name="Note 3 4 2 2 4 2" xfId="19306" xr:uid="{00000000-0005-0000-0000-000051AF0000}"/>
    <cellStyle name="Note 3 4 2 2 4 2 2" xfId="41908" xr:uid="{00000000-0005-0000-0000-000052AF0000}"/>
    <cellStyle name="Note 3 4 2 2 4 3" xfId="30607" xr:uid="{00000000-0005-0000-0000-000053AF0000}"/>
    <cellStyle name="Note 3 4 2 2 5" xfId="13656" xr:uid="{00000000-0005-0000-0000-000054AF0000}"/>
    <cellStyle name="Note 3 4 2 2 5 2" xfId="36258" xr:uid="{00000000-0005-0000-0000-000055AF0000}"/>
    <cellStyle name="Note 3 4 2 2 6" xfId="24957" xr:uid="{00000000-0005-0000-0000-000056AF0000}"/>
    <cellStyle name="Note 3 4 2 3" xfId="2523" xr:uid="{00000000-0005-0000-0000-000057AF0000}"/>
    <cellStyle name="Note 3 4 2 3 2" xfId="5542" xr:uid="{00000000-0005-0000-0000-000058AF0000}"/>
    <cellStyle name="Note 3 4 2 3 2 2" xfId="11192" xr:uid="{00000000-0005-0000-0000-000059AF0000}"/>
    <cellStyle name="Note 3 4 2 3 2 2 2" xfId="22493" xr:uid="{00000000-0005-0000-0000-00005AAF0000}"/>
    <cellStyle name="Note 3 4 2 3 2 2 2 2" xfId="45095" xr:uid="{00000000-0005-0000-0000-00005BAF0000}"/>
    <cellStyle name="Note 3 4 2 3 2 2 3" xfId="33794" xr:uid="{00000000-0005-0000-0000-00005CAF0000}"/>
    <cellStyle name="Note 3 4 2 3 2 3" xfId="16843" xr:uid="{00000000-0005-0000-0000-00005DAF0000}"/>
    <cellStyle name="Note 3 4 2 3 2 3 2" xfId="39445" xr:uid="{00000000-0005-0000-0000-00005EAF0000}"/>
    <cellStyle name="Note 3 4 2 3 2 4" xfId="28144" xr:uid="{00000000-0005-0000-0000-00005FAF0000}"/>
    <cellStyle name="Note 3 4 2 3 3" xfId="8359" xr:uid="{00000000-0005-0000-0000-000060AF0000}"/>
    <cellStyle name="Note 3 4 2 3 3 2" xfId="19660" xr:uid="{00000000-0005-0000-0000-000061AF0000}"/>
    <cellStyle name="Note 3 4 2 3 3 2 2" xfId="42262" xr:uid="{00000000-0005-0000-0000-000062AF0000}"/>
    <cellStyle name="Note 3 4 2 3 3 3" xfId="30961" xr:uid="{00000000-0005-0000-0000-000063AF0000}"/>
    <cellStyle name="Note 3 4 2 3 4" xfId="14010" xr:uid="{00000000-0005-0000-0000-000064AF0000}"/>
    <cellStyle name="Note 3 4 2 3 4 2" xfId="36612" xr:uid="{00000000-0005-0000-0000-000065AF0000}"/>
    <cellStyle name="Note 3 4 2 3 5" xfId="25311" xr:uid="{00000000-0005-0000-0000-000066AF0000}"/>
    <cellStyle name="Note 3 4 2 4" xfId="4308" xr:uid="{00000000-0005-0000-0000-000067AF0000}"/>
    <cellStyle name="Note 3 4 2 4 2" xfId="9958" xr:uid="{00000000-0005-0000-0000-000068AF0000}"/>
    <cellStyle name="Note 3 4 2 4 2 2" xfId="21259" xr:uid="{00000000-0005-0000-0000-000069AF0000}"/>
    <cellStyle name="Note 3 4 2 4 2 2 2" xfId="43861" xr:uid="{00000000-0005-0000-0000-00006AAF0000}"/>
    <cellStyle name="Note 3 4 2 4 2 3" xfId="32560" xr:uid="{00000000-0005-0000-0000-00006BAF0000}"/>
    <cellStyle name="Note 3 4 2 4 3" xfId="15609" xr:uid="{00000000-0005-0000-0000-00006CAF0000}"/>
    <cellStyle name="Note 3 4 2 4 3 2" xfId="38211" xr:uid="{00000000-0005-0000-0000-00006DAF0000}"/>
    <cellStyle name="Note 3 4 2 4 4" xfId="26910" xr:uid="{00000000-0005-0000-0000-00006EAF0000}"/>
    <cellStyle name="Note 3 4 2 5" xfId="7106" xr:uid="{00000000-0005-0000-0000-00006FAF0000}"/>
    <cellStyle name="Note 3 4 2 5 2" xfId="18407" xr:uid="{00000000-0005-0000-0000-000070AF0000}"/>
    <cellStyle name="Note 3 4 2 5 2 2" xfId="41009" xr:uid="{00000000-0005-0000-0000-000071AF0000}"/>
    <cellStyle name="Note 3 4 2 5 3" xfId="29708" xr:uid="{00000000-0005-0000-0000-000072AF0000}"/>
    <cellStyle name="Note 3 4 2 6" xfId="12757" xr:uid="{00000000-0005-0000-0000-000073AF0000}"/>
    <cellStyle name="Note 3 4 2 6 2" xfId="35359" xr:uid="{00000000-0005-0000-0000-000074AF0000}"/>
    <cellStyle name="Note 3 4 2 7" xfId="24058" xr:uid="{00000000-0005-0000-0000-000075AF0000}"/>
    <cellStyle name="Note 3 4 3" xfId="797" xr:uid="{00000000-0005-0000-0000-000076AF0000}"/>
    <cellStyle name="Note 3 4 3 2" xfId="2888" xr:uid="{00000000-0005-0000-0000-000077AF0000}"/>
    <cellStyle name="Note 3 4 3 2 2" xfId="5860" xr:uid="{00000000-0005-0000-0000-000078AF0000}"/>
    <cellStyle name="Note 3 4 3 2 2 2" xfId="11510" xr:uid="{00000000-0005-0000-0000-000079AF0000}"/>
    <cellStyle name="Note 3 4 3 2 2 2 2" xfId="22811" xr:uid="{00000000-0005-0000-0000-00007AAF0000}"/>
    <cellStyle name="Note 3 4 3 2 2 2 2 2" xfId="45413" xr:uid="{00000000-0005-0000-0000-00007BAF0000}"/>
    <cellStyle name="Note 3 4 3 2 2 2 3" xfId="34112" xr:uid="{00000000-0005-0000-0000-00007CAF0000}"/>
    <cellStyle name="Note 3 4 3 2 2 3" xfId="17161" xr:uid="{00000000-0005-0000-0000-00007DAF0000}"/>
    <cellStyle name="Note 3 4 3 2 2 3 2" xfId="39763" xr:uid="{00000000-0005-0000-0000-00007EAF0000}"/>
    <cellStyle name="Note 3 4 3 2 2 4" xfId="28462" xr:uid="{00000000-0005-0000-0000-00007FAF0000}"/>
    <cellStyle name="Note 3 4 3 2 3" xfId="8678" xr:uid="{00000000-0005-0000-0000-000080AF0000}"/>
    <cellStyle name="Note 3 4 3 2 3 2" xfId="19979" xr:uid="{00000000-0005-0000-0000-000081AF0000}"/>
    <cellStyle name="Note 3 4 3 2 3 2 2" xfId="42581" xr:uid="{00000000-0005-0000-0000-000082AF0000}"/>
    <cellStyle name="Note 3 4 3 2 3 3" xfId="31280" xr:uid="{00000000-0005-0000-0000-000083AF0000}"/>
    <cellStyle name="Note 3 4 3 2 4" xfId="14329" xr:uid="{00000000-0005-0000-0000-000084AF0000}"/>
    <cellStyle name="Note 3 4 3 2 4 2" xfId="36931" xr:uid="{00000000-0005-0000-0000-000085AF0000}"/>
    <cellStyle name="Note 3 4 3 2 5" xfId="25630" xr:uid="{00000000-0005-0000-0000-000086AF0000}"/>
    <cellStyle name="Note 3 4 3 3" xfId="4626" xr:uid="{00000000-0005-0000-0000-000087AF0000}"/>
    <cellStyle name="Note 3 4 3 3 2" xfId="10276" xr:uid="{00000000-0005-0000-0000-000088AF0000}"/>
    <cellStyle name="Note 3 4 3 3 2 2" xfId="21577" xr:uid="{00000000-0005-0000-0000-000089AF0000}"/>
    <cellStyle name="Note 3 4 3 3 2 2 2" xfId="44179" xr:uid="{00000000-0005-0000-0000-00008AAF0000}"/>
    <cellStyle name="Note 3 4 3 3 2 3" xfId="32878" xr:uid="{00000000-0005-0000-0000-00008BAF0000}"/>
    <cellStyle name="Note 3 4 3 3 3" xfId="15927" xr:uid="{00000000-0005-0000-0000-00008CAF0000}"/>
    <cellStyle name="Note 3 4 3 3 3 2" xfId="38529" xr:uid="{00000000-0005-0000-0000-00008DAF0000}"/>
    <cellStyle name="Note 3 4 3 3 4" xfId="27228" xr:uid="{00000000-0005-0000-0000-00008EAF0000}"/>
    <cellStyle name="Note 3 4 3 4" xfId="6808" xr:uid="{00000000-0005-0000-0000-00008FAF0000}"/>
    <cellStyle name="Note 3 4 3 4 2" xfId="18109" xr:uid="{00000000-0005-0000-0000-000090AF0000}"/>
    <cellStyle name="Note 3 4 3 4 2 2" xfId="40711" xr:uid="{00000000-0005-0000-0000-000091AF0000}"/>
    <cellStyle name="Note 3 4 3 4 3" xfId="29410" xr:uid="{00000000-0005-0000-0000-000092AF0000}"/>
    <cellStyle name="Note 3 4 3 5" xfId="12459" xr:uid="{00000000-0005-0000-0000-000093AF0000}"/>
    <cellStyle name="Note 3 4 3 5 2" xfId="35061" xr:uid="{00000000-0005-0000-0000-000094AF0000}"/>
    <cellStyle name="Note 3 4 3 6" xfId="23760" xr:uid="{00000000-0005-0000-0000-000095AF0000}"/>
    <cellStyle name="Note 3 4 4" xfId="2148" xr:uid="{00000000-0005-0000-0000-000096AF0000}"/>
    <cellStyle name="Note 3 4 4 2" xfId="3881" xr:uid="{00000000-0005-0000-0000-000097AF0000}"/>
    <cellStyle name="Note 3 4 4 2 2" xfId="9589" xr:uid="{00000000-0005-0000-0000-000098AF0000}"/>
    <cellStyle name="Note 3 4 4 2 2 2" xfId="20890" xr:uid="{00000000-0005-0000-0000-000099AF0000}"/>
    <cellStyle name="Note 3 4 4 2 2 2 2" xfId="43492" xr:uid="{00000000-0005-0000-0000-00009AAF0000}"/>
    <cellStyle name="Note 3 4 4 2 2 3" xfId="32191" xr:uid="{00000000-0005-0000-0000-00009BAF0000}"/>
    <cellStyle name="Note 3 4 4 2 3" xfId="15240" xr:uid="{00000000-0005-0000-0000-00009CAF0000}"/>
    <cellStyle name="Note 3 4 4 2 3 2" xfId="37842" xr:uid="{00000000-0005-0000-0000-00009DAF0000}"/>
    <cellStyle name="Note 3 4 4 2 4" xfId="26541" xr:uid="{00000000-0005-0000-0000-00009EAF0000}"/>
    <cellStyle name="Note 3 4 4 3" xfId="5236" xr:uid="{00000000-0005-0000-0000-00009FAF0000}"/>
    <cellStyle name="Note 3 4 4 3 2" xfId="10886" xr:uid="{00000000-0005-0000-0000-0000A0AF0000}"/>
    <cellStyle name="Note 3 4 4 3 2 2" xfId="22187" xr:uid="{00000000-0005-0000-0000-0000A1AF0000}"/>
    <cellStyle name="Note 3 4 4 3 2 2 2" xfId="44789" xr:uid="{00000000-0005-0000-0000-0000A2AF0000}"/>
    <cellStyle name="Note 3 4 4 3 2 3" xfId="33488" xr:uid="{00000000-0005-0000-0000-0000A3AF0000}"/>
    <cellStyle name="Note 3 4 4 3 3" xfId="16537" xr:uid="{00000000-0005-0000-0000-0000A4AF0000}"/>
    <cellStyle name="Note 3 4 4 3 3 2" xfId="39139" xr:uid="{00000000-0005-0000-0000-0000A5AF0000}"/>
    <cellStyle name="Note 3 4 4 3 4" xfId="27838" xr:uid="{00000000-0005-0000-0000-0000A6AF0000}"/>
    <cellStyle name="Note 3 4 4 4" xfId="8004" xr:uid="{00000000-0005-0000-0000-0000A7AF0000}"/>
    <cellStyle name="Note 3 4 4 4 2" xfId="19305" xr:uid="{00000000-0005-0000-0000-0000A8AF0000}"/>
    <cellStyle name="Note 3 4 4 4 2 2" xfId="41907" xr:uid="{00000000-0005-0000-0000-0000A9AF0000}"/>
    <cellStyle name="Note 3 4 4 4 3" xfId="30606" xr:uid="{00000000-0005-0000-0000-0000AAAF0000}"/>
    <cellStyle name="Note 3 4 4 5" xfId="13655" xr:uid="{00000000-0005-0000-0000-0000ABAF0000}"/>
    <cellStyle name="Note 3 4 4 5 2" xfId="36257" xr:uid="{00000000-0005-0000-0000-0000ACAF0000}"/>
    <cellStyle name="Note 3 4 4 6" xfId="24956" xr:uid="{00000000-0005-0000-0000-0000ADAF0000}"/>
    <cellStyle name="Note 3 4 5" xfId="2207" xr:uid="{00000000-0005-0000-0000-0000AEAF0000}"/>
    <cellStyle name="Note 3 4 5 2" xfId="8050" xr:uid="{00000000-0005-0000-0000-0000AFAF0000}"/>
    <cellStyle name="Note 3 4 5 2 2" xfId="19351" xr:uid="{00000000-0005-0000-0000-0000B0AF0000}"/>
    <cellStyle name="Note 3 4 5 2 2 2" xfId="41953" xr:uid="{00000000-0005-0000-0000-0000B1AF0000}"/>
    <cellStyle name="Note 3 4 5 2 3" xfId="30652" xr:uid="{00000000-0005-0000-0000-0000B2AF0000}"/>
    <cellStyle name="Note 3 4 5 3" xfId="13701" xr:uid="{00000000-0005-0000-0000-0000B3AF0000}"/>
    <cellStyle name="Note 3 4 5 3 2" xfId="36303" xr:uid="{00000000-0005-0000-0000-0000B4AF0000}"/>
    <cellStyle name="Note 3 4 5 4" xfId="25002" xr:uid="{00000000-0005-0000-0000-0000B5AF0000}"/>
    <cellStyle name="Note 3 4 6" xfId="4002" xr:uid="{00000000-0005-0000-0000-0000B6AF0000}"/>
    <cellStyle name="Note 3 4 6 2" xfId="9652" xr:uid="{00000000-0005-0000-0000-0000B7AF0000}"/>
    <cellStyle name="Note 3 4 6 2 2" xfId="20953" xr:uid="{00000000-0005-0000-0000-0000B8AF0000}"/>
    <cellStyle name="Note 3 4 6 2 2 2" xfId="43555" xr:uid="{00000000-0005-0000-0000-0000B9AF0000}"/>
    <cellStyle name="Note 3 4 6 2 3" xfId="32254" xr:uid="{00000000-0005-0000-0000-0000BAAF0000}"/>
    <cellStyle name="Note 3 4 6 3" xfId="15303" xr:uid="{00000000-0005-0000-0000-0000BBAF0000}"/>
    <cellStyle name="Note 3 4 6 3 2" xfId="37905" xr:uid="{00000000-0005-0000-0000-0000BCAF0000}"/>
    <cellStyle name="Note 3 4 6 4" xfId="26604" xr:uid="{00000000-0005-0000-0000-0000BDAF0000}"/>
    <cellStyle name="Note 3 4 7" xfId="6620" xr:uid="{00000000-0005-0000-0000-0000BEAF0000}"/>
    <cellStyle name="Note 3 4 7 2" xfId="17921" xr:uid="{00000000-0005-0000-0000-0000BFAF0000}"/>
    <cellStyle name="Note 3 4 7 2 2" xfId="40523" xr:uid="{00000000-0005-0000-0000-0000C0AF0000}"/>
    <cellStyle name="Note 3 4 7 3" xfId="29222" xr:uid="{00000000-0005-0000-0000-0000C1AF0000}"/>
    <cellStyle name="Note 3 4 8" xfId="12271" xr:uid="{00000000-0005-0000-0000-0000C2AF0000}"/>
    <cellStyle name="Note 3 4 8 2" xfId="34873" xr:uid="{00000000-0005-0000-0000-0000C3AF0000}"/>
    <cellStyle name="Note 3 4 9" xfId="23572" xr:uid="{00000000-0005-0000-0000-0000C4AF0000}"/>
    <cellStyle name="Note 3 5" xfId="485" xr:uid="{00000000-0005-0000-0000-0000C5AF0000}"/>
    <cellStyle name="Note 3 6" xfId="853" xr:uid="{00000000-0005-0000-0000-0000C6AF0000}"/>
    <cellStyle name="Note 3 7" xfId="6453" xr:uid="{00000000-0005-0000-0000-0000C7AF0000}"/>
    <cellStyle name="Note 3 7 2" xfId="17754" xr:uid="{00000000-0005-0000-0000-0000C8AF0000}"/>
    <cellStyle name="Note 3 7 2 2" xfId="40356" xr:uid="{00000000-0005-0000-0000-0000C9AF0000}"/>
    <cellStyle name="Note 3 7 3" xfId="29055" xr:uid="{00000000-0005-0000-0000-0000CAAF0000}"/>
    <cellStyle name="Note 3 8" xfId="12104" xr:uid="{00000000-0005-0000-0000-0000CBAF0000}"/>
    <cellStyle name="Note 3 8 2" xfId="34706" xr:uid="{00000000-0005-0000-0000-0000CCAF0000}"/>
    <cellStyle name="Note 3 9" xfId="23405" xr:uid="{00000000-0005-0000-0000-0000CDAF0000}"/>
    <cellStyle name="Note 4" xfId="235" xr:uid="{00000000-0005-0000-0000-0000CEAF0000}"/>
    <cellStyle name="Note 4 10" xfId="6467" xr:uid="{00000000-0005-0000-0000-0000CFAF0000}"/>
    <cellStyle name="Note 4 10 2" xfId="17768" xr:uid="{00000000-0005-0000-0000-0000D0AF0000}"/>
    <cellStyle name="Note 4 10 2 2" xfId="40370" xr:uid="{00000000-0005-0000-0000-0000D1AF0000}"/>
    <cellStyle name="Note 4 10 3" xfId="29069" xr:uid="{00000000-0005-0000-0000-0000D2AF0000}"/>
    <cellStyle name="Note 4 11" xfId="12118" xr:uid="{00000000-0005-0000-0000-0000D3AF0000}"/>
    <cellStyle name="Note 4 11 2" xfId="34720" xr:uid="{00000000-0005-0000-0000-0000D4AF0000}"/>
    <cellStyle name="Note 4 12" xfId="23419" xr:uid="{00000000-0005-0000-0000-0000D5AF0000}"/>
    <cellStyle name="Note 4 2" xfId="358" xr:uid="{00000000-0005-0000-0000-0000D6AF0000}"/>
    <cellStyle name="Note 4 2 10" xfId="23466" xr:uid="{00000000-0005-0000-0000-0000D7AF0000}"/>
    <cellStyle name="Note 4 2 2" xfId="616" xr:uid="{00000000-0005-0000-0000-0000D8AF0000}"/>
    <cellStyle name="Note 4 2 2 2" xfId="1326" xr:uid="{00000000-0005-0000-0000-0000D9AF0000}"/>
    <cellStyle name="Note 4 2 2 2 2" xfId="2153" xr:uid="{00000000-0005-0000-0000-0000DAAF0000}"/>
    <cellStyle name="Note 4 2 2 2 2 2" xfId="3395" xr:uid="{00000000-0005-0000-0000-0000DBAF0000}"/>
    <cellStyle name="Note 4 2 2 2 2 2 2" xfId="6367" xr:uid="{00000000-0005-0000-0000-0000DCAF0000}"/>
    <cellStyle name="Note 4 2 2 2 2 2 2 2" xfId="12017" xr:uid="{00000000-0005-0000-0000-0000DDAF0000}"/>
    <cellStyle name="Note 4 2 2 2 2 2 2 2 2" xfId="23318" xr:uid="{00000000-0005-0000-0000-0000DEAF0000}"/>
    <cellStyle name="Note 4 2 2 2 2 2 2 2 2 2" xfId="45920" xr:uid="{00000000-0005-0000-0000-0000DFAF0000}"/>
    <cellStyle name="Note 4 2 2 2 2 2 2 2 3" xfId="34619" xr:uid="{00000000-0005-0000-0000-0000E0AF0000}"/>
    <cellStyle name="Note 4 2 2 2 2 2 2 3" xfId="17668" xr:uid="{00000000-0005-0000-0000-0000E1AF0000}"/>
    <cellStyle name="Note 4 2 2 2 2 2 2 3 2" xfId="40270" xr:uid="{00000000-0005-0000-0000-0000E2AF0000}"/>
    <cellStyle name="Note 4 2 2 2 2 2 2 4" xfId="28969" xr:uid="{00000000-0005-0000-0000-0000E3AF0000}"/>
    <cellStyle name="Note 4 2 2 2 2 2 3" xfId="9185" xr:uid="{00000000-0005-0000-0000-0000E4AF0000}"/>
    <cellStyle name="Note 4 2 2 2 2 2 3 2" xfId="20486" xr:uid="{00000000-0005-0000-0000-0000E5AF0000}"/>
    <cellStyle name="Note 4 2 2 2 2 2 3 2 2" xfId="43088" xr:uid="{00000000-0005-0000-0000-0000E6AF0000}"/>
    <cellStyle name="Note 4 2 2 2 2 2 3 3" xfId="31787" xr:uid="{00000000-0005-0000-0000-0000E7AF0000}"/>
    <cellStyle name="Note 4 2 2 2 2 2 4" xfId="14836" xr:uid="{00000000-0005-0000-0000-0000E8AF0000}"/>
    <cellStyle name="Note 4 2 2 2 2 2 4 2" xfId="37438" xr:uid="{00000000-0005-0000-0000-0000E9AF0000}"/>
    <cellStyle name="Note 4 2 2 2 2 2 5" xfId="26137" xr:uid="{00000000-0005-0000-0000-0000EAAF0000}"/>
    <cellStyle name="Note 4 2 2 2 2 3" xfId="5133" xr:uid="{00000000-0005-0000-0000-0000EBAF0000}"/>
    <cellStyle name="Note 4 2 2 2 2 3 2" xfId="10783" xr:uid="{00000000-0005-0000-0000-0000ECAF0000}"/>
    <cellStyle name="Note 4 2 2 2 2 3 2 2" xfId="22084" xr:uid="{00000000-0005-0000-0000-0000EDAF0000}"/>
    <cellStyle name="Note 4 2 2 2 2 3 2 2 2" xfId="44686" xr:uid="{00000000-0005-0000-0000-0000EEAF0000}"/>
    <cellStyle name="Note 4 2 2 2 2 3 2 3" xfId="33385" xr:uid="{00000000-0005-0000-0000-0000EFAF0000}"/>
    <cellStyle name="Note 4 2 2 2 2 3 3" xfId="16434" xr:uid="{00000000-0005-0000-0000-0000F0AF0000}"/>
    <cellStyle name="Note 4 2 2 2 2 3 3 2" xfId="39036" xr:uid="{00000000-0005-0000-0000-0000F1AF0000}"/>
    <cellStyle name="Note 4 2 2 2 2 3 4" xfId="27735" xr:uid="{00000000-0005-0000-0000-0000F2AF0000}"/>
    <cellStyle name="Note 4 2 2 2 2 4" xfId="8009" xr:uid="{00000000-0005-0000-0000-0000F3AF0000}"/>
    <cellStyle name="Note 4 2 2 2 2 4 2" xfId="19310" xr:uid="{00000000-0005-0000-0000-0000F4AF0000}"/>
    <cellStyle name="Note 4 2 2 2 2 4 2 2" xfId="41912" xr:uid="{00000000-0005-0000-0000-0000F5AF0000}"/>
    <cellStyle name="Note 4 2 2 2 2 4 3" xfId="30611" xr:uid="{00000000-0005-0000-0000-0000F6AF0000}"/>
    <cellStyle name="Note 4 2 2 2 2 5" xfId="13660" xr:uid="{00000000-0005-0000-0000-0000F7AF0000}"/>
    <cellStyle name="Note 4 2 2 2 2 5 2" xfId="36262" xr:uid="{00000000-0005-0000-0000-0000F8AF0000}"/>
    <cellStyle name="Note 4 2 2 2 2 6" xfId="24961" xr:uid="{00000000-0005-0000-0000-0000F9AF0000}"/>
    <cellStyle name="Note 4 2 2 2 3" xfId="2724" xr:uid="{00000000-0005-0000-0000-0000FAAF0000}"/>
    <cellStyle name="Note 4 2 2 2 3 2" xfId="5743" xr:uid="{00000000-0005-0000-0000-0000FBAF0000}"/>
    <cellStyle name="Note 4 2 2 2 3 2 2" xfId="11393" xr:uid="{00000000-0005-0000-0000-0000FCAF0000}"/>
    <cellStyle name="Note 4 2 2 2 3 2 2 2" xfId="22694" xr:uid="{00000000-0005-0000-0000-0000FDAF0000}"/>
    <cellStyle name="Note 4 2 2 2 3 2 2 2 2" xfId="45296" xr:uid="{00000000-0005-0000-0000-0000FEAF0000}"/>
    <cellStyle name="Note 4 2 2 2 3 2 2 3" xfId="33995" xr:uid="{00000000-0005-0000-0000-0000FFAF0000}"/>
    <cellStyle name="Note 4 2 2 2 3 2 3" xfId="17044" xr:uid="{00000000-0005-0000-0000-000000B00000}"/>
    <cellStyle name="Note 4 2 2 2 3 2 3 2" xfId="39646" xr:uid="{00000000-0005-0000-0000-000001B00000}"/>
    <cellStyle name="Note 4 2 2 2 3 2 4" xfId="28345" xr:uid="{00000000-0005-0000-0000-000002B00000}"/>
    <cellStyle name="Note 4 2 2 2 3 3" xfId="8560" xr:uid="{00000000-0005-0000-0000-000003B00000}"/>
    <cellStyle name="Note 4 2 2 2 3 3 2" xfId="19861" xr:uid="{00000000-0005-0000-0000-000004B00000}"/>
    <cellStyle name="Note 4 2 2 2 3 3 2 2" xfId="42463" xr:uid="{00000000-0005-0000-0000-000005B00000}"/>
    <cellStyle name="Note 4 2 2 2 3 3 3" xfId="31162" xr:uid="{00000000-0005-0000-0000-000006B00000}"/>
    <cellStyle name="Note 4 2 2 2 3 4" xfId="14211" xr:uid="{00000000-0005-0000-0000-000007B00000}"/>
    <cellStyle name="Note 4 2 2 2 3 4 2" xfId="36813" xr:uid="{00000000-0005-0000-0000-000008B00000}"/>
    <cellStyle name="Note 4 2 2 2 3 5" xfId="25512" xr:uid="{00000000-0005-0000-0000-000009B00000}"/>
    <cellStyle name="Note 4 2 2 2 4" xfId="4509" xr:uid="{00000000-0005-0000-0000-00000AB00000}"/>
    <cellStyle name="Note 4 2 2 2 4 2" xfId="10159" xr:uid="{00000000-0005-0000-0000-00000BB00000}"/>
    <cellStyle name="Note 4 2 2 2 4 2 2" xfId="21460" xr:uid="{00000000-0005-0000-0000-00000CB00000}"/>
    <cellStyle name="Note 4 2 2 2 4 2 2 2" xfId="44062" xr:uid="{00000000-0005-0000-0000-00000DB00000}"/>
    <cellStyle name="Note 4 2 2 2 4 2 3" xfId="32761" xr:uid="{00000000-0005-0000-0000-00000EB00000}"/>
    <cellStyle name="Note 4 2 2 2 4 3" xfId="15810" xr:uid="{00000000-0005-0000-0000-00000FB00000}"/>
    <cellStyle name="Note 4 2 2 2 4 3 2" xfId="38412" xr:uid="{00000000-0005-0000-0000-000010B00000}"/>
    <cellStyle name="Note 4 2 2 2 4 4" xfId="27111" xr:uid="{00000000-0005-0000-0000-000011B00000}"/>
    <cellStyle name="Note 4 2 2 2 5" xfId="7305" xr:uid="{00000000-0005-0000-0000-000012B00000}"/>
    <cellStyle name="Note 4 2 2 2 5 2" xfId="18606" xr:uid="{00000000-0005-0000-0000-000013B00000}"/>
    <cellStyle name="Note 4 2 2 2 5 2 2" xfId="41208" xr:uid="{00000000-0005-0000-0000-000014B00000}"/>
    <cellStyle name="Note 4 2 2 2 5 3" xfId="29907" xr:uid="{00000000-0005-0000-0000-000015B00000}"/>
    <cellStyle name="Note 4 2 2 2 6" xfId="12956" xr:uid="{00000000-0005-0000-0000-000016B00000}"/>
    <cellStyle name="Note 4 2 2 2 6 2" xfId="35558" xr:uid="{00000000-0005-0000-0000-000017B00000}"/>
    <cellStyle name="Note 4 2 2 2 7" xfId="24257" xr:uid="{00000000-0005-0000-0000-000018B00000}"/>
    <cellStyle name="Note 4 2 2 3" xfId="1024" xr:uid="{00000000-0005-0000-0000-000019B00000}"/>
    <cellStyle name="Note 4 2 2 3 2" xfId="3087" xr:uid="{00000000-0005-0000-0000-00001AB00000}"/>
    <cellStyle name="Note 4 2 2 3 2 2" xfId="6059" xr:uid="{00000000-0005-0000-0000-00001BB00000}"/>
    <cellStyle name="Note 4 2 2 3 2 2 2" xfId="11709" xr:uid="{00000000-0005-0000-0000-00001CB00000}"/>
    <cellStyle name="Note 4 2 2 3 2 2 2 2" xfId="23010" xr:uid="{00000000-0005-0000-0000-00001DB00000}"/>
    <cellStyle name="Note 4 2 2 3 2 2 2 2 2" xfId="45612" xr:uid="{00000000-0005-0000-0000-00001EB00000}"/>
    <cellStyle name="Note 4 2 2 3 2 2 2 3" xfId="34311" xr:uid="{00000000-0005-0000-0000-00001FB00000}"/>
    <cellStyle name="Note 4 2 2 3 2 2 3" xfId="17360" xr:uid="{00000000-0005-0000-0000-000020B00000}"/>
    <cellStyle name="Note 4 2 2 3 2 2 3 2" xfId="39962" xr:uid="{00000000-0005-0000-0000-000021B00000}"/>
    <cellStyle name="Note 4 2 2 3 2 2 4" xfId="28661" xr:uid="{00000000-0005-0000-0000-000022B00000}"/>
    <cellStyle name="Note 4 2 2 3 2 3" xfId="8877" xr:uid="{00000000-0005-0000-0000-000023B00000}"/>
    <cellStyle name="Note 4 2 2 3 2 3 2" xfId="20178" xr:uid="{00000000-0005-0000-0000-000024B00000}"/>
    <cellStyle name="Note 4 2 2 3 2 3 2 2" xfId="42780" xr:uid="{00000000-0005-0000-0000-000025B00000}"/>
    <cellStyle name="Note 4 2 2 3 2 3 3" xfId="31479" xr:uid="{00000000-0005-0000-0000-000026B00000}"/>
    <cellStyle name="Note 4 2 2 3 2 4" xfId="14528" xr:uid="{00000000-0005-0000-0000-000027B00000}"/>
    <cellStyle name="Note 4 2 2 3 2 4 2" xfId="37130" xr:uid="{00000000-0005-0000-0000-000028B00000}"/>
    <cellStyle name="Note 4 2 2 3 2 5" xfId="25829" xr:uid="{00000000-0005-0000-0000-000029B00000}"/>
    <cellStyle name="Note 4 2 2 3 3" xfId="4825" xr:uid="{00000000-0005-0000-0000-00002AB00000}"/>
    <cellStyle name="Note 4 2 2 3 3 2" xfId="10475" xr:uid="{00000000-0005-0000-0000-00002BB00000}"/>
    <cellStyle name="Note 4 2 2 3 3 2 2" xfId="21776" xr:uid="{00000000-0005-0000-0000-00002CB00000}"/>
    <cellStyle name="Note 4 2 2 3 3 2 2 2" xfId="44378" xr:uid="{00000000-0005-0000-0000-00002DB00000}"/>
    <cellStyle name="Note 4 2 2 3 3 2 3" xfId="33077" xr:uid="{00000000-0005-0000-0000-00002EB00000}"/>
    <cellStyle name="Note 4 2 2 3 3 3" xfId="16126" xr:uid="{00000000-0005-0000-0000-00002FB00000}"/>
    <cellStyle name="Note 4 2 2 3 3 3 2" xfId="38728" xr:uid="{00000000-0005-0000-0000-000030B00000}"/>
    <cellStyle name="Note 4 2 2 3 3 4" xfId="27427" xr:uid="{00000000-0005-0000-0000-000031B00000}"/>
    <cellStyle name="Note 4 2 2 3 4" xfId="7012" xr:uid="{00000000-0005-0000-0000-000032B00000}"/>
    <cellStyle name="Note 4 2 2 3 4 2" xfId="18313" xr:uid="{00000000-0005-0000-0000-000033B00000}"/>
    <cellStyle name="Note 4 2 2 3 4 2 2" xfId="40915" xr:uid="{00000000-0005-0000-0000-000034B00000}"/>
    <cellStyle name="Note 4 2 2 3 4 3" xfId="29614" xr:uid="{00000000-0005-0000-0000-000035B00000}"/>
    <cellStyle name="Note 4 2 2 3 5" xfId="12663" xr:uid="{00000000-0005-0000-0000-000036B00000}"/>
    <cellStyle name="Note 4 2 2 3 5 2" xfId="35265" xr:uid="{00000000-0005-0000-0000-000037B00000}"/>
    <cellStyle name="Note 4 2 2 3 6" xfId="23964" xr:uid="{00000000-0005-0000-0000-000038B00000}"/>
    <cellStyle name="Note 4 2 2 4" xfId="2152" xr:uid="{00000000-0005-0000-0000-000039B00000}"/>
    <cellStyle name="Note 4 2 2 4 2" xfId="3884" xr:uid="{00000000-0005-0000-0000-00003AB00000}"/>
    <cellStyle name="Note 4 2 2 4 2 2" xfId="9592" xr:uid="{00000000-0005-0000-0000-00003BB00000}"/>
    <cellStyle name="Note 4 2 2 4 2 2 2" xfId="20893" xr:uid="{00000000-0005-0000-0000-00003CB00000}"/>
    <cellStyle name="Note 4 2 2 4 2 2 2 2" xfId="43495" xr:uid="{00000000-0005-0000-0000-00003DB00000}"/>
    <cellStyle name="Note 4 2 2 4 2 2 3" xfId="32194" xr:uid="{00000000-0005-0000-0000-00003EB00000}"/>
    <cellStyle name="Note 4 2 2 4 2 3" xfId="15243" xr:uid="{00000000-0005-0000-0000-00003FB00000}"/>
    <cellStyle name="Note 4 2 2 4 2 3 2" xfId="37845" xr:uid="{00000000-0005-0000-0000-000040B00000}"/>
    <cellStyle name="Note 4 2 2 4 2 4" xfId="26544" xr:uid="{00000000-0005-0000-0000-000041B00000}"/>
    <cellStyle name="Note 4 2 2 4 3" xfId="5435" xr:uid="{00000000-0005-0000-0000-000042B00000}"/>
    <cellStyle name="Note 4 2 2 4 3 2" xfId="11085" xr:uid="{00000000-0005-0000-0000-000043B00000}"/>
    <cellStyle name="Note 4 2 2 4 3 2 2" xfId="22386" xr:uid="{00000000-0005-0000-0000-000044B00000}"/>
    <cellStyle name="Note 4 2 2 4 3 2 2 2" xfId="44988" xr:uid="{00000000-0005-0000-0000-000045B00000}"/>
    <cellStyle name="Note 4 2 2 4 3 2 3" xfId="33687" xr:uid="{00000000-0005-0000-0000-000046B00000}"/>
    <cellStyle name="Note 4 2 2 4 3 3" xfId="16736" xr:uid="{00000000-0005-0000-0000-000047B00000}"/>
    <cellStyle name="Note 4 2 2 4 3 3 2" xfId="39338" xr:uid="{00000000-0005-0000-0000-000048B00000}"/>
    <cellStyle name="Note 4 2 2 4 3 4" xfId="28037" xr:uid="{00000000-0005-0000-0000-000049B00000}"/>
    <cellStyle name="Note 4 2 2 4 4" xfId="8008" xr:uid="{00000000-0005-0000-0000-00004AB00000}"/>
    <cellStyle name="Note 4 2 2 4 4 2" xfId="19309" xr:uid="{00000000-0005-0000-0000-00004BB00000}"/>
    <cellStyle name="Note 4 2 2 4 4 2 2" xfId="41911" xr:uid="{00000000-0005-0000-0000-00004CB00000}"/>
    <cellStyle name="Note 4 2 2 4 4 3" xfId="30610" xr:uid="{00000000-0005-0000-0000-00004DB00000}"/>
    <cellStyle name="Note 4 2 2 4 5" xfId="13659" xr:uid="{00000000-0005-0000-0000-00004EB00000}"/>
    <cellStyle name="Note 4 2 2 4 5 2" xfId="36261" xr:uid="{00000000-0005-0000-0000-00004FB00000}"/>
    <cellStyle name="Note 4 2 2 4 6" xfId="24960" xr:uid="{00000000-0005-0000-0000-000050B00000}"/>
    <cellStyle name="Note 4 2 2 5" xfId="2416" xr:uid="{00000000-0005-0000-0000-000051B00000}"/>
    <cellStyle name="Note 4 2 2 5 2" xfId="8252" xr:uid="{00000000-0005-0000-0000-000052B00000}"/>
    <cellStyle name="Note 4 2 2 5 2 2" xfId="19553" xr:uid="{00000000-0005-0000-0000-000053B00000}"/>
    <cellStyle name="Note 4 2 2 5 2 2 2" xfId="42155" xr:uid="{00000000-0005-0000-0000-000054B00000}"/>
    <cellStyle name="Note 4 2 2 5 2 3" xfId="30854" xr:uid="{00000000-0005-0000-0000-000055B00000}"/>
    <cellStyle name="Note 4 2 2 5 3" xfId="13903" xr:uid="{00000000-0005-0000-0000-000056B00000}"/>
    <cellStyle name="Note 4 2 2 5 3 2" xfId="36505" xr:uid="{00000000-0005-0000-0000-000057B00000}"/>
    <cellStyle name="Note 4 2 2 5 4" xfId="25204" xr:uid="{00000000-0005-0000-0000-000058B00000}"/>
    <cellStyle name="Note 4 2 2 6" xfId="4201" xr:uid="{00000000-0005-0000-0000-000059B00000}"/>
    <cellStyle name="Note 4 2 2 6 2" xfId="9851" xr:uid="{00000000-0005-0000-0000-00005AB00000}"/>
    <cellStyle name="Note 4 2 2 6 2 2" xfId="21152" xr:uid="{00000000-0005-0000-0000-00005BB00000}"/>
    <cellStyle name="Note 4 2 2 6 2 2 2" xfId="43754" xr:uid="{00000000-0005-0000-0000-00005CB00000}"/>
    <cellStyle name="Note 4 2 2 6 2 3" xfId="32453" xr:uid="{00000000-0005-0000-0000-00005DB00000}"/>
    <cellStyle name="Note 4 2 2 6 3" xfId="15502" xr:uid="{00000000-0005-0000-0000-00005EB00000}"/>
    <cellStyle name="Note 4 2 2 6 3 2" xfId="38104" xr:uid="{00000000-0005-0000-0000-00005FB00000}"/>
    <cellStyle name="Note 4 2 2 6 4" xfId="26803" xr:uid="{00000000-0005-0000-0000-000060B00000}"/>
    <cellStyle name="Note 4 2 2 7" xfId="6681" xr:uid="{00000000-0005-0000-0000-000061B00000}"/>
    <cellStyle name="Note 4 2 2 7 2" xfId="17982" xr:uid="{00000000-0005-0000-0000-000062B00000}"/>
    <cellStyle name="Note 4 2 2 7 2 2" xfId="40584" xr:uid="{00000000-0005-0000-0000-000063B00000}"/>
    <cellStyle name="Note 4 2 2 7 3" xfId="29283" xr:uid="{00000000-0005-0000-0000-000064B00000}"/>
    <cellStyle name="Note 4 2 2 8" xfId="12332" xr:uid="{00000000-0005-0000-0000-000065B00000}"/>
    <cellStyle name="Note 4 2 2 8 2" xfId="34934" xr:uid="{00000000-0005-0000-0000-000066B00000}"/>
    <cellStyle name="Note 4 2 2 9" xfId="23633" xr:uid="{00000000-0005-0000-0000-000067B00000}"/>
    <cellStyle name="Note 4 2 3" xfId="1188" xr:uid="{00000000-0005-0000-0000-000068B00000}"/>
    <cellStyle name="Note 4 2 3 2" xfId="2154" xr:uid="{00000000-0005-0000-0000-000069B00000}"/>
    <cellStyle name="Note 4 2 3 2 2" xfId="3256" xr:uid="{00000000-0005-0000-0000-00006AB00000}"/>
    <cellStyle name="Note 4 2 3 2 2 2" xfId="6228" xr:uid="{00000000-0005-0000-0000-00006BB00000}"/>
    <cellStyle name="Note 4 2 3 2 2 2 2" xfId="11878" xr:uid="{00000000-0005-0000-0000-00006CB00000}"/>
    <cellStyle name="Note 4 2 3 2 2 2 2 2" xfId="23179" xr:uid="{00000000-0005-0000-0000-00006DB00000}"/>
    <cellStyle name="Note 4 2 3 2 2 2 2 2 2" xfId="45781" xr:uid="{00000000-0005-0000-0000-00006EB00000}"/>
    <cellStyle name="Note 4 2 3 2 2 2 2 3" xfId="34480" xr:uid="{00000000-0005-0000-0000-00006FB00000}"/>
    <cellStyle name="Note 4 2 3 2 2 2 3" xfId="17529" xr:uid="{00000000-0005-0000-0000-000070B00000}"/>
    <cellStyle name="Note 4 2 3 2 2 2 3 2" xfId="40131" xr:uid="{00000000-0005-0000-0000-000071B00000}"/>
    <cellStyle name="Note 4 2 3 2 2 2 4" xfId="28830" xr:uid="{00000000-0005-0000-0000-000072B00000}"/>
    <cellStyle name="Note 4 2 3 2 2 3" xfId="9046" xr:uid="{00000000-0005-0000-0000-000073B00000}"/>
    <cellStyle name="Note 4 2 3 2 2 3 2" xfId="20347" xr:uid="{00000000-0005-0000-0000-000074B00000}"/>
    <cellStyle name="Note 4 2 3 2 2 3 2 2" xfId="42949" xr:uid="{00000000-0005-0000-0000-000075B00000}"/>
    <cellStyle name="Note 4 2 3 2 2 3 3" xfId="31648" xr:uid="{00000000-0005-0000-0000-000076B00000}"/>
    <cellStyle name="Note 4 2 3 2 2 4" xfId="14697" xr:uid="{00000000-0005-0000-0000-000077B00000}"/>
    <cellStyle name="Note 4 2 3 2 2 4 2" xfId="37299" xr:uid="{00000000-0005-0000-0000-000078B00000}"/>
    <cellStyle name="Note 4 2 3 2 2 5" xfId="25998" xr:uid="{00000000-0005-0000-0000-000079B00000}"/>
    <cellStyle name="Note 4 2 3 2 3" xfId="4994" xr:uid="{00000000-0005-0000-0000-00007AB00000}"/>
    <cellStyle name="Note 4 2 3 2 3 2" xfId="10644" xr:uid="{00000000-0005-0000-0000-00007BB00000}"/>
    <cellStyle name="Note 4 2 3 2 3 2 2" xfId="21945" xr:uid="{00000000-0005-0000-0000-00007CB00000}"/>
    <cellStyle name="Note 4 2 3 2 3 2 2 2" xfId="44547" xr:uid="{00000000-0005-0000-0000-00007DB00000}"/>
    <cellStyle name="Note 4 2 3 2 3 2 3" xfId="33246" xr:uid="{00000000-0005-0000-0000-00007EB00000}"/>
    <cellStyle name="Note 4 2 3 2 3 3" xfId="16295" xr:uid="{00000000-0005-0000-0000-00007FB00000}"/>
    <cellStyle name="Note 4 2 3 2 3 3 2" xfId="38897" xr:uid="{00000000-0005-0000-0000-000080B00000}"/>
    <cellStyle name="Note 4 2 3 2 3 4" xfId="27596" xr:uid="{00000000-0005-0000-0000-000081B00000}"/>
    <cellStyle name="Note 4 2 3 2 4" xfId="8010" xr:uid="{00000000-0005-0000-0000-000082B00000}"/>
    <cellStyle name="Note 4 2 3 2 4 2" xfId="19311" xr:uid="{00000000-0005-0000-0000-000083B00000}"/>
    <cellStyle name="Note 4 2 3 2 4 2 2" xfId="41913" xr:uid="{00000000-0005-0000-0000-000084B00000}"/>
    <cellStyle name="Note 4 2 3 2 4 3" xfId="30612" xr:uid="{00000000-0005-0000-0000-000085B00000}"/>
    <cellStyle name="Note 4 2 3 2 5" xfId="13661" xr:uid="{00000000-0005-0000-0000-000086B00000}"/>
    <cellStyle name="Note 4 2 3 2 5 2" xfId="36263" xr:uid="{00000000-0005-0000-0000-000087B00000}"/>
    <cellStyle name="Note 4 2 3 2 6" xfId="24962" xr:uid="{00000000-0005-0000-0000-000088B00000}"/>
    <cellStyle name="Note 4 2 3 3" xfId="2585" xr:uid="{00000000-0005-0000-0000-000089B00000}"/>
    <cellStyle name="Note 4 2 3 3 2" xfId="5604" xr:uid="{00000000-0005-0000-0000-00008AB00000}"/>
    <cellStyle name="Note 4 2 3 3 2 2" xfId="11254" xr:uid="{00000000-0005-0000-0000-00008BB00000}"/>
    <cellStyle name="Note 4 2 3 3 2 2 2" xfId="22555" xr:uid="{00000000-0005-0000-0000-00008CB00000}"/>
    <cellStyle name="Note 4 2 3 3 2 2 2 2" xfId="45157" xr:uid="{00000000-0005-0000-0000-00008DB00000}"/>
    <cellStyle name="Note 4 2 3 3 2 2 3" xfId="33856" xr:uid="{00000000-0005-0000-0000-00008EB00000}"/>
    <cellStyle name="Note 4 2 3 3 2 3" xfId="16905" xr:uid="{00000000-0005-0000-0000-00008FB00000}"/>
    <cellStyle name="Note 4 2 3 3 2 3 2" xfId="39507" xr:uid="{00000000-0005-0000-0000-000090B00000}"/>
    <cellStyle name="Note 4 2 3 3 2 4" xfId="28206" xr:uid="{00000000-0005-0000-0000-000091B00000}"/>
    <cellStyle name="Note 4 2 3 3 3" xfId="8421" xr:uid="{00000000-0005-0000-0000-000092B00000}"/>
    <cellStyle name="Note 4 2 3 3 3 2" xfId="19722" xr:uid="{00000000-0005-0000-0000-000093B00000}"/>
    <cellStyle name="Note 4 2 3 3 3 2 2" xfId="42324" xr:uid="{00000000-0005-0000-0000-000094B00000}"/>
    <cellStyle name="Note 4 2 3 3 3 3" xfId="31023" xr:uid="{00000000-0005-0000-0000-000095B00000}"/>
    <cellStyle name="Note 4 2 3 3 4" xfId="14072" xr:uid="{00000000-0005-0000-0000-000096B00000}"/>
    <cellStyle name="Note 4 2 3 3 4 2" xfId="36674" xr:uid="{00000000-0005-0000-0000-000097B00000}"/>
    <cellStyle name="Note 4 2 3 3 5" xfId="25373" xr:uid="{00000000-0005-0000-0000-000098B00000}"/>
    <cellStyle name="Note 4 2 3 4" xfId="4370" xr:uid="{00000000-0005-0000-0000-000099B00000}"/>
    <cellStyle name="Note 4 2 3 4 2" xfId="10020" xr:uid="{00000000-0005-0000-0000-00009AB00000}"/>
    <cellStyle name="Note 4 2 3 4 2 2" xfId="21321" xr:uid="{00000000-0005-0000-0000-00009BB00000}"/>
    <cellStyle name="Note 4 2 3 4 2 2 2" xfId="43923" xr:uid="{00000000-0005-0000-0000-00009CB00000}"/>
    <cellStyle name="Note 4 2 3 4 2 3" xfId="32622" xr:uid="{00000000-0005-0000-0000-00009DB00000}"/>
    <cellStyle name="Note 4 2 3 4 3" xfId="15671" xr:uid="{00000000-0005-0000-0000-00009EB00000}"/>
    <cellStyle name="Note 4 2 3 4 3 2" xfId="38273" xr:uid="{00000000-0005-0000-0000-00009FB00000}"/>
    <cellStyle name="Note 4 2 3 4 4" xfId="26972" xr:uid="{00000000-0005-0000-0000-0000A0B00000}"/>
    <cellStyle name="Note 4 2 3 5" xfId="7167" xr:uid="{00000000-0005-0000-0000-0000A1B00000}"/>
    <cellStyle name="Note 4 2 3 5 2" xfId="18468" xr:uid="{00000000-0005-0000-0000-0000A2B00000}"/>
    <cellStyle name="Note 4 2 3 5 2 2" xfId="41070" xr:uid="{00000000-0005-0000-0000-0000A3B00000}"/>
    <cellStyle name="Note 4 2 3 5 3" xfId="29769" xr:uid="{00000000-0005-0000-0000-0000A4B00000}"/>
    <cellStyle name="Note 4 2 3 6" xfId="12818" xr:uid="{00000000-0005-0000-0000-0000A5B00000}"/>
    <cellStyle name="Note 4 2 3 6 2" xfId="35420" xr:uid="{00000000-0005-0000-0000-0000A6B00000}"/>
    <cellStyle name="Note 4 2 3 7" xfId="24119" xr:uid="{00000000-0005-0000-0000-0000A7B00000}"/>
    <cellStyle name="Note 4 2 4" xfId="878" xr:uid="{00000000-0005-0000-0000-0000A8B00000}"/>
    <cellStyle name="Note 4 2 4 2" xfId="2949" xr:uid="{00000000-0005-0000-0000-0000A9B00000}"/>
    <cellStyle name="Note 4 2 4 2 2" xfId="5921" xr:uid="{00000000-0005-0000-0000-0000AAB00000}"/>
    <cellStyle name="Note 4 2 4 2 2 2" xfId="11571" xr:uid="{00000000-0005-0000-0000-0000ABB00000}"/>
    <cellStyle name="Note 4 2 4 2 2 2 2" xfId="22872" xr:uid="{00000000-0005-0000-0000-0000ACB00000}"/>
    <cellStyle name="Note 4 2 4 2 2 2 2 2" xfId="45474" xr:uid="{00000000-0005-0000-0000-0000ADB00000}"/>
    <cellStyle name="Note 4 2 4 2 2 2 3" xfId="34173" xr:uid="{00000000-0005-0000-0000-0000AEB00000}"/>
    <cellStyle name="Note 4 2 4 2 2 3" xfId="17222" xr:uid="{00000000-0005-0000-0000-0000AFB00000}"/>
    <cellStyle name="Note 4 2 4 2 2 3 2" xfId="39824" xr:uid="{00000000-0005-0000-0000-0000B0B00000}"/>
    <cellStyle name="Note 4 2 4 2 2 4" xfId="28523" xr:uid="{00000000-0005-0000-0000-0000B1B00000}"/>
    <cellStyle name="Note 4 2 4 2 3" xfId="8739" xr:uid="{00000000-0005-0000-0000-0000B2B00000}"/>
    <cellStyle name="Note 4 2 4 2 3 2" xfId="20040" xr:uid="{00000000-0005-0000-0000-0000B3B00000}"/>
    <cellStyle name="Note 4 2 4 2 3 2 2" xfId="42642" xr:uid="{00000000-0005-0000-0000-0000B4B00000}"/>
    <cellStyle name="Note 4 2 4 2 3 3" xfId="31341" xr:uid="{00000000-0005-0000-0000-0000B5B00000}"/>
    <cellStyle name="Note 4 2 4 2 4" xfId="14390" xr:uid="{00000000-0005-0000-0000-0000B6B00000}"/>
    <cellStyle name="Note 4 2 4 2 4 2" xfId="36992" xr:uid="{00000000-0005-0000-0000-0000B7B00000}"/>
    <cellStyle name="Note 4 2 4 2 5" xfId="25691" xr:uid="{00000000-0005-0000-0000-0000B8B00000}"/>
    <cellStyle name="Note 4 2 4 3" xfId="4687" xr:uid="{00000000-0005-0000-0000-0000B9B00000}"/>
    <cellStyle name="Note 4 2 4 3 2" xfId="10337" xr:uid="{00000000-0005-0000-0000-0000BAB00000}"/>
    <cellStyle name="Note 4 2 4 3 2 2" xfId="21638" xr:uid="{00000000-0005-0000-0000-0000BBB00000}"/>
    <cellStyle name="Note 4 2 4 3 2 2 2" xfId="44240" xr:uid="{00000000-0005-0000-0000-0000BCB00000}"/>
    <cellStyle name="Note 4 2 4 3 2 3" xfId="32939" xr:uid="{00000000-0005-0000-0000-0000BDB00000}"/>
    <cellStyle name="Note 4 2 4 3 3" xfId="15988" xr:uid="{00000000-0005-0000-0000-0000BEB00000}"/>
    <cellStyle name="Note 4 2 4 3 3 2" xfId="38590" xr:uid="{00000000-0005-0000-0000-0000BFB00000}"/>
    <cellStyle name="Note 4 2 4 3 4" xfId="27289" xr:uid="{00000000-0005-0000-0000-0000C0B00000}"/>
    <cellStyle name="Note 4 2 4 4" xfId="6874" xr:uid="{00000000-0005-0000-0000-0000C1B00000}"/>
    <cellStyle name="Note 4 2 4 4 2" xfId="18175" xr:uid="{00000000-0005-0000-0000-0000C2B00000}"/>
    <cellStyle name="Note 4 2 4 4 2 2" xfId="40777" xr:uid="{00000000-0005-0000-0000-0000C3B00000}"/>
    <cellStyle name="Note 4 2 4 4 3" xfId="29476" xr:uid="{00000000-0005-0000-0000-0000C4B00000}"/>
    <cellStyle name="Note 4 2 4 5" xfId="12525" xr:uid="{00000000-0005-0000-0000-0000C5B00000}"/>
    <cellStyle name="Note 4 2 4 5 2" xfId="35127" xr:uid="{00000000-0005-0000-0000-0000C6B00000}"/>
    <cellStyle name="Note 4 2 4 6" xfId="23826" xr:uid="{00000000-0005-0000-0000-0000C7B00000}"/>
    <cellStyle name="Note 4 2 5" xfId="2151" xr:uid="{00000000-0005-0000-0000-0000C8B00000}"/>
    <cellStyle name="Note 4 2 5 2" xfId="3883" xr:uid="{00000000-0005-0000-0000-0000C9B00000}"/>
    <cellStyle name="Note 4 2 5 2 2" xfId="9591" xr:uid="{00000000-0005-0000-0000-0000CAB00000}"/>
    <cellStyle name="Note 4 2 5 2 2 2" xfId="20892" xr:uid="{00000000-0005-0000-0000-0000CBB00000}"/>
    <cellStyle name="Note 4 2 5 2 2 2 2" xfId="43494" xr:uid="{00000000-0005-0000-0000-0000CCB00000}"/>
    <cellStyle name="Note 4 2 5 2 2 3" xfId="32193" xr:uid="{00000000-0005-0000-0000-0000CDB00000}"/>
    <cellStyle name="Note 4 2 5 2 3" xfId="15242" xr:uid="{00000000-0005-0000-0000-0000CEB00000}"/>
    <cellStyle name="Note 4 2 5 2 3 2" xfId="37844" xr:uid="{00000000-0005-0000-0000-0000CFB00000}"/>
    <cellStyle name="Note 4 2 5 2 4" xfId="26543" xr:uid="{00000000-0005-0000-0000-0000D0B00000}"/>
    <cellStyle name="Note 4 2 5 3" xfId="5297" xr:uid="{00000000-0005-0000-0000-0000D1B00000}"/>
    <cellStyle name="Note 4 2 5 3 2" xfId="10947" xr:uid="{00000000-0005-0000-0000-0000D2B00000}"/>
    <cellStyle name="Note 4 2 5 3 2 2" xfId="22248" xr:uid="{00000000-0005-0000-0000-0000D3B00000}"/>
    <cellStyle name="Note 4 2 5 3 2 2 2" xfId="44850" xr:uid="{00000000-0005-0000-0000-0000D4B00000}"/>
    <cellStyle name="Note 4 2 5 3 2 3" xfId="33549" xr:uid="{00000000-0005-0000-0000-0000D5B00000}"/>
    <cellStyle name="Note 4 2 5 3 3" xfId="16598" xr:uid="{00000000-0005-0000-0000-0000D6B00000}"/>
    <cellStyle name="Note 4 2 5 3 3 2" xfId="39200" xr:uid="{00000000-0005-0000-0000-0000D7B00000}"/>
    <cellStyle name="Note 4 2 5 3 4" xfId="27899" xr:uid="{00000000-0005-0000-0000-0000D8B00000}"/>
    <cellStyle name="Note 4 2 5 4" xfId="8007" xr:uid="{00000000-0005-0000-0000-0000D9B00000}"/>
    <cellStyle name="Note 4 2 5 4 2" xfId="19308" xr:uid="{00000000-0005-0000-0000-0000DAB00000}"/>
    <cellStyle name="Note 4 2 5 4 2 2" xfId="41910" xr:uid="{00000000-0005-0000-0000-0000DBB00000}"/>
    <cellStyle name="Note 4 2 5 4 3" xfId="30609" xr:uid="{00000000-0005-0000-0000-0000DCB00000}"/>
    <cellStyle name="Note 4 2 5 5" xfId="13658" xr:uid="{00000000-0005-0000-0000-0000DDB00000}"/>
    <cellStyle name="Note 4 2 5 5 2" xfId="36260" xr:uid="{00000000-0005-0000-0000-0000DEB00000}"/>
    <cellStyle name="Note 4 2 5 6" xfId="24959" xr:uid="{00000000-0005-0000-0000-0000DFB00000}"/>
    <cellStyle name="Note 4 2 6" xfId="2276" xr:uid="{00000000-0005-0000-0000-0000E0B00000}"/>
    <cellStyle name="Note 4 2 6 2" xfId="8112" xr:uid="{00000000-0005-0000-0000-0000E1B00000}"/>
    <cellStyle name="Note 4 2 6 2 2" xfId="19413" xr:uid="{00000000-0005-0000-0000-0000E2B00000}"/>
    <cellStyle name="Note 4 2 6 2 2 2" xfId="42015" xr:uid="{00000000-0005-0000-0000-0000E3B00000}"/>
    <cellStyle name="Note 4 2 6 2 3" xfId="30714" xr:uid="{00000000-0005-0000-0000-0000E4B00000}"/>
    <cellStyle name="Note 4 2 6 3" xfId="13763" xr:uid="{00000000-0005-0000-0000-0000E5B00000}"/>
    <cellStyle name="Note 4 2 6 3 2" xfId="36365" xr:uid="{00000000-0005-0000-0000-0000E6B00000}"/>
    <cellStyle name="Note 4 2 6 4" xfId="25064" xr:uid="{00000000-0005-0000-0000-0000E7B00000}"/>
    <cellStyle name="Note 4 2 7" xfId="4063" xr:uid="{00000000-0005-0000-0000-0000E8B00000}"/>
    <cellStyle name="Note 4 2 7 2" xfId="9713" xr:uid="{00000000-0005-0000-0000-0000E9B00000}"/>
    <cellStyle name="Note 4 2 7 2 2" xfId="21014" xr:uid="{00000000-0005-0000-0000-0000EAB00000}"/>
    <cellStyle name="Note 4 2 7 2 2 2" xfId="43616" xr:uid="{00000000-0005-0000-0000-0000EBB00000}"/>
    <cellStyle name="Note 4 2 7 2 3" xfId="32315" xr:uid="{00000000-0005-0000-0000-0000ECB00000}"/>
    <cellStyle name="Note 4 2 7 3" xfId="15364" xr:uid="{00000000-0005-0000-0000-0000EDB00000}"/>
    <cellStyle name="Note 4 2 7 3 2" xfId="37966" xr:uid="{00000000-0005-0000-0000-0000EEB00000}"/>
    <cellStyle name="Note 4 2 7 4" xfId="26665" xr:uid="{00000000-0005-0000-0000-0000EFB00000}"/>
    <cellStyle name="Note 4 2 8" xfId="6514" xr:uid="{00000000-0005-0000-0000-0000F0B00000}"/>
    <cellStyle name="Note 4 2 8 2" xfId="17815" xr:uid="{00000000-0005-0000-0000-0000F1B00000}"/>
    <cellStyle name="Note 4 2 8 2 2" xfId="40417" xr:uid="{00000000-0005-0000-0000-0000F2B00000}"/>
    <cellStyle name="Note 4 2 8 3" xfId="29116" xr:uid="{00000000-0005-0000-0000-0000F3B00000}"/>
    <cellStyle name="Note 4 2 9" xfId="12165" xr:uid="{00000000-0005-0000-0000-0000F4B00000}"/>
    <cellStyle name="Note 4 2 9 2" xfId="34767" xr:uid="{00000000-0005-0000-0000-0000F5B00000}"/>
    <cellStyle name="Note 4 3" xfId="420" xr:uid="{00000000-0005-0000-0000-0000F6B00000}"/>
    <cellStyle name="Note 4 3 10" xfId="23515" xr:uid="{00000000-0005-0000-0000-0000F7B00000}"/>
    <cellStyle name="Note 4 3 2" xfId="665" xr:uid="{00000000-0005-0000-0000-0000F8B00000}"/>
    <cellStyle name="Note 4 3 2 2" xfId="1375" xr:uid="{00000000-0005-0000-0000-0000F9B00000}"/>
    <cellStyle name="Note 4 3 2 2 2" xfId="2157" xr:uid="{00000000-0005-0000-0000-0000FAB00000}"/>
    <cellStyle name="Note 4 3 2 2 2 2" xfId="3444" xr:uid="{00000000-0005-0000-0000-0000FBB00000}"/>
    <cellStyle name="Note 4 3 2 2 2 2 2" xfId="6416" xr:uid="{00000000-0005-0000-0000-0000FCB00000}"/>
    <cellStyle name="Note 4 3 2 2 2 2 2 2" xfId="12066" xr:uid="{00000000-0005-0000-0000-0000FDB00000}"/>
    <cellStyle name="Note 4 3 2 2 2 2 2 2 2" xfId="23367" xr:uid="{00000000-0005-0000-0000-0000FEB00000}"/>
    <cellStyle name="Note 4 3 2 2 2 2 2 2 2 2" xfId="45969" xr:uid="{00000000-0005-0000-0000-0000FFB00000}"/>
    <cellStyle name="Note 4 3 2 2 2 2 2 2 3" xfId="34668" xr:uid="{00000000-0005-0000-0000-000000B10000}"/>
    <cellStyle name="Note 4 3 2 2 2 2 2 3" xfId="17717" xr:uid="{00000000-0005-0000-0000-000001B10000}"/>
    <cellStyle name="Note 4 3 2 2 2 2 2 3 2" xfId="40319" xr:uid="{00000000-0005-0000-0000-000002B10000}"/>
    <cellStyle name="Note 4 3 2 2 2 2 2 4" xfId="29018" xr:uid="{00000000-0005-0000-0000-000003B10000}"/>
    <cellStyle name="Note 4 3 2 2 2 2 3" xfId="9234" xr:uid="{00000000-0005-0000-0000-000004B10000}"/>
    <cellStyle name="Note 4 3 2 2 2 2 3 2" xfId="20535" xr:uid="{00000000-0005-0000-0000-000005B10000}"/>
    <cellStyle name="Note 4 3 2 2 2 2 3 2 2" xfId="43137" xr:uid="{00000000-0005-0000-0000-000006B10000}"/>
    <cellStyle name="Note 4 3 2 2 2 2 3 3" xfId="31836" xr:uid="{00000000-0005-0000-0000-000007B10000}"/>
    <cellStyle name="Note 4 3 2 2 2 2 4" xfId="14885" xr:uid="{00000000-0005-0000-0000-000008B10000}"/>
    <cellStyle name="Note 4 3 2 2 2 2 4 2" xfId="37487" xr:uid="{00000000-0005-0000-0000-000009B10000}"/>
    <cellStyle name="Note 4 3 2 2 2 2 5" xfId="26186" xr:uid="{00000000-0005-0000-0000-00000AB10000}"/>
    <cellStyle name="Note 4 3 2 2 2 3" xfId="5182" xr:uid="{00000000-0005-0000-0000-00000BB10000}"/>
    <cellStyle name="Note 4 3 2 2 2 3 2" xfId="10832" xr:uid="{00000000-0005-0000-0000-00000CB10000}"/>
    <cellStyle name="Note 4 3 2 2 2 3 2 2" xfId="22133" xr:uid="{00000000-0005-0000-0000-00000DB10000}"/>
    <cellStyle name="Note 4 3 2 2 2 3 2 2 2" xfId="44735" xr:uid="{00000000-0005-0000-0000-00000EB10000}"/>
    <cellStyle name="Note 4 3 2 2 2 3 2 3" xfId="33434" xr:uid="{00000000-0005-0000-0000-00000FB10000}"/>
    <cellStyle name="Note 4 3 2 2 2 3 3" xfId="16483" xr:uid="{00000000-0005-0000-0000-000010B10000}"/>
    <cellStyle name="Note 4 3 2 2 2 3 3 2" xfId="39085" xr:uid="{00000000-0005-0000-0000-000011B10000}"/>
    <cellStyle name="Note 4 3 2 2 2 3 4" xfId="27784" xr:uid="{00000000-0005-0000-0000-000012B10000}"/>
    <cellStyle name="Note 4 3 2 2 2 4" xfId="8013" xr:uid="{00000000-0005-0000-0000-000013B10000}"/>
    <cellStyle name="Note 4 3 2 2 2 4 2" xfId="19314" xr:uid="{00000000-0005-0000-0000-000014B10000}"/>
    <cellStyle name="Note 4 3 2 2 2 4 2 2" xfId="41916" xr:uid="{00000000-0005-0000-0000-000015B10000}"/>
    <cellStyle name="Note 4 3 2 2 2 4 3" xfId="30615" xr:uid="{00000000-0005-0000-0000-000016B10000}"/>
    <cellStyle name="Note 4 3 2 2 2 5" xfId="13664" xr:uid="{00000000-0005-0000-0000-000017B10000}"/>
    <cellStyle name="Note 4 3 2 2 2 5 2" xfId="36266" xr:uid="{00000000-0005-0000-0000-000018B10000}"/>
    <cellStyle name="Note 4 3 2 2 2 6" xfId="24965" xr:uid="{00000000-0005-0000-0000-000019B10000}"/>
    <cellStyle name="Note 4 3 2 2 3" xfId="2773" xr:uid="{00000000-0005-0000-0000-00001AB10000}"/>
    <cellStyle name="Note 4 3 2 2 3 2" xfId="5792" xr:uid="{00000000-0005-0000-0000-00001BB10000}"/>
    <cellStyle name="Note 4 3 2 2 3 2 2" xfId="11442" xr:uid="{00000000-0005-0000-0000-00001CB10000}"/>
    <cellStyle name="Note 4 3 2 2 3 2 2 2" xfId="22743" xr:uid="{00000000-0005-0000-0000-00001DB10000}"/>
    <cellStyle name="Note 4 3 2 2 3 2 2 2 2" xfId="45345" xr:uid="{00000000-0005-0000-0000-00001EB10000}"/>
    <cellStyle name="Note 4 3 2 2 3 2 2 3" xfId="34044" xr:uid="{00000000-0005-0000-0000-00001FB10000}"/>
    <cellStyle name="Note 4 3 2 2 3 2 3" xfId="17093" xr:uid="{00000000-0005-0000-0000-000020B10000}"/>
    <cellStyle name="Note 4 3 2 2 3 2 3 2" xfId="39695" xr:uid="{00000000-0005-0000-0000-000021B10000}"/>
    <cellStyle name="Note 4 3 2 2 3 2 4" xfId="28394" xr:uid="{00000000-0005-0000-0000-000022B10000}"/>
    <cellStyle name="Note 4 3 2 2 3 3" xfId="8609" xr:uid="{00000000-0005-0000-0000-000023B10000}"/>
    <cellStyle name="Note 4 3 2 2 3 3 2" xfId="19910" xr:uid="{00000000-0005-0000-0000-000024B10000}"/>
    <cellStyle name="Note 4 3 2 2 3 3 2 2" xfId="42512" xr:uid="{00000000-0005-0000-0000-000025B10000}"/>
    <cellStyle name="Note 4 3 2 2 3 3 3" xfId="31211" xr:uid="{00000000-0005-0000-0000-000026B10000}"/>
    <cellStyle name="Note 4 3 2 2 3 4" xfId="14260" xr:uid="{00000000-0005-0000-0000-000027B10000}"/>
    <cellStyle name="Note 4 3 2 2 3 4 2" xfId="36862" xr:uid="{00000000-0005-0000-0000-000028B10000}"/>
    <cellStyle name="Note 4 3 2 2 3 5" xfId="25561" xr:uid="{00000000-0005-0000-0000-000029B10000}"/>
    <cellStyle name="Note 4 3 2 2 4" xfId="4558" xr:uid="{00000000-0005-0000-0000-00002AB10000}"/>
    <cellStyle name="Note 4 3 2 2 4 2" xfId="10208" xr:uid="{00000000-0005-0000-0000-00002BB10000}"/>
    <cellStyle name="Note 4 3 2 2 4 2 2" xfId="21509" xr:uid="{00000000-0005-0000-0000-00002CB10000}"/>
    <cellStyle name="Note 4 3 2 2 4 2 2 2" xfId="44111" xr:uid="{00000000-0005-0000-0000-00002DB10000}"/>
    <cellStyle name="Note 4 3 2 2 4 2 3" xfId="32810" xr:uid="{00000000-0005-0000-0000-00002EB10000}"/>
    <cellStyle name="Note 4 3 2 2 4 3" xfId="15859" xr:uid="{00000000-0005-0000-0000-00002FB10000}"/>
    <cellStyle name="Note 4 3 2 2 4 3 2" xfId="38461" xr:uid="{00000000-0005-0000-0000-000030B10000}"/>
    <cellStyle name="Note 4 3 2 2 4 4" xfId="27160" xr:uid="{00000000-0005-0000-0000-000031B10000}"/>
    <cellStyle name="Note 4 3 2 2 5" xfId="7354" xr:uid="{00000000-0005-0000-0000-000032B10000}"/>
    <cellStyle name="Note 4 3 2 2 5 2" xfId="18655" xr:uid="{00000000-0005-0000-0000-000033B10000}"/>
    <cellStyle name="Note 4 3 2 2 5 2 2" xfId="41257" xr:uid="{00000000-0005-0000-0000-000034B10000}"/>
    <cellStyle name="Note 4 3 2 2 5 3" xfId="29956" xr:uid="{00000000-0005-0000-0000-000035B10000}"/>
    <cellStyle name="Note 4 3 2 2 6" xfId="13005" xr:uid="{00000000-0005-0000-0000-000036B10000}"/>
    <cellStyle name="Note 4 3 2 2 6 2" xfId="35607" xr:uid="{00000000-0005-0000-0000-000037B10000}"/>
    <cellStyle name="Note 4 3 2 2 7" xfId="24306" xr:uid="{00000000-0005-0000-0000-000038B10000}"/>
    <cellStyle name="Note 4 3 2 3" xfId="1073" xr:uid="{00000000-0005-0000-0000-000039B10000}"/>
    <cellStyle name="Note 4 3 2 3 2" xfId="3136" xr:uid="{00000000-0005-0000-0000-00003AB10000}"/>
    <cellStyle name="Note 4 3 2 3 2 2" xfId="6108" xr:uid="{00000000-0005-0000-0000-00003BB10000}"/>
    <cellStyle name="Note 4 3 2 3 2 2 2" xfId="11758" xr:uid="{00000000-0005-0000-0000-00003CB10000}"/>
    <cellStyle name="Note 4 3 2 3 2 2 2 2" xfId="23059" xr:uid="{00000000-0005-0000-0000-00003DB10000}"/>
    <cellStyle name="Note 4 3 2 3 2 2 2 2 2" xfId="45661" xr:uid="{00000000-0005-0000-0000-00003EB10000}"/>
    <cellStyle name="Note 4 3 2 3 2 2 2 3" xfId="34360" xr:uid="{00000000-0005-0000-0000-00003FB10000}"/>
    <cellStyle name="Note 4 3 2 3 2 2 3" xfId="17409" xr:uid="{00000000-0005-0000-0000-000040B10000}"/>
    <cellStyle name="Note 4 3 2 3 2 2 3 2" xfId="40011" xr:uid="{00000000-0005-0000-0000-000041B10000}"/>
    <cellStyle name="Note 4 3 2 3 2 2 4" xfId="28710" xr:uid="{00000000-0005-0000-0000-000042B10000}"/>
    <cellStyle name="Note 4 3 2 3 2 3" xfId="8926" xr:uid="{00000000-0005-0000-0000-000043B10000}"/>
    <cellStyle name="Note 4 3 2 3 2 3 2" xfId="20227" xr:uid="{00000000-0005-0000-0000-000044B10000}"/>
    <cellStyle name="Note 4 3 2 3 2 3 2 2" xfId="42829" xr:uid="{00000000-0005-0000-0000-000045B10000}"/>
    <cellStyle name="Note 4 3 2 3 2 3 3" xfId="31528" xr:uid="{00000000-0005-0000-0000-000046B10000}"/>
    <cellStyle name="Note 4 3 2 3 2 4" xfId="14577" xr:uid="{00000000-0005-0000-0000-000047B10000}"/>
    <cellStyle name="Note 4 3 2 3 2 4 2" xfId="37179" xr:uid="{00000000-0005-0000-0000-000048B10000}"/>
    <cellStyle name="Note 4 3 2 3 2 5" xfId="25878" xr:uid="{00000000-0005-0000-0000-000049B10000}"/>
    <cellStyle name="Note 4 3 2 3 3" xfId="4874" xr:uid="{00000000-0005-0000-0000-00004AB10000}"/>
    <cellStyle name="Note 4 3 2 3 3 2" xfId="10524" xr:uid="{00000000-0005-0000-0000-00004BB10000}"/>
    <cellStyle name="Note 4 3 2 3 3 2 2" xfId="21825" xr:uid="{00000000-0005-0000-0000-00004CB10000}"/>
    <cellStyle name="Note 4 3 2 3 3 2 2 2" xfId="44427" xr:uid="{00000000-0005-0000-0000-00004DB10000}"/>
    <cellStyle name="Note 4 3 2 3 3 2 3" xfId="33126" xr:uid="{00000000-0005-0000-0000-00004EB10000}"/>
    <cellStyle name="Note 4 3 2 3 3 3" xfId="16175" xr:uid="{00000000-0005-0000-0000-00004FB10000}"/>
    <cellStyle name="Note 4 3 2 3 3 3 2" xfId="38777" xr:uid="{00000000-0005-0000-0000-000050B10000}"/>
    <cellStyle name="Note 4 3 2 3 3 4" xfId="27476" xr:uid="{00000000-0005-0000-0000-000051B10000}"/>
    <cellStyle name="Note 4 3 2 3 4" xfId="7061" xr:uid="{00000000-0005-0000-0000-000052B10000}"/>
    <cellStyle name="Note 4 3 2 3 4 2" xfId="18362" xr:uid="{00000000-0005-0000-0000-000053B10000}"/>
    <cellStyle name="Note 4 3 2 3 4 2 2" xfId="40964" xr:uid="{00000000-0005-0000-0000-000054B10000}"/>
    <cellStyle name="Note 4 3 2 3 4 3" xfId="29663" xr:uid="{00000000-0005-0000-0000-000055B10000}"/>
    <cellStyle name="Note 4 3 2 3 5" xfId="12712" xr:uid="{00000000-0005-0000-0000-000056B10000}"/>
    <cellStyle name="Note 4 3 2 3 5 2" xfId="35314" xr:uid="{00000000-0005-0000-0000-000057B10000}"/>
    <cellStyle name="Note 4 3 2 3 6" xfId="24013" xr:uid="{00000000-0005-0000-0000-000058B10000}"/>
    <cellStyle name="Note 4 3 2 4" xfId="2156" xr:uid="{00000000-0005-0000-0000-000059B10000}"/>
    <cellStyle name="Note 4 3 2 4 2" xfId="3886" xr:uid="{00000000-0005-0000-0000-00005AB10000}"/>
    <cellStyle name="Note 4 3 2 4 2 2" xfId="9594" xr:uid="{00000000-0005-0000-0000-00005BB10000}"/>
    <cellStyle name="Note 4 3 2 4 2 2 2" xfId="20895" xr:uid="{00000000-0005-0000-0000-00005CB10000}"/>
    <cellStyle name="Note 4 3 2 4 2 2 2 2" xfId="43497" xr:uid="{00000000-0005-0000-0000-00005DB10000}"/>
    <cellStyle name="Note 4 3 2 4 2 2 3" xfId="32196" xr:uid="{00000000-0005-0000-0000-00005EB10000}"/>
    <cellStyle name="Note 4 3 2 4 2 3" xfId="15245" xr:uid="{00000000-0005-0000-0000-00005FB10000}"/>
    <cellStyle name="Note 4 3 2 4 2 3 2" xfId="37847" xr:uid="{00000000-0005-0000-0000-000060B10000}"/>
    <cellStyle name="Note 4 3 2 4 2 4" xfId="26546" xr:uid="{00000000-0005-0000-0000-000061B10000}"/>
    <cellStyle name="Note 4 3 2 4 3" xfId="5484" xr:uid="{00000000-0005-0000-0000-000062B10000}"/>
    <cellStyle name="Note 4 3 2 4 3 2" xfId="11134" xr:uid="{00000000-0005-0000-0000-000063B10000}"/>
    <cellStyle name="Note 4 3 2 4 3 2 2" xfId="22435" xr:uid="{00000000-0005-0000-0000-000064B10000}"/>
    <cellStyle name="Note 4 3 2 4 3 2 2 2" xfId="45037" xr:uid="{00000000-0005-0000-0000-000065B10000}"/>
    <cellStyle name="Note 4 3 2 4 3 2 3" xfId="33736" xr:uid="{00000000-0005-0000-0000-000066B10000}"/>
    <cellStyle name="Note 4 3 2 4 3 3" xfId="16785" xr:uid="{00000000-0005-0000-0000-000067B10000}"/>
    <cellStyle name="Note 4 3 2 4 3 3 2" xfId="39387" xr:uid="{00000000-0005-0000-0000-000068B10000}"/>
    <cellStyle name="Note 4 3 2 4 3 4" xfId="28086" xr:uid="{00000000-0005-0000-0000-000069B10000}"/>
    <cellStyle name="Note 4 3 2 4 4" xfId="8012" xr:uid="{00000000-0005-0000-0000-00006AB10000}"/>
    <cellStyle name="Note 4 3 2 4 4 2" xfId="19313" xr:uid="{00000000-0005-0000-0000-00006BB10000}"/>
    <cellStyle name="Note 4 3 2 4 4 2 2" xfId="41915" xr:uid="{00000000-0005-0000-0000-00006CB10000}"/>
    <cellStyle name="Note 4 3 2 4 4 3" xfId="30614" xr:uid="{00000000-0005-0000-0000-00006DB10000}"/>
    <cellStyle name="Note 4 3 2 4 5" xfId="13663" xr:uid="{00000000-0005-0000-0000-00006EB10000}"/>
    <cellStyle name="Note 4 3 2 4 5 2" xfId="36265" xr:uid="{00000000-0005-0000-0000-00006FB10000}"/>
    <cellStyle name="Note 4 3 2 4 6" xfId="24964" xr:uid="{00000000-0005-0000-0000-000070B10000}"/>
    <cellStyle name="Note 4 3 2 5" xfId="2465" xr:uid="{00000000-0005-0000-0000-000071B10000}"/>
    <cellStyle name="Note 4 3 2 5 2" xfId="8301" xr:uid="{00000000-0005-0000-0000-000072B10000}"/>
    <cellStyle name="Note 4 3 2 5 2 2" xfId="19602" xr:uid="{00000000-0005-0000-0000-000073B10000}"/>
    <cellStyle name="Note 4 3 2 5 2 2 2" xfId="42204" xr:uid="{00000000-0005-0000-0000-000074B10000}"/>
    <cellStyle name="Note 4 3 2 5 2 3" xfId="30903" xr:uid="{00000000-0005-0000-0000-000075B10000}"/>
    <cellStyle name="Note 4 3 2 5 3" xfId="13952" xr:uid="{00000000-0005-0000-0000-000076B10000}"/>
    <cellStyle name="Note 4 3 2 5 3 2" xfId="36554" xr:uid="{00000000-0005-0000-0000-000077B10000}"/>
    <cellStyle name="Note 4 3 2 5 4" xfId="25253" xr:uid="{00000000-0005-0000-0000-000078B10000}"/>
    <cellStyle name="Note 4 3 2 6" xfId="4250" xr:uid="{00000000-0005-0000-0000-000079B10000}"/>
    <cellStyle name="Note 4 3 2 6 2" xfId="9900" xr:uid="{00000000-0005-0000-0000-00007AB10000}"/>
    <cellStyle name="Note 4 3 2 6 2 2" xfId="21201" xr:uid="{00000000-0005-0000-0000-00007BB10000}"/>
    <cellStyle name="Note 4 3 2 6 2 2 2" xfId="43803" xr:uid="{00000000-0005-0000-0000-00007CB10000}"/>
    <cellStyle name="Note 4 3 2 6 2 3" xfId="32502" xr:uid="{00000000-0005-0000-0000-00007DB10000}"/>
    <cellStyle name="Note 4 3 2 6 3" xfId="15551" xr:uid="{00000000-0005-0000-0000-00007EB10000}"/>
    <cellStyle name="Note 4 3 2 6 3 2" xfId="38153" xr:uid="{00000000-0005-0000-0000-00007FB10000}"/>
    <cellStyle name="Note 4 3 2 6 4" xfId="26852" xr:uid="{00000000-0005-0000-0000-000080B10000}"/>
    <cellStyle name="Note 4 3 2 7" xfId="6730" xr:uid="{00000000-0005-0000-0000-000081B10000}"/>
    <cellStyle name="Note 4 3 2 7 2" xfId="18031" xr:uid="{00000000-0005-0000-0000-000082B10000}"/>
    <cellStyle name="Note 4 3 2 7 2 2" xfId="40633" xr:uid="{00000000-0005-0000-0000-000083B10000}"/>
    <cellStyle name="Note 4 3 2 7 3" xfId="29332" xr:uid="{00000000-0005-0000-0000-000084B10000}"/>
    <cellStyle name="Note 4 3 2 8" xfId="12381" xr:uid="{00000000-0005-0000-0000-000085B10000}"/>
    <cellStyle name="Note 4 3 2 8 2" xfId="34983" xr:uid="{00000000-0005-0000-0000-000086B10000}"/>
    <cellStyle name="Note 4 3 2 9" xfId="23682" xr:uid="{00000000-0005-0000-0000-000087B10000}"/>
    <cellStyle name="Note 4 3 3" xfId="1237" xr:uid="{00000000-0005-0000-0000-000088B10000}"/>
    <cellStyle name="Note 4 3 3 2" xfId="2158" xr:uid="{00000000-0005-0000-0000-000089B10000}"/>
    <cellStyle name="Note 4 3 3 2 2" xfId="3305" xr:uid="{00000000-0005-0000-0000-00008AB10000}"/>
    <cellStyle name="Note 4 3 3 2 2 2" xfId="6277" xr:uid="{00000000-0005-0000-0000-00008BB10000}"/>
    <cellStyle name="Note 4 3 3 2 2 2 2" xfId="11927" xr:uid="{00000000-0005-0000-0000-00008CB10000}"/>
    <cellStyle name="Note 4 3 3 2 2 2 2 2" xfId="23228" xr:uid="{00000000-0005-0000-0000-00008DB10000}"/>
    <cellStyle name="Note 4 3 3 2 2 2 2 2 2" xfId="45830" xr:uid="{00000000-0005-0000-0000-00008EB10000}"/>
    <cellStyle name="Note 4 3 3 2 2 2 2 3" xfId="34529" xr:uid="{00000000-0005-0000-0000-00008FB10000}"/>
    <cellStyle name="Note 4 3 3 2 2 2 3" xfId="17578" xr:uid="{00000000-0005-0000-0000-000090B10000}"/>
    <cellStyle name="Note 4 3 3 2 2 2 3 2" xfId="40180" xr:uid="{00000000-0005-0000-0000-000091B10000}"/>
    <cellStyle name="Note 4 3 3 2 2 2 4" xfId="28879" xr:uid="{00000000-0005-0000-0000-000092B10000}"/>
    <cellStyle name="Note 4 3 3 2 2 3" xfId="9095" xr:uid="{00000000-0005-0000-0000-000093B10000}"/>
    <cellStyle name="Note 4 3 3 2 2 3 2" xfId="20396" xr:uid="{00000000-0005-0000-0000-000094B10000}"/>
    <cellStyle name="Note 4 3 3 2 2 3 2 2" xfId="42998" xr:uid="{00000000-0005-0000-0000-000095B10000}"/>
    <cellStyle name="Note 4 3 3 2 2 3 3" xfId="31697" xr:uid="{00000000-0005-0000-0000-000096B10000}"/>
    <cellStyle name="Note 4 3 3 2 2 4" xfId="14746" xr:uid="{00000000-0005-0000-0000-000097B10000}"/>
    <cellStyle name="Note 4 3 3 2 2 4 2" xfId="37348" xr:uid="{00000000-0005-0000-0000-000098B10000}"/>
    <cellStyle name="Note 4 3 3 2 2 5" xfId="26047" xr:uid="{00000000-0005-0000-0000-000099B10000}"/>
    <cellStyle name="Note 4 3 3 2 3" xfId="5043" xr:uid="{00000000-0005-0000-0000-00009AB10000}"/>
    <cellStyle name="Note 4 3 3 2 3 2" xfId="10693" xr:uid="{00000000-0005-0000-0000-00009BB10000}"/>
    <cellStyle name="Note 4 3 3 2 3 2 2" xfId="21994" xr:uid="{00000000-0005-0000-0000-00009CB10000}"/>
    <cellStyle name="Note 4 3 3 2 3 2 2 2" xfId="44596" xr:uid="{00000000-0005-0000-0000-00009DB10000}"/>
    <cellStyle name="Note 4 3 3 2 3 2 3" xfId="33295" xr:uid="{00000000-0005-0000-0000-00009EB10000}"/>
    <cellStyle name="Note 4 3 3 2 3 3" xfId="16344" xr:uid="{00000000-0005-0000-0000-00009FB10000}"/>
    <cellStyle name="Note 4 3 3 2 3 3 2" xfId="38946" xr:uid="{00000000-0005-0000-0000-0000A0B10000}"/>
    <cellStyle name="Note 4 3 3 2 3 4" xfId="27645" xr:uid="{00000000-0005-0000-0000-0000A1B10000}"/>
    <cellStyle name="Note 4 3 3 2 4" xfId="8014" xr:uid="{00000000-0005-0000-0000-0000A2B10000}"/>
    <cellStyle name="Note 4 3 3 2 4 2" xfId="19315" xr:uid="{00000000-0005-0000-0000-0000A3B10000}"/>
    <cellStyle name="Note 4 3 3 2 4 2 2" xfId="41917" xr:uid="{00000000-0005-0000-0000-0000A4B10000}"/>
    <cellStyle name="Note 4 3 3 2 4 3" xfId="30616" xr:uid="{00000000-0005-0000-0000-0000A5B10000}"/>
    <cellStyle name="Note 4 3 3 2 5" xfId="13665" xr:uid="{00000000-0005-0000-0000-0000A6B10000}"/>
    <cellStyle name="Note 4 3 3 2 5 2" xfId="36267" xr:uid="{00000000-0005-0000-0000-0000A7B10000}"/>
    <cellStyle name="Note 4 3 3 2 6" xfId="24966" xr:uid="{00000000-0005-0000-0000-0000A8B10000}"/>
    <cellStyle name="Note 4 3 3 3" xfId="2634" xr:uid="{00000000-0005-0000-0000-0000A9B10000}"/>
    <cellStyle name="Note 4 3 3 3 2" xfId="5653" xr:uid="{00000000-0005-0000-0000-0000AAB10000}"/>
    <cellStyle name="Note 4 3 3 3 2 2" xfId="11303" xr:uid="{00000000-0005-0000-0000-0000ABB10000}"/>
    <cellStyle name="Note 4 3 3 3 2 2 2" xfId="22604" xr:uid="{00000000-0005-0000-0000-0000ACB10000}"/>
    <cellStyle name="Note 4 3 3 3 2 2 2 2" xfId="45206" xr:uid="{00000000-0005-0000-0000-0000ADB10000}"/>
    <cellStyle name="Note 4 3 3 3 2 2 3" xfId="33905" xr:uid="{00000000-0005-0000-0000-0000AEB10000}"/>
    <cellStyle name="Note 4 3 3 3 2 3" xfId="16954" xr:uid="{00000000-0005-0000-0000-0000AFB10000}"/>
    <cellStyle name="Note 4 3 3 3 2 3 2" xfId="39556" xr:uid="{00000000-0005-0000-0000-0000B0B10000}"/>
    <cellStyle name="Note 4 3 3 3 2 4" xfId="28255" xr:uid="{00000000-0005-0000-0000-0000B1B10000}"/>
    <cellStyle name="Note 4 3 3 3 3" xfId="8470" xr:uid="{00000000-0005-0000-0000-0000B2B10000}"/>
    <cellStyle name="Note 4 3 3 3 3 2" xfId="19771" xr:uid="{00000000-0005-0000-0000-0000B3B10000}"/>
    <cellStyle name="Note 4 3 3 3 3 2 2" xfId="42373" xr:uid="{00000000-0005-0000-0000-0000B4B10000}"/>
    <cellStyle name="Note 4 3 3 3 3 3" xfId="31072" xr:uid="{00000000-0005-0000-0000-0000B5B10000}"/>
    <cellStyle name="Note 4 3 3 3 4" xfId="14121" xr:uid="{00000000-0005-0000-0000-0000B6B10000}"/>
    <cellStyle name="Note 4 3 3 3 4 2" xfId="36723" xr:uid="{00000000-0005-0000-0000-0000B7B10000}"/>
    <cellStyle name="Note 4 3 3 3 5" xfId="25422" xr:uid="{00000000-0005-0000-0000-0000B8B10000}"/>
    <cellStyle name="Note 4 3 3 4" xfId="4419" xr:uid="{00000000-0005-0000-0000-0000B9B10000}"/>
    <cellStyle name="Note 4 3 3 4 2" xfId="10069" xr:uid="{00000000-0005-0000-0000-0000BAB10000}"/>
    <cellStyle name="Note 4 3 3 4 2 2" xfId="21370" xr:uid="{00000000-0005-0000-0000-0000BBB10000}"/>
    <cellStyle name="Note 4 3 3 4 2 2 2" xfId="43972" xr:uid="{00000000-0005-0000-0000-0000BCB10000}"/>
    <cellStyle name="Note 4 3 3 4 2 3" xfId="32671" xr:uid="{00000000-0005-0000-0000-0000BDB10000}"/>
    <cellStyle name="Note 4 3 3 4 3" xfId="15720" xr:uid="{00000000-0005-0000-0000-0000BEB10000}"/>
    <cellStyle name="Note 4 3 3 4 3 2" xfId="38322" xr:uid="{00000000-0005-0000-0000-0000BFB10000}"/>
    <cellStyle name="Note 4 3 3 4 4" xfId="27021" xr:uid="{00000000-0005-0000-0000-0000C0B10000}"/>
    <cellStyle name="Note 4 3 3 5" xfId="7216" xr:uid="{00000000-0005-0000-0000-0000C1B10000}"/>
    <cellStyle name="Note 4 3 3 5 2" xfId="18517" xr:uid="{00000000-0005-0000-0000-0000C2B10000}"/>
    <cellStyle name="Note 4 3 3 5 2 2" xfId="41119" xr:uid="{00000000-0005-0000-0000-0000C3B10000}"/>
    <cellStyle name="Note 4 3 3 5 3" xfId="29818" xr:uid="{00000000-0005-0000-0000-0000C4B10000}"/>
    <cellStyle name="Note 4 3 3 6" xfId="12867" xr:uid="{00000000-0005-0000-0000-0000C5B10000}"/>
    <cellStyle name="Note 4 3 3 6 2" xfId="35469" xr:uid="{00000000-0005-0000-0000-0000C6B10000}"/>
    <cellStyle name="Note 4 3 3 7" xfId="24168" xr:uid="{00000000-0005-0000-0000-0000C7B10000}"/>
    <cellStyle name="Note 4 3 4" xfId="928" xr:uid="{00000000-0005-0000-0000-0000C8B10000}"/>
    <cellStyle name="Note 4 3 4 2" xfId="2998" xr:uid="{00000000-0005-0000-0000-0000C9B10000}"/>
    <cellStyle name="Note 4 3 4 2 2" xfId="5970" xr:uid="{00000000-0005-0000-0000-0000CAB10000}"/>
    <cellStyle name="Note 4 3 4 2 2 2" xfId="11620" xr:uid="{00000000-0005-0000-0000-0000CBB10000}"/>
    <cellStyle name="Note 4 3 4 2 2 2 2" xfId="22921" xr:uid="{00000000-0005-0000-0000-0000CCB10000}"/>
    <cellStyle name="Note 4 3 4 2 2 2 2 2" xfId="45523" xr:uid="{00000000-0005-0000-0000-0000CDB10000}"/>
    <cellStyle name="Note 4 3 4 2 2 2 3" xfId="34222" xr:uid="{00000000-0005-0000-0000-0000CEB10000}"/>
    <cellStyle name="Note 4 3 4 2 2 3" xfId="17271" xr:uid="{00000000-0005-0000-0000-0000CFB10000}"/>
    <cellStyle name="Note 4 3 4 2 2 3 2" xfId="39873" xr:uid="{00000000-0005-0000-0000-0000D0B10000}"/>
    <cellStyle name="Note 4 3 4 2 2 4" xfId="28572" xr:uid="{00000000-0005-0000-0000-0000D1B10000}"/>
    <cellStyle name="Note 4 3 4 2 3" xfId="8788" xr:uid="{00000000-0005-0000-0000-0000D2B10000}"/>
    <cellStyle name="Note 4 3 4 2 3 2" xfId="20089" xr:uid="{00000000-0005-0000-0000-0000D3B10000}"/>
    <cellStyle name="Note 4 3 4 2 3 2 2" xfId="42691" xr:uid="{00000000-0005-0000-0000-0000D4B10000}"/>
    <cellStyle name="Note 4 3 4 2 3 3" xfId="31390" xr:uid="{00000000-0005-0000-0000-0000D5B10000}"/>
    <cellStyle name="Note 4 3 4 2 4" xfId="14439" xr:uid="{00000000-0005-0000-0000-0000D6B10000}"/>
    <cellStyle name="Note 4 3 4 2 4 2" xfId="37041" xr:uid="{00000000-0005-0000-0000-0000D7B10000}"/>
    <cellStyle name="Note 4 3 4 2 5" xfId="25740" xr:uid="{00000000-0005-0000-0000-0000D8B10000}"/>
    <cellStyle name="Note 4 3 4 3" xfId="4736" xr:uid="{00000000-0005-0000-0000-0000D9B10000}"/>
    <cellStyle name="Note 4 3 4 3 2" xfId="10386" xr:uid="{00000000-0005-0000-0000-0000DAB10000}"/>
    <cellStyle name="Note 4 3 4 3 2 2" xfId="21687" xr:uid="{00000000-0005-0000-0000-0000DBB10000}"/>
    <cellStyle name="Note 4 3 4 3 2 2 2" xfId="44289" xr:uid="{00000000-0005-0000-0000-0000DCB10000}"/>
    <cellStyle name="Note 4 3 4 3 2 3" xfId="32988" xr:uid="{00000000-0005-0000-0000-0000DDB10000}"/>
    <cellStyle name="Note 4 3 4 3 3" xfId="16037" xr:uid="{00000000-0005-0000-0000-0000DEB10000}"/>
    <cellStyle name="Note 4 3 4 3 3 2" xfId="38639" xr:uid="{00000000-0005-0000-0000-0000DFB10000}"/>
    <cellStyle name="Note 4 3 4 3 4" xfId="27338" xr:uid="{00000000-0005-0000-0000-0000E0B10000}"/>
    <cellStyle name="Note 4 3 4 4" xfId="6923" xr:uid="{00000000-0005-0000-0000-0000E1B10000}"/>
    <cellStyle name="Note 4 3 4 4 2" xfId="18224" xr:uid="{00000000-0005-0000-0000-0000E2B10000}"/>
    <cellStyle name="Note 4 3 4 4 2 2" xfId="40826" xr:uid="{00000000-0005-0000-0000-0000E3B10000}"/>
    <cellStyle name="Note 4 3 4 4 3" xfId="29525" xr:uid="{00000000-0005-0000-0000-0000E4B10000}"/>
    <cellStyle name="Note 4 3 4 5" xfId="12574" xr:uid="{00000000-0005-0000-0000-0000E5B10000}"/>
    <cellStyle name="Note 4 3 4 5 2" xfId="35176" xr:uid="{00000000-0005-0000-0000-0000E6B10000}"/>
    <cellStyle name="Note 4 3 4 6" xfId="23875" xr:uid="{00000000-0005-0000-0000-0000E7B10000}"/>
    <cellStyle name="Note 4 3 5" xfId="2155" xr:uid="{00000000-0005-0000-0000-0000E8B10000}"/>
    <cellStyle name="Note 4 3 5 2" xfId="3885" xr:uid="{00000000-0005-0000-0000-0000E9B10000}"/>
    <cellStyle name="Note 4 3 5 2 2" xfId="9593" xr:uid="{00000000-0005-0000-0000-0000EAB10000}"/>
    <cellStyle name="Note 4 3 5 2 2 2" xfId="20894" xr:uid="{00000000-0005-0000-0000-0000EBB10000}"/>
    <cellStyle name="Note 4 3 5 2 2 2 2" xfId="43496" xr:uid="{00000000-0005-0000-0000-0000ECB10000}"/>
    <cellStyle name="Note 4 3 5 2 2 3" xfId="32195" xr:uid="{00000000-0005-0000-0000-0000EDB10000}"/>
    <cellStyle name="Note 4 3 5 2 3" xfId="15244" xr:uid="{00000000-0005-0000-0000-0000EEB10000}"/>
    <cellStyle name="Note 4 3 5 2 3 2" xfId="37846" xr:uid="{00000000-0005-0000-0000-0000EFB10000}"/>
    <cellStyle name="Note 4 3 5 2 4" xfId="26545" xr:uid="{00000000-0005-0000-0000-0000F0B10000}"/>
    <cellStyle name="Note 4 3 5 3" xfId="5346" xr:uid="{00000000-0005-0000-0000-0000F1B10000}"/>
    <cellStyle name="Note 4 3 5 3 2" xfId="10996" xr:uid="{00000000-0005-0000-0000-0000F2B10000}"/>
    <cellStyle name="Note 4 3 5 3 2 2" xfId="22297" xr:uid="{00000000-0005-0000-0000-0000F3B10000}"/>
    <cellStyle name="Note 4 3 5 3 2 2 2" xfId="44899" xr:uid="{00000000-0005-0000-0000-0000F4B10000}"/>
    <cellStyle name="Note 4 3 5 3 2 3" xfId="33598" xr:uid="{00000000-0005-0000-0000-0000F5B10000}"/>
    <cellStyle name="Note 4 3 5 3 3" xfId="16647" xr:uid="{00000000-0005-0000-0000-0000F6B10000}"/>
    <cellStyle name="Note 4 3 5 3 3 2" xfId="39249" xr:uid="{00000000-0005-0000-0000-0000F7B10000}"/>
    <cellStyle name="Note 4 3 5 3 4" xfId="27948" xr:uid="{00000000-0005-0000-0000-0000F8B10000}"/>
    <cellStyle name="Note 4 3 5 4" xfId="8011" xr:uid="{00000000-0005-0000-0000-0000F9B10000}"/>
    <cellStyle name="Note 4 3 5 4 2" xfId="19312" xr:uid="{00000000-0005-0000-0000-0000FAB10000}"/>
    <cellStyle name="Note 4 3 5 4 2 2" xfId="41914" xr:uid="{00000000-0005-0000-0000-0000FBB10000}"/>
    <cellStyle name="Note 4 3 5 4 3" xfId="30613" xr:uid="{00000000-0005-0000-0000-0000FCB10000}"/>
    <cellStyle name="Note 4 3 5 5" xfId="13662" xr:uid="{00000000-0005-0000-0000-0000FDB10000}"/>
    <cellStyle name="Note 4 3 5 5 2" xfId="36264" xr:uid="{00000000-0005-0000-0000-0000FEB10000}"/>
    <cellStyle name="Note 4 3 5 6" xfId="24963" xr:uid="{00000000-0005-0000-0000-0000FFB10000}"/>
    <cellStyle name="Note 4 3 6" xfId="2325" xr:uid="{00000000-0005-0000-0000-000000B20000}"/>
    <cellStyle name="Note 4 3 6 2" xfId="8161" xr:uid="{00000000-0005-0000-0000-000001B20000}"/>
    <cellStyle name="Note 4 3 6 2 2" xfId="19462" xr:uid="{00000000-0005-0000-0000-000002B20000}"/>
    <cellStyle name="Note 4 3 6 2 2 2" xfId="42064" xr:uid="{00000000-0005-0000-0000-000003B20000}"/>
    <cellStyle name="Note 4 3 6 2 3" xfId="30763" xr:uid="{00000000-0005-0000-0000-000004B20000}"/>
    <cellStyle name="Note 4 3 6 3" xfId="13812" xr:uid="{00000000-0005-0000-0000-000005B20000}"/>
    <cellStyle name="Note 4 3 6 3 2" xfId="36414" xr:uid="{00000000-0005-0000-0000-000006B20000}"/>
    <cellStyle name="Note 4 3 6 4" xfId="25113" xr:uid="{00000000-0005-0000-0000-000007B20000}"/>
    <cellStyle name="Note 4 3 7" xfId="4112" xr:uid="{00000000-0005-0000-0000-000008B20000}"/>
    <cellStyle name="Note 4 3 7 2" xfId="9762" xr:uid="{00000000-0005-0000-0000-000009B20000}"/>
    <cellStyle name="Note 4 3 7 2 2" xfId="21063" xr:uid="{00000000-0005-0000-0000-00000AB20000}"/>
    <cellStyle name="Note 4 3 7 2 2 2" xfId="43665" xr:uid="{00000000-0005-0000-0000-00000BB20000}"/>
    <cellStyle name="Note 4 3 7 2 3" xfId="32364" xr:uid="{00000000-0005-0000-0000-00000CB20000}"/>
    <cellStyle name="Note 4 3 7 3" xfId="15413" xr:uid="{00000000-0005-0000-0000-00000DB20000}"/>
    <cellStyle name="Note 4 3 7 3 2" xfId="38015" xr:uid="{00000000-0005-0000-0000-00000EB20000}"/>
    <cellStyle name="Note 4 3 7 4" xfId="26714" xr:uid="{00000000-0005-0000-0000-00000FB20000}"/>
    <cellStyle name="Note 4 3 8" xfId="6563" xr:uid="{00000000-0005-0000-0000-000010B20000}"/>
    <cellStyle name="Note 4 3 8 2" xfId="17864" xr:uid="{00000000-0005-0000-0000-000011B20000}"/>
    <cellStyle name="Note 4 3 8 2 2" xfId="40466" xr:uid="{00000000-0005-0000-0000-000012B20000}"/>
    <cellStyle name="Note 4 3 8 3" xfId="29165" xr:uid="{00000000-0005-0000-0000-000013B20000}"/>
    <cellStyle name="Note 4 3 9" xfId="12214" xr:uid="{00000000-0005-0000-0000-000014B20000}"/>
    <cellStyle name="Note 4 3 9 2" xfId="34816" xr:uid="{00000000-0005-0000-0000-000015B20000}"/>
    <cellStyle name="Note 4 4" xfId="567" xr:uid="{00000000-0005-0000-0000-000016B20000}"/>
    <cellStyle name="Note 4 4 2" xfId="1293" xr:uid="{00000000-0005-0000-0000-000017B20000}"/>
    <cellStyle name="Note 4 4 2 2" xfId="2160" xr:uid="{00000000-0005-0000-0000-000018B20000}"/>
    <cellStyle name="Note 4 4 2 2 2" xfId="3362" xr:uid="{00000000-0005-0000-0000-000019B20000}"/>
    <cellStyle name="Note 4 4 2 2 2 2" xfId="6334" xr:uid="{00000000-0005-0000-0000-00001AB20000}"/>
    <cellStyle name="Note 4 4 2 2 2 2 2" xfId="11984" xr:uid="{00000000-0005-0000-0000-00001BB20000}"/>
    <cellStyle name="Note 4 4 2 2 2 2 2 2" xfId="23285" xr:uid="{00000000-0005-0000-0000-00001CB20000}"/>
    <cellStyle name="Note 4 4 2 2 2 2 2 2 2" xfId="45887" xr:uid="{00000000-0005-0000-0000-00001DB20000}"/>
    <cellStyle name="Note 4 4 2 2 2 2 2 3" xfId="34586" xr:uid="{00000000-0005-0000-0000-00001EB20000}"/>
    <cellStyle name="Note 4 4 2 2 2 2 3" xfId="17635" xr:uid="{00000000-0005-0000-0000-00001FB20000}"/>
    <cellStyle name="Note 4 4 2 2 2 2 3 2" xfId="40237" xr:uid="{00000000-0005-0000-0000-000020B20000}"/>
    <cellStyle name="Note 4 4 2 2 2 2 4" xfId="28936" xr:uid="{00000000-0005-0000-0000-000021B20000}"/>
    <cellStyle name="Note 4 4 2 2 2 3" xfId="9152" xr:uid="{00000000-0005-0000-0000-000022B20000}"/>
    <cellStyle name="Note 4 4 2 2 2 3 2" xfId="20453" xr:uid="{00000000-0005-0000-0000-000023B20000}"/>
    <cellStyle name="Note 4 4 2 2 2 3 2 2" xfId="43055" xr:uid="{00000000-0005-0000-0000-000024B20000}"/>
    <cellStyle name="Note 4 4 2 2 2 3 3" xfId="31754" xr:uid="{00000000-0005-0000-0000-000025B20000}"/>
    <cellStyle name="Note 4 4 2 2 2 4" xfId="14803" xr:uid="{00000000-0005-0000-0000-000026B20000}"/>
    <cellStyle name="Note 4 4 2 2 2 4 2" xfId="37405" xr:uid="{00000000-0005-0000-0000-000027B20000}"/>
    <cellStyle name="Note 4 4 2 2 2 5" xfId="26104" xr:uid="{00000000-0005-0000-0000-000028B20000}"/>
    <cellStyle name="Note 4 4 2 2 3" xfId="5100" xr:uid="{00000000-0005-0000-0000-000029B20000}"/>
    <cellStyle name="Note 4 4 2 2 3 2" xfId="10750" xr:uid="{00000000-0005-0000-0000-00002AB20000}"/>
    <cellStyle name="Note 4 4 2 2 3 2 2" xfId="22051" xr:uid="{00000000-0005-0000-0000-00002BB20000}"/>
    <cellStyle name="Note 4 4 2 2 3 2 2 2" xfId="44653" xr:uid="{00000000-0005-0000-0000-00002CB20000}"/>
    <cellStyle name="Note 4 4 2 2 3 2 3" xfId="33352" xr:uid="{00000000-0005-0000-0000-00002DB20000}"/>
    <cellStyle name="Note 4 4 2 2 3 3" xfId="16401" xr:uid="{00000000-0005-0000-0000-00002EB20000}"/>
    <cellStyle name="Note 4 4 2 2 3 3 2" xfId="39003" xr:uid="{00000000-0005-0000-0000-00002FB20000}"/>
    <cellStyle name="Note 4 4 2 2 3 4" xfId="27702" xr:uid="{00000000-0005-0000-0000-000030B20000}"/>
    <cellStyle name="Note 4 4 2 2 4" xfId="8016" xr:uid="{00000000-0005-0000-0000-000031B20000}"/>
    <cellStyle name="Note 4 4 2 2 4 2" xfId="19317" xr:uid="{00000000-0005-0000-0000-000032B20000}"/>
    <cellStyle name="Note 4 4 2 2 4 2 2" xfId="41919" xr:uid="{00000000-0005-0000-0000-000033B20000}"/>
    <cellStyle name="Note 4 4 2 2 4 3" xfId="30618" xr:uid="{00000000-0005-0000-0000-000034B20000}"/>
    <cellStyle name="Note 4 4 2 2 5" xfId="13667" xr:uid="{00000000-0005-0000-0000-000035B20000}"/>
    <cellStyle name="Note 4 4 2 2 5 2" xfId="36269" xr:uid="{00000000-0005-0000-0000-000036B20000}"/>
    <cellStyle name="Note 4 4 2 2 6" xfId="24968" xr:uid="{00000000-0005-0000-0000-000037B20000}"/>
    <cellStyle name="Note 4 4 2 3" xfId="2691" xr:uid="{00000000-0005-0000-0000-000038B20000}"/>
    <cellStyle name="Note 4 4 2 3 2" xfId="5710" xr:uid="{00000000-0005-0000-0000-000039B20000}"/>
    <cellStyle name="Note 4 4 2 3 2 2" xfId="11360" xr:uid="{00000000-0005-0000-0000-00003AB20000}"/>
    <cellStyle name="Note 4 4 2 3 2 2 2" xfId="22661" xr:uid="{00000000-0005-0000-0000-00003BB20000}"/>
    <cellStyle name="Note 4 4 2 3 2 2 2 2" xfId="45263" xr:uid="{00000000-0005-0000-0000-00003CB20000}"/>
    <cellStyle name="Note 4 4 2 3 2 2 3" xfId="33962" xr:uid="{00000000-0005-0000-0000-00003DB20000}"/>
    <cellStyle name="Note 4 4 2 3 2 3" xfId="17011" xr:uid="{00000000-0005-0000-0000-00003EB20000}"/>
    <cellStyle name="Note 4 4 2 3 2 3 2" xfId="39613" xr:uid="{00000000-0005-0000-0000-00003FB20000}"/>
    <cellStyle name="Note 4 4 2 3 2 4" xfId="28312" xr:uid="{00000000-0005-0000-0000-000040B20000}"/>
    <cellStyle name="Note 4 4 2 3 3" xfId="8527" xr:uid="{00000000-0005-0000-0000-000041B20000}"/>
    <cellStyle name="Note 4 4 2 3 3 2" xfId="19828" xr:uid="{00000000-0005-0000-0000-000042B20000}"/>
    <cellStyle name="Note 4 4 2 3 3 2 2" xfId="42430" xr:uid="{00000000-0005-0000-0000-000043B20000}"/>
    <cellStyle name="Note 4 4 2 3 3 3" xfId="31129" xr:uid="{00000000-0005-0000-0000-000044B20000}"/>
    <cellStyle name="Note 4 4 2 3 4" xfId="14178" xr:uid="{00000000-0005-0000-0000-000045B20000}"/>
    <cellStyle name="Note 4 4 2 3 4 2" xfId="36780" xr:uid="{00000000-0005-0000-0000-000046B20000}"/>
    <cellStyle name="Note 4 4 2 3 5" xfId="25479" xr:uid="{00000000-0005-0000-0000-000047B20000}"/>
    <cellStyle name="Note 4 4 2 4" xfId="4476" xr:uid="{00000000-0005-0000-0000-000048B20000}"/>
    <cellStyle name="Note 4 4 2 4 2" xfId="10126" xr:uid="{00000000-0005-0000-0000-000049B20000}"/>
    <cellStyle name="Note 4 4 2 4 2 2" xfId="21427" xr:uid="{00000000-0005-0000-0000-00004AB20000}"/>
    <cellStyle name="Note 4 4 2 4 2 2 2" xfId="44029" xr:uid="{00000000-0005-0000-0000-00004BB20000}"/>
    <cellStyle name="Note 4 4 2 4 2 3" xfId="32728" xr:uid="{00000000-0005-0000-0000-00004CB20000}"/>
    <cellStyle name="Note 4 4 2 4 3" xfId="15777" xr:uid="{00000000-0005-0000-0000-00004DB20000}"/>
    <cellStyle name="Note 4 4 2 4 3 2" xfId="38379" xr:uid="{00000000-0005-0000-0000-00004EB20000}"/>
    <cellStyle name="Note 4 4 2 4 4" xfId="27078" xr:uid="{00000000-0005-0000-0000-00004FB20000}"/>
    <cellStyle name="Note 4 4 2 5" xfId="7272" xr:uid="{00000000-0005-0000-0000-000050B20000}"/>
    <cellStyle name="Note 4 4 2 5 2" xfId="18573" xr:uid="{00000000-0005-0000-0000-000051B20000}"/>
    <cellStyle name="Note 4 4 2 5 2 2" xfId="41175" xr:uid="{00000000-0005-0000-0000-000052B20000}"/>
    <cellStyle name="Note 4 4 2 5 3" xfId="29874" xr:uid="{00000000-0005-0000-0000-000053B20000}"/>
    <cellStyle name="Note 4 4 2 6" xfId="12923" xr:uid="{00000000-0005-0000-0000-000054B20000}"/>
    <cellStyle name="Note 4 4 2 6 2" xfId="35525" xr:uid="{00000000-0005-0000-0000-000055B20000}"/>
    <cellStyle name="Note 4 4 2 7" xfId="24224" xr:uid="{00000000-0005-0000-0000-000056B20000}"/>
    <cellStyle name="Note 4 4 3" xfId="991" xr:uid="{00000000-0005-0000-0000-000057B20000}"/>
    <cellStyle name="Note 4 4 3 2" xfId="3054" xr:uid="{00000000-0005-0000-0000-000058B20000}"/>
    <cellStyle name="Note 4 4 3 2 2" xfId="6026" xr:uid="{00000000-0005-0000-0000-000059B20000}"/>
    <cellStyle name="Note 4 4 3 2 2 2" xfId="11676" xr:uid="{00000000-0005-0000-0000-00005AB20000}"/>
    <cellStyle name="Note 4 4 3 2 2 2 2" xfId="22977" xr:uid="{00000000-0005-0000-0000-00005BB20000}"/>
    <cellStyle name="Note 4 4 3 2 2 2 2 2" xfId="45579" xr:uid="{00000000-0005-0000-0000-00005CB20000}"/>
    <cellStyle name="Note 4 4 3 2 2 2 3" xfId="34278" xr:uid="{00000000-0005-0000-0000-00005DB20000}"/>
    <cellStyle name="Note 4 4 3 2 2 3" xfId="17327" xr:uid="{00000000-0005-0000-0000-00005EB20000}"/>
    <cellStyle name="Note 4 4 3 2 2 3 2" xfId="39929" xr:uid="{00000000-0005-0000-0000-00005FB20000}"/>
    <cellStyle name="Note 4 4 3 2 2 4" xfId="28628" xr:uid="{00000000-0005-0000-0000-000060B20000}"/>
    <cellStyle name="Note 4 4 3 2 3" xfId="8844" xr:uid="{00000000-0005-0000-0000-000061B20000}"/>
    <cellStyle name="Note 4 4 3 2 3 2" xfId="20145" xr:uid="{00000000-0005-0000-0000-000062B20000}"/>
    <cellStyle name="Note 4 4 3 2 3 2 2" xfId="42747" xr:uid="{00000000-0005-0000-0000-000063B20000}"/>
    <cellStyle name="Note 4 4 3 2 3 3" xfId="31446" xr:uid="{00000000-0005-0000-0000-000064B20000}"/>
    <cellStyle name="Note 4 4 3 2 4" xfId="14495" xr:uid="{00000000-0005-0000-0000-000065B20000}"/>
    <cellStyle name="Note 4 4 3 2 4 2" xfId="37097" xr:uid="{00000000-0005-0000-0000-000066B20000}"/>
    <cellStyle name="Note 4 4 3 2 5" xfId="25796" xr:uid="{00000000-0005-0000-0000-000067B20000}"/>
    <cellStyle name="Note 4 4 3 3" xfId="4792" xr:uid="{00000000-0005-0000-0000-000068B20000}"/>
    <cellStyle name="Note 4 4 3 3 2" xfId="10442" xr:uid="{00000000-0005-0000-0000-000069B20000}"/>
    <cellStyle name="Note 4 4 3 3 2 2" xfId="21743" xr:uid="{00000000-0005-0000-0000-00006AB20000}"/>
    <cellStyle name="Note 4 4 3 3 2 2 2" xfId="44345" xr:uid="{00000000-0005-0000-0000-00006BB20000}"/>
    <cellStyle name="Note 4 4 3 3 2 3" xfId="33044" xr:uid="{00000000-0005-0000-0000-00006CB20000}"/>
    <cellStyle name="Note 4 4 3 3 3" xfId="16093" xr:uid="{00000000-0005-0000-0000-00006DB20000}"/>
    <cellStyle name="Note 4 4 3 3 3 2" xfId="38695" xr:uid="{00000000-0005-0000-0000-00006EB20000}"/>
    <cellStyle name="Note 4 4 3 3 4" xfId="27394" xr:uid="{00000000-0005-0000-0000-00006FB20000}"/>
    <cellStyle name="Note 4 4 3 4" xfId="6979" xr:uid="{00000000-0005-0000-0000-000070B20000}"/>
    <cellStyle name="Note 4 4 3 4 2" xfId="18280" xr:uid="{00000000-0005-0000-0000-000071B20000}"/>
    <cellStyle name="Note 4 4 3 4 2 2" xfId="40882" xr:uid="{00000000-0005-0000-0000-000072B20000}"/>
    <cellStyle name="Note 4 4 3 4 3" xfId="29581" xr:uid="{00000000-0005-0000-0000-000073B20000}"/>
    <cellStyle name="Note 4 4 3 5" xfId="12630" xr:uid="{00000000-0005-0000-0000-000074B20000}"/>
    <cellStyle name="Note 4 4 3 5 2" xfId="35232" xr:uid="{00000000-0005-0000-0000-000075B20000}"/>
    <cellStyle name="Note 4 4 3 6" xfId="23931" xr:uid="{00000000-0005-0000-0000-000076B20000}"/>
    <cellStyle name="Note 4 4 4" xfId="2159" xr:uid="{00000000-0005-0000-0000-000077B20000}"/>
    <cellStyle name="Note 4 4 4 2" xfId="3887" xr:uid="{00000000-0005-0000-0000-000078B20000}"/>
    <cellStyle name="Note 4 4 4 2 2" xfId="9595" xr:uid="{00000000-0005-0000-0000-000079B20000}"/>
    <cellStyle name="Note 4 4 4 2 2 2" xfId="20896" xr:uid="{00000000-0005-0000-0000-00007AB20000}"/>
    <cellStyle name="Note 4 4 4 2 2 2 2" xfId="43498" xr:uid="{00000000-0005-0000-0000-00007BB20000}"/>
    <cellStyle name="Note 4 4 4 2 2 3" xfId="32197" xr:uid="{00000000-0005-0000-0000-00007CB20000}"/>
    <cellStyle name="Note 4 4 4 2 3" xfId="15246" xr:uid="{00000000-0005-0000-0000-00007DB20000}"/>
    <cellStyle name="Note 4 4 4 2 3 2" xfId="37848" xr:uid="{00000000-0005-0000-0000-00007EB20000}"/>
    <cellStyle name="Note 4 4 4 2 4" xfId="26547" xr:uid="{00000000-0005-0000-0000-00007FB20000}"/>
    <cellStyle name="Note 4 4 4 3" xfId="5402" xr:uid="{00000000-0005-0000-0000-000080B20000}"/>
    <cellStyle name="Note 4 4 4 3 2" xfId="11052" xr:uid="{00000000-0005-0000-0000-000081B20000}"/>
    <cellStyle name="Note 4 4 4 3 2 2" xfId="22353" xr:uid="{00000000-0005-0000-0000-000082B20000}"/>
    <cellStyle name="Note 4 4 4 3 2 2 2" xfId="44955" xr:uid="{00000000-0005-0000-0000-000083B20000}"/>
    <cellStyle name="Note 4 4 4 3 2 3" xfId="33654" xr:uid="{00000000-0005-0000-0000-000084B20000}"/>
    <cellStyle name="Note 4 4 4 3 3" xfId="16703" xr:uid="{00000000-0005-0000-0000-000085B20000}"/>
    <cellStyle name="Note 4 4 4 3 3 2" xfId="39305" xr:uid="{00000000-0005-0000-0000-000086B20000}"/>
    <cellStyle name="Note 4 4 4 3 4" xfId="28004" xr:uid="{00000000-0005-0000-0000-000087B20000}"/>
    <cellStyle name="Note 4 4 4 4" xfId="8015" xr:uid="{00000000-0005-0000-0000-000088B20000}"/>
    <cellStyle name="Note 4 4 4 4 2" xfId="19316" xr:uid="{00000000-0005-0000-0000-000089B20000}"/>
    <cellStyle name="Note 4 4 4 4 2 2" xfId="41918" xr:uid="{00000000-0005-0000-0000-00008AB20000}"/>
    <cellStyle name="Note 4 4 4 4 3" xfId="30617" xr:uid="{00000000-0005-0000-0000-00008BB20000}"/>
    <cellStyle name="Note 4 4 4 5" xfId="13666" xr:uid="{00000000-0005-0000-0000-00008CB20000}"/>
    <cellStyle name="Note 4 4 4 5 2" xfId="36268" xr:uid="{00000000-0005-0000-0000-00008DB20000}"/>
    <cellStyle name="Note 4 4 4 6" xfId="24967" xr:uid="{00000000-0005-0000-0000-00008EB20000}"/>
    <cellStyle name="Note 4 4 5" xfId="2383" xr:uid="{00000000-0005-0000-0000-00008FB20000}"/>
    <cellStyle name="Note 4 4 5 2" xfId="8219" xr:uid="{00000000-0005-0000-0000-000090B20000}"/>
    <cellStyle name="Note 4 4 5 2 2" xfId="19520" xr:uid="{00000000-0005-0000-0000-000091B20000}"/>
    <cellStyle name="Note 4 4 5 2 2 2" xfId="42122" xr:uid="{00000000-0005-0000-0000-000092B20000}"/>
    <cellStyle name="Note 4 4 5 2 3" xfId="30821" xr:uid="{00000000-0005-0000-0000-000093B20000}"/>
    <cellStyle name="Note 4 4 5 3" xfId="13870" xr:uid="{00000000-0005-0000-0000-000094B20000}"/>
    <cellStyle name="Note 4 4 5 3 2" xfId="36472" xr:uid="{00000000-0005-0000-0000-000095B20000}"/>
    <cellStyle name="Note 4 4 5 4" xfId="25171" xr:uid="{00000000-0005-0000-0000-000096B20000}"/>
    <cellStyle name="Note 4 4 6" xfId="4168" xr:uid="{00000000-0005-0000-0000-000097B20000}"/>
    <cellStyle name="Note 4 4 6 2" xfId="9818" xr:uid="{00000000-0005-0000-0000-000098B20000}"/>
    <cellStyle name="Note 4 4 6 2 2" xfId="21119" xr:uid="{00000000-0005-0000-0000-000099B20000}"/>
    <cellStyle name="Note 4 4 6 2 2 2" xfId="43721" xr:uid="{00000000-0005-0000-0000-00009AB20000}"/>
    <cellStyle name="Note 4 4 6 2 3" xfId="32420" xr:uid="{00000000-0005-0000-0000-00009BB20000}"/>
    <cellStyle name="Note 4 4 6 3" xfId="15469" xr:uid="{00000000-0005-0000-0000-00009CB20000}"/>
    <cellStyle name="Note 4 4 6 3 2" xfId="38071" xr:uid="{00000000-0005-0000-0000-00009DB20000}"/>
    <cellStyle name="Note 4 4 6 4" xfId="26770" xr:uid="{00000000-0005-0000-0000-00009EB20000}"/>
    <cellStyle name="Note 4 4 7" xfId="6634" xr:uid="{00000000-0005-0000-0000-00009FB20000}"/>
    <cellStyle name="Note 4 4 7 2" xfId="17935" xr:uid="{00000000-0005-0000-0000-0000A0B20000}"/>
    <cellStyle name="Note 4 4 7 2 2" xfId="40537" xr:uid="{00000000-0005-0000-0000-0000A1B20000}"/>
    <cellStyle name="Note 4 4 7 3" xfId="29236" xr:uid="{00000000-0005-0000-0000-0000A2B20000}"/>
    <cellStyle name="Note 4 4 8" xfId="12285" xr:uid="{00000000-0005-0000-0000-0000A3B20000}"/>
    <cellStyle name="Note 4 4 8 2" xfId="34887" xr:uid="{00000000-0005-0000-0000-0000A4B20000}"/>
    <cellStyle name="Note 4 4 9" xfId="23586" xr:uid="{00000000-0005-0000-0000-0000A5B20000}"/>
    <cellStyle name="Note 4 5" xfId="1141" xr:uid="{00000000-0005-0000-0000-0000A6B20000}"/>
    <cellStyle name="Note 4 5 2" xfId="2161" xr:uid="{00000000-0005-0000-0000-0000A7B20000}"/>
    <cellStyle name="Note 4 5 2 2" xfId="3209" xr:uid="{00000000-0005-0000-0000-0000A8B20000}"/>
    <cellStyle name="Note 4 5 2 2 2" xfId="6181" xr:uid="{00000000-0005-0000-0000-0000A9B20000}"/>
    <cellStyle name="Note 4 5 2 2 2 2" xfId="11831" xr:uid="{00000000-0005-0000-0000-0000AAB20000}"/>
    <cellStyle name="Note 4 5 2 2 2 2 2" xfId="23132" xr:uid="{00000000-0005-0000-0000-0000ABB20000}"/>
    <cellStyle name="Note 4 5 2 2 2 2 2 2" xfId="45734" xr:uid="{00000000-0005-0000-0000-0000ACB20000}"/>
    <cellStyle name="Note 4 5 2 2 2 2 3" xfId="34433" xr:uid="{00000000-0005-0000-0000-0000ADB20000}"/>
    <cellStyle name="Note 4 5 2 2 2 3" xfId="17482" xr:uid="{00000000-0005-0000-0000-0000AEB20000}"/>
    <cellStyle name="Note 4 5 2 2 2 3 2" xfId="40084" xr:uid="{00000000-0005-0000-0000-0000AFB20000}"/>
    <cellStyle name="Note 4 5 2 2 2 4" xfId="28783" xr:uid="{00000000-0005-0000-0000-0000B0B20000}"/>
    <cellStyle name="Note 4 5 2 2 3" xfId="8999" xr:uid="{00000000-0005-0000-0000-0000B1B20000}"/>
    <cellStyle name="Note 4 5 2 2 3 2" xfId="20300" xr:uid="{00000000-0005-0000-0000-0000B2B20000}"/>
    <cellStyle name="Note 4 5 2 2 3 2 2" xfId="42902" xr:uid="{00000000-0005-0000-0000-0000B3B20000}"/>
    <cellStyle name="Note 4 5 2 2 3 3" xfId="31601" xr:uid="{00000000-0005-0000-0000-0000B4B20000}"/>
    <cellStyle name="Note 4 5 2 2 4" xfId="14650" xr:uid="{00000000-0005-0000-0000-0000B5B20000}"/>
    <cellStyle name="Note 4 5 2 2 4 2" xfId="37252" xr:uid="{00000000-0005-0000-0000-0000B6B20000}"/>
    <cellStyle name="Note 4 5 2 2 5" xfId="25951" xr:uid="{00000000-0005-0000-0000-0000B7B20000}"/>
    <cellStyle name="Note 4 5 2 3" xfId="4947" xr:uid="{00000000-0005-0000-0000-0000B8B20000}"/>
    <cellStyle name="Note 4 5 2 3 2" xfId="10597" xr:uid="{00000000-0005-0000-0000-0000B9B20000}"/>
    <cellStyle name="Note 4 5 2 3 2 2" xfId="21898" xr:uid="{00000000-0005-0000-0000-0000BAB20000}"/>
    <cellStyle name="Note 4 5 2 3 2 2 2" xfId="44500" xr:uid="{00000000-0005-0000-0000-0000BBB20000}"/>
    <cellStyle name="Note 4 5 2 3 2 3" xfId="33199" xr:uid="{00000000-0005-0000-0000-0000BCB20000}"/>
    <cellStyle name="Note 4 5 2 3 3" xfId="16248" xr:uid="{00000000-0005-0000-0000-0000BDB20000}"/>
    <cellStyle name="Note 4 5 2 3 3 2" xfId="38850" xr:uid="{00000000-0005-0000-0000-0000BEB20000}"/>
    <cellStyle name="Note 4 5 2 3 4" xfId="27549" xr:uid="{00000000-0005-0000-0000-0000BFB20000}"/>
    <cellStyle name="Note 4 5 2 4" xfId="8017" xr:uid="{00000000-0005-0000-0000-0000C0B20000}"/>
    <cellStyle name="Note 4 5 2 4 2" xfId="19318" xr:uid="{00000000-0005-0000-0000-0000C1B20000}"/>
    <cellStyle name="Note 4 5 2 4 2 2" xfId="41920" xr:uid="{00000000-0005-0000-0000-0000C2B20000}"/>
    <cellStyle name="Note 4 5 2 4 3" xfId="30619" xr:uid="{00000000-0005-0000-0000-0000C3B20000}"/>
    <cellStyle name="Note 4 5 2 5" xfId="13668" xr:uid="{00000000-0005-0000-0000-0000C4B20000}"/>
    <cellStyle name="Note 4 5 2 5 2" xfId="36270" xr:uid="{00000000-0005-0000-0000-0000C5B20000}"/>
    <cellStyle name="Note 4 5 2 6" xfId="24969" xr:uid="{00000000-0005-0000-0000-0000C6B20000}"/>
    <cellStyle name="Note 4 5 3" xfId="2538" xr:uid="{00000000-0005-0000-0000-0000C7B20000}"/>
    <cellStyle name="Note 4 5 3 2" xfId="5557" xr:uid="{00000000-0005-0000-0000-0000C8B20000}"/>
    <cellStyle name="Note 4 5 3 2 2" xfId="11207" xr:uid="{00000000-0005-0000-0000-0000C9B20000}"/>
    <cellStyle name="Note 4 5 3 2 2 2" xfId="22508" xr:uid="{00000000-0005-0000-0000-0000CAB20000}"/>
    <cellStyle name="Note 4 5 3 2 2 2 2" xfId="45110" xr:uid="{00000000-0005-0000-0000-0000CBB20000}"/>
    <cellStyle name="Note 4 5 3 2 2 3" xfId="33809" xr:uid="{00000000-0005-0000-0000-0000CCB20000}"/>
    <cellStyle name="Note 4 5 3 2 3" xfId="16858" xr:uid="{00000000-0005-0000-0000-0000CDB20000}"/>
    <cellStyle name="Note 4 5 3 2 3 2" xfId="39460" xr:uid="{00000000-0005-0000-0000-0000CEB20000}"/>
    <cellStyle name="Note 4 5 3 2 4" xfId="28159" xr:uid="{00000000-0005-0000-0000-0000CFB20000}"/>
    <cellStyle name="Note 4 5 3 3" xfId="8374" xr:uid="{00000000-0005-0000-0000-0000D0B20000}"/>
    <cellStyle name="Note 4 5 3 3 2" xfId="19675" xr:uid="{00000000-0005-0000-0000-0000D1B20000}"/>
    <cellStyle name="Note 4 5 3 3 2 2" xfId="42277" xr:uid="{00000000-0005-0000-0000-0000D2B20000}"/>
    <cellStyle name="Note 4 5 3 3 3" xfId="30976" xr:uid="{00000000-0005-0000-0000-0000D3B20000}"/>
    <cellStyle name="Note 4 5 3 4" xfId="14025" xr:uid="{00000000-0005-0000-0000-0000D4B20000}"/>
    <cellStyle name="Note 4 5 3 4 2" xfId="36627" xr:uid="{00000000-0005-0000-0000-0000D5B20000}"/>
    <cellStyle name="Note 4 5 3 5" xfId="25326" xr:uid="{00000000-0005-0000-0000-0000D6B20000}"/>
    <cellStyle name="Note 4 5 4" xfId="4323" xr:uid="{00000000-0005-0000-0000-0000D7B20000}"/>
    <cellStyle name="Note 4 5 4 2" xfId="9973" xr:uid="{00000000-0005-0000-0000-0000D8B20000}"/>
    <cellStyle name="Note 4 5 4 2 2" xfId="21274" xr:uid="{00000000-0005-0000-0000-0000D9B20000}"/>
    <cellStyle name="Note 4 5 4 2 2 2" xfId="43876" xr:uid="{00000000-0005-0000-0000-0000DAB20000}"/>
    <cellStyle name="Note 4 5 4 2 3" xfId="32575" xr:uid="{00000000-0005-0000-0000-0000DBB20000}"/>
    <cellStyle name="Note 4 5 4 3" xfId="15624" xr:uid="{00000000-0005-0000-0000-0000DCB20000}"/>
    <cellStyle name="Note 4 5 4 3 2" xfId="38226" xr:uid="{00000000-0005-0000-0000-0000DDB20000}"/>
    <cellStyle name="Note 4 5 4 4" xfId="26925" xr:uid="{00000000-0005-0000-0000-0000DEB20000}"/>
    <cellStyle name="Note 4 5 5" xfId="7120" xr:uid="{00000000-0005-0000-0000-0000DFB20000}"/>
    <cellStyle name="Note 4 5 5 2" xfId="18421" xr:uid="{00000000-0005-0000-0000-0000E0B20000}"/>
    <cellStyle name="Note 4 5 5 2 2" xfId="41023" xr:uid="{00000000-0005-0000-0000-0000E1B20000}"/>
    <cellStyle name="Note 4 5 5 3" xfId="29722" xr:uid="{00000000-0005-0000-0000-0000E2B20000}"/>
    <cellStyle name="Note 4 5 6" xfId="12771" xr:uid="{00000000-0005-0000-0000-0000E3B20000}"/>
    <cellStyle name="Note 4 5 6 2" xfId="35373" xr:uid="{00000000-0005-0000-0000-0000E4B20000}"/>
    <cellStyle name="Note 4 5 7" xfId="24072" xr:uid="{00000000-0005-0000-0000-0000E5B20000}"/>
    <cellStyle name="Note 4 6" xfId="815" xr:uid="{00000000-0005-0000-0000-0000E6B20000}"/>
    <cellStyle name="Note 4 6 2" xfId="2902" xr:uid="{00000000-0005-0000-0000-0000E7B20000}"/>
    <cellStyle name="Note 4 6 2 2" xfId="5874" xr:uid="{00000000-0005-0000-0000-0000E8B20000}"/>
    <cellStyle name="Note 4 6 2 2 2" xfId="11524" xr:uid="{00000000-0005-0000-0000-0000E9B20000}"/>
    <cellStyle name="Note 4 6 2 2 2 2" xfId="22825" xr:uid="{00000000-0005-0000-0000-0000EAB20000}"/>
    <cellStyle name="Note 4 6 2 2 2 2 2" xfId="45427" xr:uid="{00000000-0005-0000-0000-0000EBB20000}"/>
    <cellStyle name="Note 4 6 2 2 2 3" xfId="34126" xr:uid="{00000000-0005-0000-0000-0000ECB20000}"/>
    <cellStyle name="Note 4 6 2 2 3" xfId="17175" xr:uid="{00000000-0005-0000-0000-0000EDB20000}"/>
    <cellStyle name="Note 4 6 2 2 3 2" xfId="39777" xr:uid="{00000000-0005-0000-0000-0000EEB20000}"/>
    <cellStyle name="Note 4 6 2 2 4" xfId="28476" xr:uid="{00000000-0005-0000-0000-0000EFB20000}"/>
    <cellStyle name="Note 4 6 2 3" xfId="8692" xr:uid="{00000000-0005-0000-0000-0000F0B20000}"/>
    <cellStyle name="Note 4 6 2 3 2" xfId="19993" xr:uid="{00000000-0005-0000-0000-0000F1B20000}"/>
    <cellStyle name="Note 4 6 2 3 2 2" xfId="42595" xr:uid="{00000000-0005-0000-0000-0000F2B20000}"/>
    <cellStyle name="Note 4 6 2 3 3" xfId="31294" xr:uid="{00000000-0005-0000-0000-0000F3B20000}"/>
    <cellStyle name="Note 4 6 2 4" xfId="14343" xr:uid="{00000000-0005-0000-0000-0000F4B20000}"/>
    <cellStyle name="Note 4 6 2 4 2" xfId="36945" xr:uid="{00000000-0005-0000-0000-0000F5B20000}"/>
    <cellStyle name="Note 4 6 2 5" xfId="25644" xr:uid="{00000000-0005-0000-0000-0000F6B20000}"/>
    <cellStyle name="Note 4 6 3" xfId="4640" xr:uid="{00000000-0005-0000-0000-0000F7B20000}"/>
    <cellStyle name="Note 4 6 3 2" xfId="10290" xr:uid="{00000000-0005-0000-0000-0000F8B20000}"/>
    <cellStyle name="Note 4 6 3 2 2" xfId="21591" xr:uid="{00000000-0005-0000-0000-0000F9B20000}"/>
    <cellStyle name="Note 4 6 3 2 2 2" xfId="44193" xr:uid="{00000000-0005-0000-0000-0000FAB20000}"/>
    <cellStyle name="Note 4 6 3 2 3" xfId="32892" xr:uid="{00000000-0005-0000-0000-0000FBB20000}"/>
    <cellStyle name="Note 4 6 3 3" xfId="15941" xr:uid="{00000000-0005-0000-0000-0000FCB20000}"/>
    <cellStyle name="Note 4 6 3 3 2" xfId="38543" xr:uid="{00000000-0005-0000-0000-0000FDB20000}"/>
    <cellStyle name="Note 4 6 3 4" xfId="27242" xr:uid="{00000000-0005-0000-0000-0000FEB20000}"/>
    <cellStyle name="Note 4 6 4" xfId="6823" xr:uid="{00000000-0005-0000-0000-0000FFB20000}"/>
    <cellStyle name="Note 4 6 4 2" xfId="18124" xr:uid="{00000000-0005-0000-0000-000000B30000}"/>
    <cellStyle name="Note 4 6 4 2 2" xfId="40726" xr:uid="{00000000-0005-0000-0000-000001B30000}"/>
    <cellStyle name="Note 4 6 4 3" xfId="29425" xr:uid="{00000000-0005-0000-0000-000002B30000}"/>
    <cellStyle name="Note 4 6 5" xfId="12474" xr:uid="{00000000-0005-0000-0000-000003B30000}"/>
    <cellStyle name="Note 4 6 5 2" xfId="35076" xr:uid="{00000000-0005-0000-0000-000004B30000}"/>
    <cellStyle name="Note 4 6 6" xfId="23775" xr:uid="{00000000-0005-0000-0000-000005B30000}"/>
    <cellStyle name="Note 4 7" xfId="2150" xr:uid="{00000000-0005-0000-0000-000006B30000}"/>
    <cellStyle name="Note 4 7 2" xfId="3882" xr:uid="{00000000-0005-0000-0000-000007B30000}"/>
    <cellStyle name="Note 4 7 2 2" xfId="9590" xr:uid="{00000000-0005-0000-0000-000008B30000}"/>
    <cellStyle name="Note 4 7 2 2 2" xfId="20891" xr:uid="{00000000-0005-0000-0000-000009B30000}"/>
    <cellStyle name="Note 4 7 2 2 2 2" xfId="43493" xr:uid="{00000000-0005-0000-0000-00000AB30000}"/>
    <cellStyle name="Note 4 7 2 2 3" xfId="32192" xr:uid="{00000000-0005-0000-0000-00000BB30000}"/>
    <cellStyle name="Note 4 7 2 3" xfId="15241" xr:uid="{00000000-0005-0000-0000-00000CB30000}"/>
    <cellStyle name="Note 4 7 2 3 2" xfId="37843" xr:uid="{00000000-0005-0000-0000-00000DB30000}"/>
    <cellStyle name="Note 4 7 2 4" xfId="26542" xr:uid="{00000000-0005-0000-0000-00000EB30000}"/>
    <cellStyle name="Note 4 7 3" xfId="5250" xr:uid="{00000000-0005-0000-0000-00000FB30000}"/>
    <cellStyle name="Note 4 7 3 2" xfId="10900" xr:uid="{00000000-0005-0000-0000-000010B30000}"/>
    <cellStyle name="Note 4 7 3 2 2" xfId="22201" xr:uid="{00000000-0005-0000-0000-000011B30000}"/>
    <cellStyle name="Note 4 7 3 2 2 2" xfId="44803" xr:uid="{00000000-0005-0000-0000-000012B30000}"/>
    <cellStyle name="Note 4 7 3 2 3" xfId="33502" xr:uid="{00000000-0005-0000-0000-000013B30000}"/>
    <cellStyle name="Note 4 7 3 3" xfId="16551" xr:uid="{00000000-0005-0000-0000-000014B30000}"/>
    <cellStyle name="Note 4 7 3 3 2" xfId="39153" xr:uid="{00000000-0005-0000-0000-000015B30000}"/>
    <cellStyle name="Note 4 7 3 4" xfId="27852" xr:uid="{00000000-0005-0000-0000-000016B30000}"/>
    <cellStyle name="Note 4 7 4" xfId="8006" xr:uid="{00000000-0005-0000-0000-000017B30000}"/>
    <cellStyle name="Note 4 7 4 2" xfId="19307" xr:uid="{00000000-0005-0000-0000-000018B30000}"/>
    <cellStyle name="Note 4 7 4 2 2" xfId="41909" xr:uid="{00000000-0005-0000-0000-000019B30000}"/>
    <cellStyle name="Note 4 7 4 3" xfId="30608" xr:uid="{00000000-0005-0000-0000-00001AB30000}"/>
    <cellStyle name="Note 4 7 5" xfId="13657" xr:uid="{00000000-0005-0000-0000-00001BB30000}"/>
    <cellStyle name="Note 4 7 5 2" xfId="36259" xr:uid="{00000000-0005-0000-0000-00001CB30000}"/>
    <cellStyle name="Note 4 7 6" xfId="24958" xr:uid="{00000000-0005-0000-0000-00001DB30000}"/>
    <cellStyle name="Note 4 8" xfId="2222" xr:uid="{00000000-0005-0000-0000-00001EB30000}"/>
    <cellStyle name="Note 4 8 2" xfId="8064" xr:uid="{00000000-0005-0000-0000-00001FB30000}"/>
    <cellStyle name="Note 4 8 2 2" xfId="19365" xr:uid="{00000000-0005-0000-0000-000020B30000}"/>
    <cellStyle name="Note 4 8 2 2 2" xfId="41967" xr:uid="{00000000-0005-0000-0000-000021B30000}"/>
    <cellStyle name="Note 4 8 2 3" xfId="30666" xr:uid="{00000000-0005-0000-0000-000022B30000}"/>
    <cellStyle name="Note 4 8 3" xfId="13715" xr:uid="{00000000-0005-0000-0000-000023B30000}"/>
    <cellStyle name="Note 4 8 3 2" xfId="36317" xr:uid="{00000000-0005-0000-0000-000024B30000}"/>
    <cellStyle name="Note 4 8 4" xfId="25016" xr:uid="{00000000-0005-0000-0000-000025B30000}"/>
    <cellStyle name="Note 4 9" xfId="4016" xr:uid="{00000000-0005-0000-0000-000026B30000}"/>
    <cellStyle name="Note 4 9 2" xfId="9666" xr:uid="{00000000-0005-0000-0000-000027B30000}"/>
    <cellStyle name="Note 4 9 2 2" xfId="20967" xr:uid="{00000000-0005-0000-0000-000028B30000}"/>
    <cellStyle name="Note 4 9 2 2 2" xfId="43569" xr:uid="{00000000-0005-0000-0000-000029B30000}"/>
    <cellStyle name="Note 4 9 2 3" xfId="32268" xr:uid="{00000000-0005-0000-0000-00002AB30000}"/>
    <cellStyle name="Note 4 9 3" xfId="15317" xr:uid="{00000000-0005-0000-0000-00002BB30000}"/>
    <cellStyle name="Note 4 9 3 2" xfId="37919" xr:uid="{00000000-0005-0000-0000-00002CB30000}"/>
    <cellStyle name="Note 4 9 4" xfId="26618" xr:uid="{00000000-0005-0000-0000-00002DB30000}"/>
    <cellStyle name="Note 5" xfId="324" xr:uid="{00000000-0005-0000-0000-00002EB30000}"/>
    <cellStyle name="Note 6" xfId="1531" xr:uid="{00000000-0005-0000-0000-00002FB30000}"/>
    <cellStyle name="Note 7" xfId="3496" xr:uid="{00000000-0005-0000-0000-000030B30000}"/>
    <cellStyle name="Note 8" xfId="143" xr:uid="{00000000-0005-0000-0000-000031B30000}"/>
    <cellStyle name="Output" xfId="10" builtinId="21" customBuiltin="1"/>
    <cellStyle name="Output 10" xfId="144" xr:uid="{00000000-0005-0000-0000-000033B30000}"/>
    <cellStyle name="Output 2" xfId="186" xr:uid="{00000000-0005-0000-0000-000034B30000}"/>
    <cellStyle name="Output 2 2" xfId="339" xr:uid="{00000000-0005-0000-0000-000035B30000}"/>
    <cellStyle name="Output 2 3" xfId="2866" xr:uid="{00000000-0005-0000-0000-000036B30000}"/>
    <cellStyle name="Output 2 4" xfId="3537" xr:uid="{00000000-0005-0000-0000-000037B30000}"/>
    <cellStyle name="Output 3" xfId="201" xr:uid="{00000000-0005-0000-0000-000038B30000}"/>
    <cellStyle name="Output 3 2" xfId="534" xr:uid="{00000000-0005-0000-0000-000039B30000}"/>
    <cellStyle name="Output 3 3" xfId="486" xr:uid="{00000000-0005-0000-0000-00003AB30000}"/>
    <cellStyle name="Output 3 4" xfId="1464" xr:uid="{00000000-0005-0000-0000-00003BB30000}"/>
    <cellStyle name="Output 4" xfId="325" xr:uid="{00000000-0005-0000-0000-00003CB30000}"/>
    <cellStyle name="Output 5" xfId="743" xr:uid="{00000000-0005-0000-0000-00003DB30000}"/>
    <cellStyle name="Output 6" xfId="1513" xr:uid="{00000000-0005-0000-0000-00003EB30000}"/>
    <cellStyle name="Output 7" xfId="1416" xr:uid="{00000000-0005-0000-0000-00003FB30000}"/>
    <cellStyle name="Output 8" xfId="957" xr:uid="{00000000-0005-0000-0000-000040B30000}"/>
    <cellStyle name="Output 8 2" xfId="3938" xr:uid="{00000000-0005-0000-0000-000041B30000}"/>
    <cellStyle name="Output 9" xfId="2170" xr:uid="{00000000-0005-0000-0000-000042B30000}"/>
    <cellStyle name="p-blue" xfId="74" xr:uid="{00000000-0005-0000-0000-000043B30000}"/>
    <cellStyle name="Percent" xfId="61" builtinId="5"/>
    <cellStyle name="Percent 10" xfId="75" xr:uid="{00000000-0005-0000-0000-000045B30000}"/>
    <cellStyle name="Percent 11" xfId="46005" xr:uid="{00000000-0005-0000-0000-000046B30000}"/>
    <cellStyle name="Percent 2" xfId="94" xr:uid="{00000000-0005-0000-0000-000047B30000}"/>
    <cellStyle name="Percent 2 2" xfId="187" xr:uid="{00000000-0005-0000-0000-000048B30000}"/>
    <cellStyle name="Percent 3" xfId="326" xr:uid="{00000000-0005-0000-0000-000049B30000}"/>
    <cellStyle name="Percent 3 2" xfId="598" xr:uid="{00000000-0005-0000-0000-00004AB30000}"/>
    <cellStyle name="Percent 3 3" xfId="491" xr:uid="{00000000-0005-0000-0000-00004BB30000}"/>
    <cellStyle name="Percent 3 4" xfId="1423" xr:uid="{00000000-0005-0000-0000-00004CB30000}"/>
    <cellStyle name="Percent 4" xfId="447" xr:uid="{00000000-0005-0000-0000-00004DB30000}"/>
    <cellStyle name="Percent 4 2" xfId="692" xr:uid="{00000000-0005-0000-0000-00004EB30000}"/>
    <cellStyle name="Percent 4 3" xfId="509" xr:uid="{00000000-0005-0000-0000-00004FB30000}"/>
    <cellStyle name="Percent 5" xfId="1100" xr:uid="{00000000-0005-0000-0000-000050B30000}"/>
    <cellStyle name="Percent 5 2" xfId="1402" xr:uid="{00000000-0005-0000-0000-000051B30000}"/>
    <cellStyle name="Percent 6" xfId="1516" xr:uid="{00000000-0005-0000-0000-000052B30000}"/>
    <cellStyle name="Percent 7" xfId="1526" xr:uid="{00000000-0005-0000-0000-000053B30000}"/>
    <cellStyle name="Percent 8" xfId="3517" xr:uid="{00000000-0005-0000-0000-000054B30000}"/>
    <cellStyle name="Percent 9" xfId="3969" xr:uid="{00000000-0005-0000-0000-000055B30000}"/>
    <cellStyle name="Percent(0)" xfId="76" xr:uid="{00000000-0005-0000-0000-000056B30000}"/>
    <cellStyle name="Percent(0) 2" xfId="95" xr:uid="{00000000-0005-0000-0000-000057B30000}"/>
    <cellStyle name="Percent(0) 2 2" xfId="804" xr:uid="{00000000-0005-0000-0000-000058B30000}"/>
    <cellStyle name="Percent(0) 2 3" xfId="259" xr:uid="{00000000-0005-0000-0000-000059B30000}"/>
    <cellStyle name="Percent(0) 3" xfId="1106" xr:uid="{00000000-0005-0000-0000-00005AB30000}"/>
    <cellStyle name="Percent(0) 3 2" xfId="1408" xr:uid="{00000000-0005-0000-0000-00005BB30000}"/>
    <cellStyle name="Percent(0) 4" xfId="1414" xr:uid="{00000000-0005-0000-0000-00005CB30000}"/>
    <cellStyle name="Percent(0) 5" xfId="3970" xr:uid="{00000000-0005-0000-0000-00005DB30000}"/>
    <cellStyle name="p-green" xfId="77" xr:uid="{00000000-0005-0000-0000-00005EB30000}"/>
    <cellStyle name="p-green 2" xfId="96" xr:uid="{00000000-0005-0000-0000-00005FB30000}"/>
    <cellStyle name="p-green 2 2" xfId="1525" xr:uid="{00000000-0005-0000-0000-000060B30000}"/>
    <cellStyle name="p-green 2 3" xfId="260" xr:uid="{00000000-0005-0000-0000-000061B30000}"/>
    <cellStyle name="p-green 3" xfId="1107" xr:uid="{00000000-0005-0000-0000-000062B30000}"/>
    <cellStyle name="p-green 3 2" xfId="1409" xr:uid="{00000000-0005-0000-0000-000063B30000}"/>
    <cellStyle name="p-green 4" xfId="1505" xr:uid="{00000000-0005-0000-0000-000064B30000}"/>
    <cellStyle name="p-green 5" xfId="3971" xr:uid="{00000000-0005-0000-0000-000065B30000}"/>
    <cellStyle name="p-red" xfId="78" xr:uid="{00000000-0005-0000-0000-000066B30000}"/>
    <cellStyle name="p-red 2" xfId="487" xr:uid="{00000000-0005-0000-0000-000067B30000}"/>
    <cellStyle name="p-red 3" xfId="510" xr:uid="{00000000-0005-0000-0000-000068B30000}"/>
    <cellStyle name="p-red 4" xfId="448" xr:uid="{00000000-0005-0000-0000-000069B30000}"/>
    <cellStyle name="p-red 5" xfId="714" xr:uid="{00000000-0005-0000-0000-00006AB30000}"/>
    <cellStyle name="p-red 6" xfId="1417" xr:uid="{00000000-0005-0000-0000-00006BB30000}"/>
    <cellStyle name="p-red 7" xfId="1435" xr:uid="{00000000-0005-0000-0000-00006CB30000}"/>
    <cellStyle name="p-red 8" xfId="2164" xr:uid="{00000000-0005-0000-0000-00006DB30000}"/>
    <cellStyle name="p-red 9" xfId="3824" xr:uid="{00000000-0005-0000-0000-00006EB30000}"/>
    <cellStyle name="p-white" xfId="79" xr:uid="{00000000-0005-0000-0000-00006FB30000}"/>
    <cellStyle name="p-yellow" xfId="80" xr:uid="{00000000-0005-0000-0000-000070B30000}"/>
    <cellStyle name="Title" xfId="1" builtinId="15" customBuiltin="1"/>
    <cellStyle name="Title 2" xfId="188" xr:uid="{00000000-0005-0000-0000-000072B30000}"/>
    <cellStyle name="Title 2 2" xfId="383" xr:uid="{00000000-0005-0000-0000-000073B30000}"/>
    <cellStyle name="Title 2 3" xfId="2867" xr:uid="{00000000-0005-0000-0000-000074B30000}"/>
    <cellStyle name="Title 2 4" xfId="3951" xr:uid="{00000000-0005-0000-0000-000075B30000}"/>
    <cellStyle name="Title 3" xfId="192" xr:uid="{00000000-0005-0000-0000-000076B30000}"/>
    <cellStyle name="Title 3 2" xfId="525" xr:uid="{00000000-0005-0000-0000-000077B30000}"/>
    <cellStyle name="Title 3 3" xfId="488" xr:uid="{00000000-0005-0000-0000-000078B30000}"/>
    <cellStyle name="Title 3 4" xfId="1467" xr:uid="{00000000-0005-0000-0000-000079B30000}"/>
    <cellStyle name="Title 4" xfId="327" xr:uid="{00000000-0005-0000-0000-00007AB30000}"/>
    <cellStyle name="Title 5" xfId="1532" xr:uid="{00000000-0005-0000-0000-00007BB30000}"/>
    <cellStyle name="Title 6" xfId="3535" xr:uid="{00000000-0005-0000-0000-00007CB30000}"/>
    <cellStyle name="Title 7" xfId="145" xr:uid="{00000000-0005-0000-0000-00007DB30000}"/>
    <cellStyle name="Total" xfId="17" builtinId="25" customBuiltin="1"/>
    <cellStyle name="Total 10" xfId="2260" xr:uid="{00000000-0005-0000-0000-00007FB30000}"/>
    <cellStyle name="Total 11" xfId="146" xr:uid="{00000000-0005-0000-0000-000080B30000}"/>
    <cellStyle name="Total 2" xfId="189" xr:uid="{00000000-0005-0000-0000-000081B30000}"/>
    <cellStyle name="Total 2 2" xfId="353" xr:uid="{00000000-0005-0000-0000-000082B30000}"/>
    <cellStyle name="Total 2 3" xfId="2868" xr:uid="{00000000-0005-0000-0000-000083B30000}"/>
    <cellStyle name="Total 2 4" xfId="3579" xr:uid="{00000000-0005-0000-0000-000084B30000}"/>
    <cellStyle name="Total 3" xfId="208" xr:uid="{00000000-0005-0000-0000-000085B30000}"/>
    <cellStyle name="Total 3 2" xfId="541" xr:uid="{00000000-0005-0000-0000-000086B30000}"/>
    <cellStyle name="Total 3 3" xfId="489" xr:uid="{00000000-0005-0000-0000-000087B30000}"/>
    <cellStyle name="Total 3 4" xfId="1486" xr:uid="{00000000-0005-0000-0000-000088B30000}"/>
    <cellStyle name="Total 4" xfId="328" xr:uid="{00000000-0005-0000-0000-000089B30000}"/>
    <cellStyle name="Total 5" xfId="749" xr:uid="{00000000-0005-0000-0000-00008AB30000}"/>
    <cellStyle name="Total 6" xfId="1477" xr:uid="{00000000-0005-0000-0000-00008BB30000}"/>
    <cellStyle name="Total 7" xfId="1523" xr:uid="{00000000-0005-0000-0000-00008CB30000}"/>
    <cellStyle name="Total 8" xfId="1463" xr:uid="{00000000-0005-0000-0000-00008DB30000}"/>
    <cellStyle name="Total 8 2" xfId="3944" xr:uid="{00000000-0005-0000-0000-00008EB30000}"/>
    <cellStyle name="Total 9" xfId="2811" xr:uid="{00000000-0005-0000-0000-00008FB30000}"/>
    <cellStyle name="Warning Text" xfId="14" builtinId="11" customBuiltin="1"/>
    <cellStyle name="Warning Text 10" xfId="147" xr:uid="{00000000-0005-0000-0000-000091B30000}"/>
    <cellStyle name="Warning Text 2" xfId="190" xr:uid="{00000000-0005-0000-0000-000092B30000}"/>
    <cellStyle name="Warning Text 2 2" xfId="377" xr:uid="{00000000-0005-0000-0000-000093B30000}"/>
    <cellStyle name="Warning Text 2 3" xfId="2869" xr:uid="{00000000-0005-0000-0000-000094B30000}"/>
    <cellStyle name="Warning Text 2 4" xfId="3937" xr:uid="{00000000-0005-0000-0000-000095B30000}"/>
    <cellStyle name="Warning Text 3" xfId="205" xr:uid="{00000000-0005-0000-0000-000096B30000}"/>
    <cellStyle name="Warning Text 3 2" xfId="538" xr:uid="{00000000-0005-0000-0000-000097B30000}"/>
    <cellStyle name="Warning Text 3 3" xfId="490" xr:uid="{00000000-0005-0000-0000-000098B30000}"/>
    <cellStyle name="Warning Text 3 4" xfId="1465" xr:uid="{00000000-0005-0000-0000-000099B30000}"/>
    <cellStyle name="Warning Text 4" xfId="329" xr:uid="{00000000-0005-0000-0000-00009AB30000}"/>
    <cellStyle name="Warning Text 5" xfId="747" xr:uid="{00000000-0005-0000-0000-00009BB30000}"/>
    <cellStyle name="Warning Text 6" xfId="803" xr:uid="{00000000-0005-0000-0000-00009CB30000}"/>
    <cellStyle name="Warning Text 7" xfId="1511" xr:uid="{00000000-0005-0000-0000-00009DB30000}"/>
    <cellStyle name="Warning Text 8" xfId="830" xr:uid="{00000000-0005-0000-0000-00009EB30000}"/>
    <cellStyle name="Warning Text 8 2" xfId="3952" xr:uid="{00000000-0005-0000-0000-00009FB30000}"/>
    <cellStyle name="Warning Text 9" xfId="3483" xr:uid="{00000000-0005-0000-0000-0000A0B30000}"/>
    <cellStyle name="x-Courier" xfId="2168" xr:uid="{00000000-0005-0000-0000-0000A1B30000}"/>
    <cellStyle name="y-Blk-on-Grn" xfId="3597" xr:uid="{00000000-0005-0000-0000-0000A2B30000}"/>
    <cellStyle name="y-Blk-on-Grn 2" xfId="3928" xr:uid="{00000000-0005-0000-0000-0000A3B30000}"/>
    <cellStyle name="y-Blk-on-Pnk" xfId="81" xr:uid="{00000000-0005-0000-0000-0000A4B30000}"/>
    <cellStyle name="y-Blk-on-Pnk 2" xfId="3504" xr:uid="{00000000-0005-0000-0000-0000A5B30000}"/>
    <cellStyle name="y-Blk-on-Pnk 3" xfId="3509" xr:uid="{00000000-0005-0000-0000-0000A6B30000}"/>
    <cellStyle name="y-Blk-on-Wht" xfId="3564" xr:uid="{00000000-0005-0000-0000-0000A7B30000}"/>
    <cellStyle name="y-Blu-on-Yel" xfId="82" xr:uid="{00000000-0005-0000-0000-0000A8B30000}"/>
    <cellStyle name="y-Blu-on-Yel 2" xfId="493" xr:uid="{00000000-0005-0000-0000-0000A9B30000}"/>
    <cellStyle name="y-Blu-on-Yel 3" xfId="2173" xr:uid="{00000000-0005-0000-0000-0000AAB30000}"/>
    <cellStyle name="y-Blu-on-Yel 4" xfId="3571" xr:uid="{00000000-0005-0000-0000-0000ABB30000}"/>
    <cellStyle name="y-Blu-on-Yel 5" xfId="233" xr:uid="{00000000-0005-0000-0000-0000ACB30000}"/>
    <cellStyle name="y-Wht-on-Red" xfId="83" xr:uid="{00000000-0005-0000-0000-0000ADB30000}"/>
    <cellStyle name="y-Wht-on-Red 2" xfId="3595" xr:uid="{00000000-0005-0000-0000-0000AEB30000}"/>
    <cellStyle name="y-Wht-on-Red 3" xfId="3523" xr:uid="{00000000-0005-0000-0000-0000AFB30000}"/>
    <cellStyle name="y-Yel-on-Blu" xfId="84" xr:uid="{00000000-0005-0000-0000-0000B0B30000}"/>
    <cellStyle name="y-Yel-on-Blu 2" xfId="3481" xr:uid="{00000000-0005-0000-0000-0000B1B30000}"/>
    <cellStyle name="y-Yel-on-Blu 3" xfId="3596" xr:uid="{00000000-0005-0000-0000-0000B2B30000}"/>
    <cellStyle name="zCurrency0" xfId="3484" xr:uid="{00000000-0005-0000-0000-0000B3B30000}"/>
    <cellStyle name="zCurrency2" xfId="3530" xr:uid="{00000000-0005-0000-0000-0000B4B30000}"/>
    <cellStyle name="zDate" xfId="3501" xr:uid="{00000000-0005-0000-0000-0000B5B30000}"/>
  </cellStyles>
  <dxfs count="0"/>
  <tableStyles count="0" defaultTableStyle="TableStyleMedium9" defaultPivotStyle="PivotStyleLight16"/>
  <colors>
    <mruColors>
      <color rgb="FFFFCCCC"/>
      <color rgb="FFFFCC66"/>
      <color rgb="FF66CCFF"/>
      <color rgb="FF9999FF"/>
      <color rgb="FF99CCFF"/>
      <color rgb="FFFFCC00"/>
      <color rgb="FFCCFF33"/>
      <color rgb="FF66FF66"/>
      <color rgb="FFFFC6AA"/>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314325</xdr:colOff>
      <xdr:row>0</xdr:row>
      <xdr:rowOff>0</xdr:rowOff>
    </xdr:from>
    <xdr:to>
      <xdr:col>19</xdr:col>
      <xdr:colOff>65809</xdr:colOff>
      <xdr:row>1</xdr:row>
      <xdr:rowOff>19325</xdr:rowOff>
    </xdr:to>
    <xdr:pic>
      <xdr:nvPicPr>
        <xdr:cNvPr id="3" name="Picture 2">
          <a:extLst>
            <a:ext uri="{FF2B5EF4-FFF2-40B4-BE49-F238E27FC236}">
              <a16:creationId xmlns:a16="http://schemas.microsoft.com/office/drawing/2014/main" id="{87F62C9A-434F-4DC3-BC97-9284200D6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8650" y="0"/>
          <a:ext cx="10028959" cy="343175"/>
        </a:xfrm>
        <a:prstGeom prst="rect">
          <a:avLst/>
        </a:prstGeom>
      </xdr:spPr>
    </xdr:pic>
    <xdr:clientData/>
  </xdr:twoCellAnchor>
  <xdr:twoCellAnchor editAs="oneCell">
    <xdr:from>
      <xdr:col>1</xdr:col>
      <xdr:colOff>326194</xdr:colOff>
      <xdr:row>1</xdr:row>
      <xdr:rowOff>59446</xdr:rowOff>
    </xdr:from>
    <xdr:to>
      <xdr:col>19</xdr:col>
      <xdr:colOff>71963</xdr:colOff>
      <xdr:row>2</xdr:row>
      <xdr:rowOff>83348</xdr:rowOff>
    </xdr:to>
    <xdr:pic>
      <xdr:nvPicPr>
        <xdr:cNvPr id="5" name="Picture 4">
          <a:extLst>
            <a:ext uri="{FF2B5EF4-FFF2-40B4-BE49-F238E27FC236}">
              <a16:creationId xmlns:a16="http://schemas.microsoft.com/office/drawing/2014/main" id="{00651AC9-798F-428A-A0B5-AC217DC0BF7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41252" y="381831"/>
          <a:ext cx="10018115" cy="4122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LKor\Box\B_WORK\Lunar%20Meteorites%20Website%20-%20working\moon_meteorites_list_alumina.xlsx" TargetMode="External"/><Relationship Id="rId1" Type="http://schemas.openxmlformats.org/officeDocument/2006/relationships/externalLinkPath" Target="moon_meteorites_list_alum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on_meteorites_list_alumina"/>
    </sheetNames>
    <sheetDataSet>
      <sheetData sheetId="0">
        <row r="672">
          <cell r="P672">
            <v>1956581.8720000002</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sites.wustl.edu/meteoritesite/identification/" TargetMode="External"/><Relationship Id="rId13" Type="http://schemas.openxmlformats.org/officeDocument/2006/relationships/hyperlink" Target="https://sites.wustl.edu/meteoritesite/items/how-do-we-know-that-its-a-rock-from-the-moon/" TargetMode="External"/><Relationship Id="rId3" Type="http://schemas.openxmlformats.org/officeDocument/2006/relationships/hyperlink" Target="http://www.lpi.usra.edu/meteor/metbull.php" TargetMode="External"/><Relationship Id="rId7" Type="http://schemas.openxmlformats.org/officeDocument/2006/relationships/hyperlink" Target="https://sites.wustl.edu/meteoritesite/identification/" TargetMode="External"/><Relationship Id="rId12" Type="http://schemas.openxmlformats.org/officeDocument/2006/relationships/hyperlink" Target="https://eeps.wustl.edu/" TargetMode="External"/><Relationship Id="rId17" Type="http://schemas.openxmlformats.org/officeDocument/2006/relationships/drawing" Target="../drawings/drawing1.xml"/><Relationship Id="rId2" Type="http://schemas.openxmlformats.org/officeDocument/2006/relationships/hyperlink" Target="http://www.lpi.usra.edu/meteor/metbull.php" TargetMode="External"/><Relationship Id="rId16" Type="http://schemas.openxmlformats.org/officeDocument/2006/relationships/printerSettings" Target="../printerSettings/printerSettings1.bin"/><Relationship Id="rId1" Type="http://schemas.openxmlformats.org/officeDocument/2006/relationships/hyperlink" Target="http://www.lpi.usra.edu/meteor/metbull.php" TargetMode="External"/><Relationship Id="rId6" Type="http://schemas.openxmlformats.org/officeDocument/2006/relationships/hyperlink" Target="https://wustl.edu/" TargetMode="External"/><Relationship Id="rId11" Type="http://schemas.openxmlformats.org/officeDocument/2006/relationships/hyperlink" Target="http://meteorites.wustl.edu/lunar/moon_meteorites_list_alumina.htm" TargetMode="External"/><Relationship Id="rId5" Type="http://schemas.openxmlformats.org/officeDocument/2006/relationships/hyperlink" Target="http://eps.wustl.edu/people/Randy_Korotev" TargetMode="External"/><Relationship Id="rId15" Type="http://schemas.openxmlformats.org/officeDocument/2006/relationships/hyperlink" Target="http://www.imca.cc/mars/martian-meteorites-list.htm" TargetMode="External"/><Relationship Id="rId10" Type="http://schemas.openxmlformats.org/officeDocument/2006/relationships/hyperlink" Target="https://eps.wustl.edu/people/randy-l-korotev" TargetMode="External"/><Relationship Id="rId4" Type="http://schemas.openxmlformats.org/officeDocument/2006/relationships/hyperlink" Target="http://www-curator.jsc.nasa.gov/antmet/map.cfm" TargetMode="External"/><Relationship Id="rId9" Type="http://schemas.openxmlformats.org/officeDocument/2006/relationships/hyperlink" Target="https://www.lpi.usra.edu/meteor/metbull.php?sea=&amp;sfor=names&amp;ants=&amp;nwas=&amp;falls=&amp;valids=&amp;stype=contains&amp;lrec=500&amp;map=ge&amp;browse=&amp;country=All&amp;srt=name&amp;categ=Lunar+meteorites&amp;mblist=All&amp;rect=&amp;phot=&amp;strewn=&amp;snew=0&amp;pnt=Normal%20table&amp;dr=&amp;page=0" TargetMode="External"/><Relationship Id="rId14" Type="http://schemas.openxmlformats.org/officeDocument/2006/relationships/hyperlink" Target="http://eps.wustl.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Sheet1"/>
  <dimension ref="A1:AJ898"/>
  <sheetViews>
    <sheetView tabSelected="1" zoomScaleNormal="100" workbookViewId="0">
      <pane ySplit="2" topLeftCell="A831" activePane="bottomLeft" state="frozen"/>
      <selection activeCell="C1" sqref="C1"/>
      <selection pane="bottomLeft" activeCell="E815" sqref="E815:H815"/>
    </sheetView>
  </sheetViews>
  <sheetFormatPr defaultColWidth="9.140625" defaultRowHeight="15" x14ac:dyDescent="0.25"/>
  <cols>
    <col min="1" max="1" width="4.7109375" style="35" customWidth="1"/>
    <col min="2" max="2" width="6.7109375" style="153" customWidth="1"/>
    <col min="3" max="3" width="6.7109375" style="51" customWidth="1"/>
    <col min="4" max="4" width="24.7109375" style="35" customWidth="1"/>
    <col min="5" max="7" width="6.7109375" style="35" customWidth="1"/>
    <col min="8" max="8" width="5.7109375" style="35" customWidth="1"/>
    <col min="9" max="13" width="6.7109375" style="35" customWidth="1"/>
    <col min="14" max="14" width="5.7109375" style="35" customWidth="1"/>
    <col min="15" max="16" width="6.7109375" style="35" customWidth="1"/>
    <col min="17" max="17" width="5.7109375" style="35" customWidth="1"/>
    <col min="18" max="18" width="7" style="35" customWidth="1"/>
    <col min="19" max="19" width="24.7109375" style="35" customWidth="1"/>
    <col min="20" max="20" width="5.7109375" style="35" customWidth="1"/>
    <col min="21" max="21" width="7.5703125" style="35" customWidth="1"/>
    <col min="22" max="22" width="3.7109375" style="35" customWidth="1"/>
    <col min="23" max="23" width="27.140625" style="56" customWidth="1"/>
    <col min="24" max="24" width="3.7109375" style="58" customWidth="1"/>
    <col min="25" max="25" width="16.42578125" style="247" customWidth="1"/>
    <col min="26" max="26" width="19.42578125" style="243" bestFit="1" customWidth="1"/>
    <col min="27" max="27" width="14.28515625" style="195" customWidth="1"/>
    <col min="28" max="28" width="12.85546875" style="62" customWidth="1"/>
    <col min="29" max="29" width="11.85546875" style="59" customWidth="1"/>
    <col min="30" max="30" width="13" style="199" customWidth="1"/>
    <col min="31" max="31" width="16.140625" style="199" customWidth="1"/>
    <col min="32" max="32" width="13.5703125" style="199" customWidth="1"/>
    <col min="33" max="33" width="9.140625" customWidth="1"/>
    <col min="36" max="36" width="14.28515625" bestFit="1" customWidth="1"/>
    <col min="37" max="16384" width="9.140625" style="35"/>
  </cols>
  <sheetData>
    <row r="1" spans="1:36" ht="25.5" customHeight="1" x14ac:dyDescent="0.25">
      <c r="A1" s="34">
        <f>MAX(C26:C869)</f>
        <v>774</v>
      </c>
      <c r="B1" s="117"/>
      <c r="C1" s="42"/>
      <c r="D1" s="11"/>
      <c r="E1" s="1"/>
      <c r="F1" s="10"/>
      <c r="G1" s="10"/>
      <c r="H1" s="10"/>
      <c r="I1" s="10"/>
      <c r="J1" s="10"/>
      <c r="K1" s="10"/>
      <c r="L1" s="10"/>
      <c r="M1" s="10"/>
      <c r="N1" s="10"/>
      <c r="O1" s="10"/>
      <c r="P1" s="10"/>
      <c r="Q1" s="10"/>
      <c r="R1" s="10"/>
      <c r="S1" s="10"/>
      <c r="T1" s="10"/>
      <c r="X1" s="57"/>
      <c r="Y1" s="259" t="s">
        <v>1134</v>
      </c>
      <c r="Z1" s="259" t="s">
        <v>1135</v>
      </c>
      <c r="AA1" s="194" t="s">
        <v>1139</v>
      </c>
      <c r="AB1" s="194" t="s">
        <v>1138</v>
      </c>
      <c r="AC1" s="194" t="s">
        <v>1140</v>
      </c>
      <c r="AD1" s="194" t="s">
        <v>1142</v>
      </c>
    </row>
    <row r="2" spans="1:36" ht="30.75" customHeight="1" x14ac:dyDescent="0.25">
      <c r="A2" s="34">
        <f>C871</f>
        <v>774</v>
      </c>
      <c r="B2" s="117"/>
      <c r="C2" s="42"/>
      <c r="D2" s="7"/>
      <c r="E2" s="2"/>
      <c r="F2" s="3"/>
      <c r="G2" s="3"/>
      <c r="H2" s="3"/>
      <c r="I2" s="3"/>
      <c r="J2" s="3"/>
      <c r="K2" s="3"/>
      <c r="L2" s="3"/>
      <c r="M2" s="3"/>
      <c r="N2" s="3"/>
      <c r="O2" s="3"/>
      <c r="P2" s="3"/>
      <c r="Q2" s="3"/>
      <c r="R2" s="3"/>
      <c r="S2" s="3"/>
      <c r="T2" s="3"/>
      <c r="Y2" s="241"/>
      <c r="Z2" s="241"/>
      <c r="AA2" s="192"/>
      <c r="AB2" s="192"/>
      <c r="AC2" s="192"/>
      <c r="AD2" s="192"/>
      <c r="AE2" s="221"/>
    </row>
    <row r="3" spans="1:36" s="36" customFormat="1" ht="24" customHeight="1" thickBot="1" x14ac:dyDescent="0.3">
      <c r="A3" s="45"/>
      <c r="B3" s="163"/>
      <c r="C3" s="164"/>
      <c r="D3" s="165"/>
      <c r="E3" s="166"/>
      <c r="F3" s="167"/>
      <c r="G3" s="167"/>
      <c r="H3" s="167"/>
      <c r="I3" s="167"/>
      <c r="J3" s="167"/>
      <c r="K3" s="167"/>
      <c r="L3" s="167"/>
      <c r="M3" s="167"/>
      <c r="N3" s="167"/>
      <c r="O3" s="167"/>
      <c r="P3" s="167"/>
      <c r="Q3" s="588" t="s">
        <v>48</v>
      </c>
      <c r="R3" s="588"/>
      <c r="S3" s="568" t="str">
        <f>HYPERLINK("https://sites.wustl.edu/meteoritesite/items/lunar-meteorites/","Lunar Meteorites")</f>
        <v>Lunar Meteorites</v>
      </c>
      <c r="T3" s="569"/>
      <c r="W3" s="56"/>
      <c r="X3" s="58"/>
      <c r="Y3" s="242">
        <f t="shared" ref="Y3:AD4" si="0">Y870/$Y870</f>
        <v>1</v>
      </c>
      <c r="Z3" s="242">
        <f t="shared" si="0"/>
        <v>0.83720930232558144</v>
      </c>
      <c r="AA3" s="222">
        <f t="shared" si="0"/>
        <v>0.10077519379844961</v>
      </c>
      <c r="AB3" s="222">
        <f t="shared" si="0"/>
        <v>5.6847545219638244E-2</v>
      </c>
      <c r="AC3" s="222">
        <f t="shared" si="0"/>
        <v>2.5839793281653748E-3</v>
      </c>
      <c r="AD3" s="222">
        <f t="shared" si="0"/>
        <v>2.5839793281653748E-3</v>
      </c>
      <c r="AE3" s="199"/>
      <c r="AF3" s="199" t="s">
        <v>1143</v>
      </c>
      <c r="AG3"/>
      <c r="AH3"/>
      <c r="AI3"/>
      <c r="AJ3"/>
    </row>
    <row r="4" spans="1:36" x14ac:dyDescent="0.25">
      <c r="A4" s="43"/>
      <c r="B4" s="117"/>
      <c r="C4" s="42"/>
      <c r="D4" s="7"/>
      <c r="E4" s="570"/>
      <c r="F4" s="571"/>
      <c r="G4" s="571"/>
      <c r="H4" s="571"/>
      <c r="I4" s="571"/>
      <c r="J4" s="571"/>
      <c r="K4" s="571"/>
      <c r="L4" s="571"/>
      <c r="M4" s="571"/>
      <c r="N4" s="571"/>
      <c r="O4" s="571"/>
      <c r="P4" s="571"/>
      <c r="Q4" s="571"/>
      <c r="R4" s="572"/>
      <c r="S4" s="3"/>
      <c r="T4" s="3"/>
      <c r="Y4" s="242">
        <f t="shared" si="0"/>
        <v>1</v>
      </c>
      <c r="Z4" s="242">
        <f t="shared" si="0"/>
        <v>0.98278891290882842</v>
      </c>
      <c r="AA4" s="222">
        <f t="shared" si="0"/>
        <v>7.0434261899366083E-3</v>
      </c>
      <c r="AB4" s="222">
        <f t="shared" si="0"/>
        <v>2.9180077162648879E-3</v>
      </c>
      <c r="AC4" s="222">
        <f t="shared" si="0"/>
        <v>2.8386238672050828E-5</v>
      </c>
      <c r="AD4" s="222">
        <f t="shared" si="0"/>
        <v>7.198778748574647E-3</v>
      </c>
      <c r="AE4" s="223"/>
      <c r="AF4" s="199" t="s">
        <v>1144</v>
      </c>
    </row>
    <row r="5" spans="1:36" ht="18" customHeight="1" x14ac:dyDescent="0.25">
      <c r="A5" s="45"/>
      <c r="B5" s="118"/>
      <c r="C5" s="26"/>
      <c r="D5" s="46"/>
      <c r="E5" s="573" t="s">
        <v>0</v>
      </c>
      <c r="F5" s="574"/>
      <c r="G5" s="574"/>
      <c r="H5" s="574"/>
      <c r="I5" s="574"/>
      <c r="J5" s="574"/>
      <c r="K5" s="574"/>
      <c r="L5" s="574"/>
      <c r="M5" s="574"/>
      <c r="N5" s="574"/>
      <c r="O5" s="574"/>
      <c r="P5" s="574"/>
      <c r="Q5" s="574"/>
      <c r="R5" s="575"/>
      <c r="S5" s="46"/>
      <c r="T5" s="46"/>
    </row>
    <row r="6" spans="1:36" x14ac:dyDescent="0.25">
      <c r="A6" s="43"/>
      <c r="B6" s="117"/>
      <c r="C6" s="42"/>
      <c r="D6" s="17"/>
      <c r="E6" s="582"/>
      <c r="F6" s="583"/>
      <c r="G6" s="583"/>
      <c r="H6" s="583"/>
      <c r="I6" s="583"/>
      <c r="J6" s="583"/>
      <c r="K6" s="583"/>
      <c r="L6" s="583"/>
      <c r="M6" s="583"/>
      <c r="N6" s="583"/>
      <c r="O6" s="583"/>
      <c r="P6" s="583"/>
      <c r="Q6" s="583"/>
      <c r="R6" s="584"/>
      <c r="S6" s="19"/>
      <c r="T6" s="19"/>
      <c r="Y6" s="243"/>
      <c r="AB6" s="196"/>
      <c r="AC6" s="199"/>
    </row>
    <row r="7" spans="1:36" ht="34.5" x14ac:dyDescent="0.25">
      <c r="A7" s="43"/>
      <c r="B7" s="119"/>
      <c r="C7" s="27"/>
      <c r="D7" s="47"/>
      <c r="E7" s="576" t="s">
        <v>49</v>
      </c>
      <c r="F7" s="577"/>
      <c r="G7" s="577"/>
      <c r="H7" s="577"/>
      <c r="I7" s="577"/>
      <c r="J7" s="577"/>
      <c r="K7" s="577"/>
      <c r="L7" s="577"/>
      <c r="M7" s="577"/>
      <c r="N7" s="577"/>
      <c r="O7" s="577"/>
      <c r="P7" s="577"/>
      <c r="Q7" s="577"/>
      <c r="R7" s="578"/>
      <c r="S7" s="47"/>
      <c r="T7" s="47"/>
      <c r="Y7" s="243"/>
      <c r="AB7" s="196"/>
      <c r="AC7" s="199"/>
    </row>
    <row r="8" spans="1:36" x14ac:dyDescent="0.25">
      <c r="A8" s="43"/>
      <c r="B8" s="117"/>
      <c r="C8" s="42"/>
      <c r="D8" s="18"/>
      <c r="E8" s="579"/>
      <c r="F8" s="580"/>
      <c r="G8" s="580"/>
      <c r="H8" s="580"/>
      <c r="I8" s="580"/>
      <c r="J8" s="580"/>
      <c r="K8" s="580"/>
      <c r="L8" s="580"/>
      <c r="M8" s="580"/>
      <c r="N8" s="580"/>
      <c r="O8" s="580"/>
      <c r="P8" s="580"/>
      <c r="Q8" s="580"/>
      <c r="R8" s="581"/>
      <c r="S8" s="20"/>
      <c r="T8" s="20"/>
      <c r="Y8" s="243"/>
      <c r="AB8" s="196"/>
      <c r="AC8" s="199"/>
    </row>
    <row r="9" spans="1:36" ht="18" customHeight="1" x14ac:dyDescent="0.25">
      <c r="A9" s="43"/>
      <c r="B9" s="118"/>
      <c r="C9" s="26"/>
      <c r="D9" s="46"/>
      <c r="E9" s="573" t="s">
        <v>1</v>
      </c>
      <c r="F9" s="574"/>
      <c r="G9" s="574"/>
      <c r="H9" s="574"/>
      <c r="I9" s="574"/>
      <c r="J9" s="574"/>
      <c r="K9" s="574"/>
      <c r="L9" s="574"/>
      <c r="M9" s="574"/>
      <c r="N9" s="574"/>
      <c r="O9" s="574"/>
      <c r="P9" s="574"/>
      <c r="Q9" s="574"/>
      <c r="R9" s="575"/>
      <c r="S9" s="46"/>
      <c r="T9" s="46"/>
      <c r="Y9" s="243"/>
      <c r="AB9" s="196"/>
      <c r="AC9" s="199"/>
    </row>
    <row r="10" spans="1:36" ht="18.75" thickBot="1" x14ac:dyDescent="0.3">
      <c r="A10" s="43"/>
      <c r="B10" s="120"/>
      <c r="C10" s="28"/>
      <c r="D10" s="48"/>
      <c r="E10" s="585"/>
      <c r="F10" s="586"/>
      <c r="G10" s="586"/>
      <c r="H10" s="586"/>
      <c r="I10" s="586"/>
      <c r="J10" s="586"/>
      <c r="K10" s="586"/>
      <c r="L10" s="586"/>
      <c r="M10" s="586"/>
      <c r="N10" s="586"/>
      <c r="O10" s="586"/>
      <c r="P10" s="586"/>
      <c r="Q10" s="586"/>
      <c r="R10" s="587"/>
      <c r="S10" s="48"/>
      <c r="T10" s="48"/>
      <c r="Y10" s="243"/>
      <c r="AB10" s="196"/>
      <c r="AC10" s="199"/>
    </row>
    <row r="11" spans="1:36" ht="24" customHeight="1" x14ac:dyDescent="0.25">
      <c r="A11" s="45"/>
      <c r="B11" s="589" t="s">
        <v>1190</v>
      </c>
      <c r="C11" s="589"/>
      <c r="D11" s="589"/>
      <c r="E11" s="589"/>
      <c r="F11" s="589"/>
      <c r="G11" s="589"/>
      <c r="H11" s="589"/>
      <c r="I11" s="589"/>
      <c r="J11" s="589"/>
      <c r="K11" s="589"/>
      <c r="L11" s="589"/>
      <c r="M11" s="589"/>
      <c r="N11" s="589"/>
      <c r="O11" s="589"/>
      <c r="P11" s="589"/>
      <c r="Q11" s="589"/>
      <c r="R11" s="589"/>
      <c r="S11" s="589"/>
      <c r="T11" s="589"/>
      <c r="Y11" s="243"/>
      <c r="AB11" s="196"/>
      <c r="AC11" s="199"/>
    </row>
    <row r="12" spans="1:36" x14ac:dyDescent="0.25">
      <c r="A12" s="43"/>
      <c r="B12" s="117"/>
      <c r="C12" s="42"/>
      <c r="D12" s="7"/>
      <c r="E12" s="2"/>
      <c r="F12" s="3"/>
      <c r="G12" s="3"/>
      <c r="H12" s="3"/>
      <c r="I12" s="3"/>
      <c r="J12" s="3"/>
      <c r="K12" s="3"/>
      <c r="L12" s="3"/>
      <c r="M12" s="3"/>
      <c r="N12" s="3"/>
      <c r="O12" s="3"/>
      <c r="P12" s="3"/>
      <c r="Q12" s="3"/>
      <c r="R12" s="3"/>
      <c r="S12" s="3"/>
      <c r="T12" s="3"/>
      <c r="Y12" s="243"/>
      <c r="AB12" s="196"/>
      <c r="AC12" s="199"/>
    </row>
    <row r="13" spans="1:36" ht="18.75" x14ac:dyDescent="0.25">
      <c r="A13" s="45"/>
      <c r="B13" s="590" t="s">
        <v>2</v>
      </c>
      <c r="C13" s="590"/>
      <c r="D13" s="590"/>
      <c r="E13" s="590"/>
      <c r="F13" s="590"/>
      <c r="G13" s="590"/>
      <c r="H13" s="590"/>
      <c r="I13" s="590"/>
      <c r="J13" s="590"/>
      <c r="K13" s="590"/>
      <c r="L13" s="590"/>
      <c r="M13" s="590"/>
      <c r="N13" s="590"/>
      <c r="O13" s="590"/>
      <c r="P13" s="590"/>
      <c r="Q13" s="590"/>
      <c r="R13" s="590"/>
      <c r="S13" s="590"/>
      <c r="T13" s="590"/>
      <c r="Y13" s="243"/>
      <c r="AB13" s="196"/>
      <c r="AC13" s="199"/>
    </row>
    <row r="14" spans="1:36" ht="18" x14ac:dyDescent="0.25">
      <c r="A14" s="43"/>
      <c r="B14" s="591" t="s">
        <v>50</v>
      </c>
      <c r="C14" s="591"/>
      <c r="D14" s="591"/>
      <c r="E14" s="591"/>
      <c r="F14" s="591"/>
      <c r="G14" s="591"/>
      <c r="H14" s="591"/>
      <c r="I14" s="591"/>
      <c r="J14" s="591"/>
      <c r="K14" s="591"/>
      <c r="L14" s="591"/>
      <c r="M14" s="591"/>
      <c r="N14" s="591"/>
      <c r="O14" s="591"/>
      <c r="P14" s="591"/>
      <c r="Q14" s="591"/>
      <c r="R14" s="591"/>
      <c r="S14" s="591"/>
      <c r="T14" s="591"/>
      <c r="Y14" s="243"/>
      <c r="AB14" s="196"/>
      <c r="AC14" s="199"/>
    </row>
    <row r="15" spans="1:36" x14ac:dyDescent="0.25">
      <c r="B15" s="121"/>
      <c r="C15" s="49"/>
      <c r="D15" s="9"/>
      <c r="E15" s="50"/>
      <c r="F15" s="6"/>
      <c r="G15" s="6"/>
      <c r="H15" s="6"/>
      <c r="I15" s="6"/>
      <c r="J15" s="6"/>
      <c r="K15" s="6"/>
      <c r="L15" s="6"/>
      <c r="M15" s="6"/>
      <c r="N15" s="6"/>
      <c r="O15" s="6"/>
      <c r="P15" s="6"/>
      <c r="Q15" s="6"/>
      <c r="R15" s="6"/>
      <c r="S15" s="6"/>
      <c r="T15" s="6"/>
      <c r="Y15" s="243"/>
      <c r="AB15" s="196"/>
      <c r="AC15" s="199"/>
    </row>
    <row r="16" spans="1:36" ht="24" customHeight="1" x14ac:dyDescent="0.25">
      <c r="B16" s="122"/>
      <c r="C16" s="29"/>
      <c r="D16" s="8"/>
      <c r="E16" s="605" t="s">
        <v>3</v>
      </c>
      <c r="F16" s="605"/>
      <c r="G16" s="605"/>
      <c r="H16" s="605"/>
      <c r="I16" s="605"/>
      <c r="J16" s="605"/>
      <c r="K16" s="605"/>
      <c r="L16" s="605"/>
      <c r="M16" s="605"/>
      <c r="N16" s="605"/>
      <c r="O16" s="605"/>
      <c r="P16" s="605"/>
      <c r="Q16" s="605"/>
      <c r="R16" s="605"/>
      <c r="S16" s="4"/>
      <c r="T16" s="4"/>
      <c r="W16" s="56" t="s">
        <v>139</v>
      </c>
      <c r="Y16" s="243"/>
      <c r="AB16" s="196"/>
      <c r="AC16" s="199"/>
    </row>
    <row r="17" spans="1:29" ht="20.100000000000001" customHeight="1" x14ac:dyDescent="0.25">
      <c r="B17" s="123"/>
      <c r="C17" s="154"/>
      <c r="D17" s="9"/>
      <c r="E17" s="14" t="s">
        <v>51</v>
      </c>
      <c r="F17" s="13" t="s">
        <v>1447</v>
      </c>
      <c r="G17" s="13" t="s">
        <v>1359</v>
      </c>
      <c r="H17" s="13" t="s">
        <v>1659</v>
      </c>
      <c r="I17" s="13" t="s">
        <v>1556</v>
      </c>
      <c r="J17" s="13" t="s">
        <v>1499</v>
      </c>
      <c r="K17" s="12" t="s">
        <v>52</v>
      </c>
      <c r="L17" s="13" t="s">
        <v>105</v>
      </c>
      <c r="M17" s="14" t="s">
        <v>654</v>
      </c>
      <c r="N17" s="13" t="s">
        <v>1689</v>
      </c>
      <c r="O17" s="13" t="s">
        <v>1794</v>
      </c>
      <c r="P17" s="13" t="s">
        <v>1446</v>
      </c>
      <c r="Q17" s="13" t="s">
        <v>579</v>
      </c>
      <c r="R17" s="13" t="s">
        <v>1822</v>
      </c>
      <c r="S17" s="6"/>
      <c r="T17" s="6"/>
      <c r="Y17" s="243"/>
      <c r="AB17" s="196"/>
      <c r="AC17" s="199"/>
    </row>
    <row r="18" spans="1:29" ht="20.100000000000001" customHeight="1" x14ac:dyDescent="0.25">
      <c r="B18" s="123"/>
      <c r="C18" s="154"/>
      <c r="D18" s="9"/>
      <c r="E18" s="12" t="s">
        <v>53</v>
      </c>
      <c r="F18" s="13" t="s">
        <v>1299</v>
      </c>
      <c r="G18" s="13" t="s">
        <v>1540</v>
      </c>
      <c r="H18" s="13" t="s">
        <v>1625</v>
      </c>
      <c r="I18" s="239" t="s">
        <v>1394</v>
      </c>
      <c r="J18" s="13" t="s">
        <v>1222</v>
      </c>
      <c r="K18" s="13" t="s">
        <v>54</v>
      </c>
      <c r="L18" s="13" t="s">
        <v>1671</v>
      </c>
      <c r="M18" s="12" t="s">
        <v>55</v>
      </c>
      <c r="N18" s="14" t="s">
        <v>56</v>
      </c>
      <c r="O18" s="12" t="s">
        <v>671</v>
      </c>
      <c r="P18" s="12" t="s">
        <v>57</v>
      </c>
      <c r="Q18" s="13" t="s">
        <v>1840</v>
      </c>
      <c r="R18" s="13" t="s">
        <v>1334</v>
      </c>
      <c r="S18" s="6"/>
      <c r="T18" s="6"/>
      <c r="Y18" s="243"/>
      <c r="AB18" s="196"/>
      <c r="AC18" s="199"/>
    </row>
    <row r="19" spans="1:29" ht="20.100000000000001" customHeight="1" x14ac:dyDescent="0.25">
      <c r="B19" s="123"/>
      <c r="C19" s="154"/>
      <c r="D19" s="9"/>
      <c r="E19" s="13" t="s">
        <v>1320</v>
      </c>
      <c r="F19" s="13" t="s">
        <v>1520</v>
      </c>
      <c r="G19" s="13" t="s">
        <v>577</v>
      </c>
      <c r="H19" s="13" t="s">
        <v>1109</v>
      </c>
      <c r="I19" s="13" t="s">
        <v>1110</v>
      </c>
      <c r="J19" s="13" t="s">
        <v>1111</v>
      </c>
      <c r="K19" s="13" t="s">
        <v>1112</v>
      </c>
      <c r="L19" s="12" t="s">
        <v>58</v>
      </c>
      <c r="M19" s="13" t="s">
        <v>1402</v>
      </c>
      <c r="N19" s="12" t="s">
        <v>1393</v>
      </c>
      <c r="O19" s="13" t="s">
        <v>1797</v>
      </c>
      <c r="P19" s="13" t="s">
        <v>1168</v>
      </c>
      <c r="Q19" s="13" t="s">
        <v>1670</v>
      </c>
      <c r="R19" s="13" t="s">
        <v>1403</v>
      </c>
      <c r="S19" s="6"/>
      <c r="T19" s="6"/>
      <c r="Y19" s="243"/>
      <c r="AB19" s="196"/>
      <c r="AC19" s="199"/>
    </row>
    <row r="20" spans="1:29" ht="20.100000000000001" customHeight="1" x14ac:dyDescent="0.25">
      <c r="B20" s="123"/>
      <c r="C20" s="154"/>
      <c r="D20" s="9"/>
      <c r="E20" s="13" t="s">
        <v>1208</v>
      </c>
      <c r="F20" s="13" t="s">
        <v>1330</v>
      </c>
      <c r="G20" s="14" t="s">
        <v>106</v>
      </c>
      <c r="H20" s="356" t="s">
        <v>59</v>
      </c>
      <c r="I20" s="13" t="s">
        <v>1233</v>
      </c>
      <c r="J20" s="13" t="s">
        <v>438</v>
      </c>
      <c r="K20" s="13" t="s">
        <v>637</v>
      </c>
      <c r="L20" s="12" t="s">
        <v>60</v>
      </c>
      <c r="M20" s="12" t="s">
        <v>61</v>
      </c>
      <c r="N20" s="239" t="s">
        <v>103</v>
      </c>
      <c r="O20" s="12" t="s">
        <v>62</v>
      </c>
      <c r="P20" s="12" t="s">
        <v>63</v>
      </c>
      <c r="Q20" s="12" t="s">
        <v>107</v>
      </c>
      <c r="R20" s="13" t="s">
        <v>64</v>
      </c>
      <c r="S20" s="6"/>
      <c r="T20" s="6"/>
      <c r="Y20" s="243"/>
      <c r="AB20" s="196"/>
      <c r="AC20" s="199"/>
    </row>
    <row r="21" spans="1:29" ht="20.100000000000001" customHeight="1" x14ac:dyDescent="0.25">
      <c r="B21" s="123"/>
      <c r="C21" s="154"/>
      <c r="D21" s="9"/>
      <c r="E21" s="13" t="s">
        <v>65</v>
      </c>
      <c r="F21" s="13" t="s">
        <v>495</v>
      </c>
      <c r="G21" s="13" t="s">
        <v>1717</v>
      </c>
      <c r="H21" s="13" t="s">
        <v>1178</v>
      </c>
      <c r="I21" s="294" t="s">
        <v>1593</v>
      </c>
      <c r="J21" s="12" t="s">
        <v>66</v>
      </c>
      <c r="K21" s="12" t="s">
        <v>67</v>
      </c>
      <c r="L21" s="13" t="s">
        <v>1292</v>
      </c>
      <c r="M21" s="13" t="s">
        <v>507</v>
      </c>
      <c r="N21" s="13" t="s">
        <v>1158</v>
      </c>
      <c r="O21" s="13" t="s">
        <v>1310</v>
      </c>
      <c r="P21" s="13" t="s">
        <v>1703</v>
      </c>
      <c r="Q21" s="14" t="s">
        <v>68</v>
      </c>
      <c r="R21" s="14" t="s">
        <v>69</v>
      </c>
      <c r="S21" s="6"/>
      <c r="T21" s="6"/>
      <c r="Y21" s="243"/>
      <c r="AB21" s="196"/>
      <c r="AC21" s="199"/>
    </row>
    <row r="22" spans="1:29" ht="20.100000000000001" customHeight="1" x14ac:dyDescent="0.25">
      <c r="B22" s="123"/>
      <c r="C22" s="154"/>
      <c r="D22" s="9"/>
      <c r="E22" s="13" t="s">
        <v>692</v>
      </c>
      <c r="F22" s="13" t="s">
        <v>691</v>
      </c>
      <c r="G22" s="13" t="s">
        <v>535</v>
      </c>
      <c r="H22" s="13" t="s">
        <v>1056</v>
      </c>
      <c r="I22" s="13" t="s">
        <v>506</v>
      </c>
      <c r="J22" s="13" t="s">
        <v>1319</v>
      </c>
      <c r="K22" s="13" t="s">
        <v>1752</v>
      </c>
      <c r="L22" s="13" t="s">
        <v>1798</v>
      </c>
      <c r="M22" s="13" t="s">
        <v>1497</v>
      </c>
      <c r="N22" s="13" t="s">
        <v>1006</v>
      </c>
      <c r="O22" s="13" t="s">
        <v>1329</v>
      </c>
      <c r="P22" s="12" t="s">
        <v>108</v>
      </c>
      <c r="Q22" s="12" t="s">
        <v>109</v>
      </c>
      <c r="R22" s="238"/>
      <c r="S22" s="6"/>
      <c r="T22" s="6"/>
      <c r="Y22" s="243"/>
      <c r="AB22" s="196"/>
      <c r="AC22" s="199"/>
    </row>
    <row r="23" spans="1:29" x14ac:dyDescent="0.25">
      <c r="B23" s="124"/>
      <c r="C23" s="21"/>
      <c r="D23" s="16"/>
      <c r="E23" s="50"/>
      <c r="F23" s="50"/>
      <c r="G23" s="50"/>
      <c r="H23" s="50"/>
      <c r="I23" s="50"/>
      <c r="J23" s="50"/>
      <c r="K23" s="50"/>
      <c r="L23" s="50"/>
      <c r="M23" s="50"/>
      <c r="N23" s="50"/>
      <c r="O23" s="15"/>
      <c r="P23" s="15"/>
      <c r="Q23" s="15"/>
      <c r="R23" s="15"/>
      <c r="S23" s="15"/>
      <c r="T23" s="15"/>
      <c r="Y23" s="243"/>
      <c r="AB23" s="196"/>
      <c r="AC23" s="199"/>
    </row>
    <row r="24" spans="1:29" ht="36" customHeight="1" x14ac:dyDescent="0.25">
      <c r="B24" s="606" t="s">
        <v>1722</v>
      </c>
      <c r="C24" s="606"/>
      <c r="D24" s="606"/>
      <c r="E24" s="606"/>
      <c r="F24" s="606"/>
      <c r="G24" s="606"/>
      <c r="H24" s="606"/>
      <c r="I24" s="606"/>
      <c r="J24" s="606"/>
      <c r="K24" s="606"/>
      <c r="L24" s="606"/>
      <c r="M24" s="606"/>
      <c r="N24" s="606"/>
      <c r="O24" s="606"/>
      <c r="P24" s="606"/>
      <c r="Q24" s="606"/>
      <c r="R24" s="606"/>
      <c r="S24" s="606"/>
      <c r="T24" s="606"/>
      <c r="W24" s="59"/>
      <c r="X24" s="60"/>
      <c r="Y24" s="243"/>
      <c r="AB24" s="196"/>
      <c r="AC24" s="199"/>
    </row>
    <row r="25" spans="1:29" ht="36" customHeight="1" x14ac:dyDescent="0.25">
      <c r="A25" s="36"/>
      <c r="B25" s="125" t="s">
        <v>402</v>
      </c>
      <c r="C25" s="30" t="s">
        <v>1034</v>
      </c>
      <c r="D25" s="33" t="s">
        <v>915</v>
      </c>
      <c r="E25" s="420" t="s">
        <v>916</v>
      </c>
      <c r="F25" s="421"/>
      <c r="G25" s="421"/>
      <c r="H25" s="422"/>
      <c r="I25" s="423" t="s">
        <v>917</v>
      </c>
      <c r="J25" s="424"/>
      <c r="K25" s="424"/>
      <c r="L25" s="425"/>
      <c r="M25" s="430" t="s">
        <v>918</v>
      </c>
      <c r="N25" s="431"/>
      <c r="O25" s="426" t="s">
        <v>919</v>
      </c>
      <c r="P25" s="427"/>
      <c r="Q25" s="428"/>
      <c r="R25" s="423" t="s">
        <v>920</v>
      </c>
      <c r="S25" s="425"/>
      <c r="T25" s="5" t="s">
        <v>5</v>
      </c>
      <c r="Y25" s="243"/>
      <c r="AB25" s="196"/>
      <c r="AC25" s="199"/>
    </row>
    <row r="26" spans="1:29" ht="20.100000000000001" customHeight="1" x14ac:dyDescent="0.25">
      <c r="A26" s="36"/>
      <c r="B26" s="126">
        <v>1</v>
      </c>
      <c r="C26" s="67">
        <v>178</v>
      </c>
      <c r="D26" s="203" t="str">
        <f>HYPERLINK("https://sites.wustl.edu/meteoritesite/items/lm_aau_012/",W26)</f>
        <v>Abar al' Uj 012</v>
      </c>
      <c r="E26" s="610"/>
      <c r="F26" s="611"/>
      <c r="G26" s="611"/>
      <c r="H26" s="612"/>
      <c r="I26" s="592"/>
      <c r="J26" s="593"/>
      <c r="K26" s="593"/>
      <c r="L26" s="594"/>
      <c r="M26" s="595" t="s">
        <v>110</v>
      </c>
      <c r="N26" s="596"/>
      <c r="O26" s="597" t="s">
        <v>702</v>
      </c>
      <c r="P26" s="598"/>
      <c r="Q26" s="599"/>
      <c r="R26" s="600" t="s">
        <v>6</v>
      </c>
      <c r="S26" s="601"/>
      <c r="T26" s="296">
        <v>1</v>
      </c>
      <c r="W26" s="203" t="s">
        <v>161</v>
      </c>
      <c r="X26" s="61"/>
      <c r="Y26" s="243">
        <v>122.78</v>
      </c>
      <c r="AA26" s="195">
        <f>Y26</f>
        <v>122.78</v>
      </c>
      <c r="AB26" s="196"/>
      <c r="AC26" s="199"/>
    </row>
    <row r="27" spans="1:29" ht="20.100000000000001" customHeight="1" x14ac:dyDescent="0.25">
      <c r="A27" s="36"/>
      <c r="B27" s="131">
        <f t="shared" ref="B27:B37" si="1">B26+1</f>
        <v>2</v>
      </c>
      <c r="C27" s="70">
        <v>606</v>
      </c>
      <c r="D27" s="101" t="str">
        <f>HYPERLINK("https://sites.wustl.edu/meteoritesite/items/lm_adrar_012/",W27)</f>
        <v>Adrar 012</v>
      </c>
      <c r="E27" s="384" t="s">
        <v>532</v>
      </c>
      <c r="F27" s="385"/>
      <c r="G27" s="385"/>
      <c r="H27" s="386"/>
      <c r="I27" s="387"/>
      <c r="J27" s="388"/>
      <c r="K27" s="388"/>
      <c r="L27" s="389"/>
      <c r="M27" s="395" t="s">
        <v>1449</v>
      </c>
      <c r="N27" s="607"/>
      <c r="O27" s="392" t="s">
        <v>1380</v>
      </c>
      <c r="P27" s="393"/>
      <c r="Q27" s="394"/>
      <c r="R27" s="384" t="s">
        <v>6</v>
      </c>
      <c r="S27" s="386"/>
      <c r="T27" s="297">
        <v>0</v>
      </c>
      <c r="W27" s="101" t="s">
        <v>1448</v>
      </c>
      <c r="X27" s="61"/>
      <c r="Y27" s="267">
        <v>941.3</v>
      </c>
      <c r="Z27" s="267">
        <f t="shared" ref="Z27:Z36" si="2">Y27</f>
        <v>941.3</v>
      </c>
      <c r="AB27" s="196"/>
      <c r="AC27" s="199"/>
    </row>
    <row r="28" spans="1:29" ht="20.100000000000001" customHeight="1" x14ac:dyDescent="0.25">
      <c r="A28" s="36"/>
      <c r="B28" s="131">
        <f t="shared" si="1"/>
        <v>3</v>
      </c>
      <c r="C28" s="70">
        <v>660</v>
      </c>
      <c r="D28" s="101" t="str">
        <f>HYPERLINK("https://sites.wustl.edu/meteoritesite/items/lm_adrar_013/",W28)</f>
        <v>Adrar 013</v>
      </c>
      <c r="E28" s="384" t="s">
        <v>1728</v>
      </c>
      <c r="F28" s="385"/>
      <c r="G28" s="385"/>
      <c r="H28" s="386"/>
      <c r="I28" s="387"/>
      <c r="J28" s="388"/>
      <c r="K28" s="388"/>
      <c r="L28" s="389"/>
      <c r="M28" s="395" t="s">
        <v>1595</v>
      </c>
      <c r="N28" s="607"/>
      <c r="O28" s="392" t="s">
        <v>1495</v>
      </c>
      <c r="P28" s="393"/>
      <c r="Q28" s="394"/>
      <c r="R28" s="384" t="s">
        <v>6</v>
      </c>
      <c r="S28" s="386"/>
      <c r="T28" s="297">
        <v>0</v>
      </c>
      <c r="W28" s="101" t="s">
        <v>1594</v>
      </c>
      <c r="X28" s="61"/>
      <c r="Y28" s="267">
        <v>3150</v>
      </c>
      <c r="Z28" s="260">
        <f t="shared" si="2"/>
        <v>3150</v>
      </c>
      <c r="AB28" s="196"/>
      <c r="AC28" s="199"/>
    </row>
    <row r="29" spans="1:29" ht="20.100000000000001" customHeight="1" x14ac:dyDescent="0.25">
      <c r="A29" s="36"/>
      <c r="B29" s="131">
        <f t="shared" si="1"/>
        <v>4</v>
      </c>
      <c r="C29" s="70">
        <v>658</v>
      </c>
      <c r="D29" s="101" t="str">
        <f>HYPERLINK("https://sites.wustl.edu/meteoritesite/items/lm_adrar_013/",W29)</f>
        <v>Adrar 014</v>
      </c>
      <c r="E29" s="384" t="s">
        <v>1729</v>
      </c>
      <c r="F29" s="385"/>
      <c r="G29" s="385"/>
      <c r="H29" s="386"/>
      <c r="I29" s="387"/>
      <c r="J29" s="388"/>
      <c r="K29" s="388"/>
      <c r="L29" s="389"/>
      <c r="M29" s="395" t="s">
        <v>1571</v>
      </c>
      <c r="N29" s="607"/>
      <c r="O29" s="392" t="s">
        <v>1534</v>
      </c>
      <c r="P29" s="393"/>
      <c r="Q29" s="394"/>
      <c r="R29" s="384" t="s">
        <v>6</v>
      </c>
      <c r="S29" s="386"/>
      <c r="T29" s="297">
        <v>0</v>
      </c>
      <c r="W29" s="101" t="s">
        <v>1570</v>
      </c>
      <c r="X29" s="61"/>
      <c r="Y29" s="260">
        <v>212</v>
      </c>
      <c r="Z29" s="260">
        <f t="shared" si="2"/>
        <v>212</v>
      </c>
      <c r="AB29" s="196"/>
      <c r="AC29" s="199"/>
    </row>
    <row r="30" spans="1:29" ht="20.100000000000001" customHeight="1" x14ac:dyDescent="0.25">
      <c r="A30" s="36"/>
      <c r="B30" s="131">
        <f t="shared" si="1"/>
        <v>5</v>
      </c>
      <c r="C30" s="70">
        <v>765</v>
      </c>
      <c r="D30" s="101" t="str">
        <f>HYPERLINK("https://sites.wustl.edu/meteoritesite/items/lm_adrar_017/",W30)</f>
        <v>Adrar 017</v>
      </c>
      <c r="E30" s="384" t="s">
        <v>532</v>
      </c>
      <c r="F30" s="385"/>
      <c r="G30" s="385"/>
      <c r="H30" s="386"/>
      <c r="I30" s="387"/>
      <c r="J30" s="388"/>
      <c r="K30" s="388"/>
      <c r="L30" s="389"/>
      <c r="M30" s="390">
        <v>18200</v>
      </c>
      <c r="N30" s="391"/>
      <c r="O30" s="392" t="s">
        <v>1843</v>
      </c>
      <c r="P30" s="393"/>
      <c r="Q30" s="394"/>
      <c r="R30" s="384" t="s">
        <v>1554</v>
      </c>
      <c r="S30" s="386"/>
      <c r="T30" s="297">
        <v>0</v>
      </c>
      <c r="W30" s="101" t="s">
        <v>1842</v>
      </c>
      <c r="X30" s="61"/>
      <c r="Y30" s="260">
        <v>18200</v>
      </c>
      <c r="Z30" s="260">
        <f t="shared" ref="Z30" si="3">Y30</f>
        <v>18200</v>
      </c>
      <c r="AB30" s="196"/>
      <c r="AC30" s="199"/>
    </row>
    <row r="31" spans="1:29" ht="20.100000000000001" customHeight="1" x14ac:dyDescent="0.25">
      <c r="A31" s="36"/>
      <c r="B31" s="131">
        <f>B30+1</f>
        <v>6</v>
      </c>
      <c r="C31" s="70">
        <v>568</v>
      </c>
      <c r="D31" s="101" t="str">
        <f>HYPERLINK("https://sites.wustl.edu/meteoritesite/items/lm_aef_001/",W31)</f>
        <v>Agator el Feroua 001</v>
      </c>
      <c r="E31" s="384" t="s">
        <v>532</v>
      </c>
      <c r="F31" s="385"/>
      <c r="G31" s="385"/>
      <c r="H31" s="386"/>
      <c r="I31" s="387"/>
      <c r="J31" s="388"/>
      <c r="K31" s="388"/>
      <c r="L31" s="389"/>
      <c r="M31" s="608">
        <v>2187</v>
      </c>
      <c r="N31" s="609"/>
      <c r="O31" s="392" t="s">
        <v>1361</v>
      </c>
      <c r="P31" s="393"/>
      <c r="Q31" s="394"/>
      <c r="R31" s="384" t="s">
        <v>1145</v>
      </c>
      <c r="S31" s="386"/>
      <c r="T31" s="297">
        <v>0</v>
      </c>
      <c r="W31" s="101" t="s">
        <v>1360</v>
      </c>
      <c r="X31" s="61"/>
      <c r="Y31" s="260">
        <v>2187</v>
      </c>
      <c r="Z31" s="260">
        <f t="shared" si="2"/>
        <v>2187</v>
      </c>
      <c r="AB31" s="196"/>
      <c r="AC31" s="199"/>
    </row>
    <row r="32" spans="1:29" ht="20.100000000000001" customHeight="1" x14ac:dyDescent="0.25">
      <c r="A32" s="36"/>
      <c r="B32" s="131">
        <f t="shared" si="1"/>
        <v>7</v>
      </c>
      <c r="C32" s="70">
        <v>686</v>
      </c>
      <c r="D32" s="101" t="str">
        <f>HYPERLINK("https://sites.wustl.edu/meteoritesite/items/lm_agueltmahba_001/",W32)</f>
        <v xml:space="preserve">Aguelt Mahba 001 </v>
      </c>
      <c r="E32" s="384" t="s">
        <v>1697</v>
      </c>
      <c r="F32" s="385"/>
      <c r="G32" s="385"/>
      <c r="H32" s="386"/>
      <c r="I32" s="387"/>
      <c r="J32" s="388"/>
      <c r="K32" s="388"/>
      <c r="L32" s="389"/>
      <c r="M32" s="608">
        <v>4000</v>
      </c>
      <c r="N32" s="609"/>
      <c r="O32" s="392" t="s">
        <v>1534</v>
      </c>
      <c r="P32" s="393"/>
      <c r="Q32" s="394"/>
      <c r="R32" s="384" t="s">
        <v>1554</v>
      </c>
      <c r="S32" s="386"/>
      <c r="T32" s="297">
        <v>0</v>
      </c>
      <c r="W32" s="101" t="s">
        <v>1660</v>
      </c>
      <c r="X32" s="61"/>
      <c r="Y32" s="260">
        <v>4000</v>
      </c>
      <c r="Z32" s="260">
        <f t="shared" ref="Z32:Z33" si="4">Y32</f>
        <v>4000</v>
      </c>
      <c r="AB32" s="196"/>
      <c r="AC32" s="199"/>
    </row>
    <row r="33" spans="1:29" ht="20.100000000000001" customHeight="1" x14ac:dyDescent="0.25">
      <c r="A33" s="36"/>
      <c r="B33" s="131">
        <f t="shared" si="1"/>
        <v>8</v>
      </c>
      <c r="C33" s="70">
        <v>696</v>
      </c>
      <c r="D33" s="101" t="str">
        <f>HYPERLINK("https://sites.wustl.edu/meteoritesite/items/lm_agueltmahba_001/",W33)</f>
        <v>Aguelt Mahba 002</v>
      </c>
      <c r="E33" s="384" t="s">
        <v>1698</v>
      </c>
      <c r="F33" s="385"/>
      <c r="G33" s="385"/>
      <c r="H33" s="386"/>
      <c r="I33" s="298"/>
      <c r="J33" s="299"/>
      <c r="K33" s="299"/>
      <c r="L33" s="300"/>
      <c r="M33" s="608" t="s">
        <v>1696</v>
      </c>
      <c r="N33" s="609"/>
      <c r="O33" s="392" t="s">
        <v>1534</v>
      </c>
      <c r="P33" s="393"/>
      <c r="Q33" s="394"/>
      <c r="R33" s="384" t="s">
        <v>1695</v>
      </c>
      <c r="S33" s="386"/>
      <c r="T33" s="297">
        <v>0</v>
      </c>
      <c r="W33" s="101" t="s">
        <v>1694</v>
      </c>
      <c r="X33" s="61"/>
      <c r="Y33" s="260">
        <v>10500</v>
      </c>
      <c r="Z33" s="260">
        <f t="shared" si="4"/>
        <v>10500</v>
      </c>
      <c r="AB33" s="196"/>
      <c r="AC33" s="199"/>
    </row>
    <row r="34" spans="1:29" ht="20.100000000000001" customHeight="1" x14ac:dyDescent="0.25">
      <c r="A34" s="36"/>
      <c r="B34" s="131">
        <f>B33+1</f>
        <v>9</v>
      </c>
      <c r="C34" s="70">
        <v>650</v>
      </c>
      <c r="D34" s="101" t="str">
        <f>HYPERLINK("https://sites.wustl.edu/meteoritesite/items/lm_ajdabiya_001/",W34)</f>
        <v>Ajdabiya 001</v>
      </c>
      <c r="E34" s="384" t="s">
        <v>532</v>
      </c>
      <c r="F34" s="385"/>
      <c r="G34" s="385"/>
      <c r="H34" s="386"/>
      <c r="I34" s="298"/>
      <c r="J34" s="299"/>
      <c r="K34" s="299"/>
      <c r="L34" s="300"/>
      <c r="M34" s="390" t="s">
        <v>1558</v>
      </c>
      <c r="N34" s="623"/>
      <c r="O34" s="392" t="s">
        <v>1130</v>
      </c>
      <c r="P34" s="393"/>
      <c r="Q34" s="394"/>
      <c r="R34" s="384" t="s">
        <v>6</v>
      </c>
      <c r="S34" s="386"/>
      <c r="T34" s="297">
        <v>0</v>
      </c>
      <c r="W34" s="101" t="s">
        <v>1557</v>
      </c>
      <c r="X34" s="61"/>
      <c r="Y34" s="260">
        <v>28800</v>
      </c>
      <c r="Z34" s="260">
        <f t="shared" si="2"/>
        <v>28800</v>
      </c>
      <c r="AB34" s="196"/>
      <c r="AC34" s="199"/>
    </row>
    <row r="35" spans="1:29" ht="20.100000000000001" customHeight="1" x14ac:dyDescent="0.25">
      <c r="A35" s="36"/>
      <c r="B35" s="131">
        <f>B34+1</f>
        <v>10</v>
      </c>
      <c r="C35" s="70">
        <v>744</v>
      </c>
      <c r="D35" s="101" t="str">
        <f>HYPERLINK("https://sites.wustl.edu/meteoritesite/items/lm_ajdabiya_001/",W35)</f>
        <v>Ajdabiya 007</v>
      </c>
      <c r="E35" s="384" t="s">
        <v>532</v>
      </c>
      <c r="F35" s="385"/>
      <c r="G35" s="385"/>
      <c r="H35" s="386"/>
      <c r="I35" s="298"/>
      <c r="J35" s="299"/>
      <c r="K35" s="299"/>
      <c r="L35" s="300"/>
      <c r="M35" s="390">
        <v>330</v>
      </c>
      <c r="N35" s="623"/>
      <c r="O35" s="392" t="s">
        <v>1719</v>
      </c>
      <c r="P35" s="393"/>
      <c r="Q35" s="394"/>
      <c r="R35" s="384" t="s">
        <v>1259</v>
      </c>
      <c r="S35" s="386"/>
      <c r="T35" s="297">
        <v>0</v>
      </c>
      <c r="W35" s="101" t="s">
        <v>1792</v>
      </c>
      <c r="X35" s="61"/>
      <c r="Y35" s="260">
        <v>330</v>
      </c>
      <c r="Z35" s="260">
        <f t="shared" ref="Z35" si="5">Y35</f>
        <v>330</v>
      </c>
      <c r="AB35" s="196"/>
      <c r="AC35" s="199"/>
    </row>
    <row r="36" spans="1:29" ht="20.100000000000001" customHeight="1" x14ac:dyDescent="0.25">
      <c r="A36" s="36"/>
      <c r="B36" s="131">
        <f>B35+1</f>
        <v>11</v>
      </c>
      <c r="C36" s="70">
        <v>622</v>
      </c>
      <c r="D36" s="101" t="str">
        <f>HYPERLINK("https://sites.wustl.edu/meteoritesite/items/lm_alaweinat/",W36)</f>
        <v>Al ’Aweinat</v>
      </c>
      <c r="E36" s="384" t="s">
        <v>532</v>
      </c>
      <c r="F36" s="385"/>
      <c r="G36" s="385"/>
      <c r="H36" s="386"/>
      <c r="I36" s="387"/>
      <c r="J36" s="388"/>
      <c r="K36" s="388"/>
      <c r="L36" s="389"/>
      <c r="M36" s="390">
        <v>120</v>
      </c>
      <c r="N36" s="623"/>
      <c r="O36" s="392" t="s">
        <v>1130</v>
      </c>
      <c r="P36" s="393"/>
      <c r="Q36" s="394"/>
      <c r="R36" s="384" t="s">
        <v>562</v>
      </c>
      <c r="S36" s="386"/>
      <c r="T36" s="297">
        <v>0</v>
      </c>
      <c r="W36" s="101" t="s">
        <v>1500</v>
      </c>
      <c r="X36" s="61"/>
      <c r="Y36" s="260">
        <v>120</v>
      </c>
      <c r="Z36" s="260">
        <f t="shared" si="2"/>
        <v>120</v>
      </c>
      <c r="AB36" s="196"/>
      <c r="AC36" s="199"/>
    </row>
    <row r="37" spans="1:29" ht="20.100000000000001" customHeight="1" x14ac:dyDescent="0.25">
      <c r="A37" s="36"/>
      <c r="B37" s="127">
        <f t="shared" si="1"/>
        <v>12</v>
      </c>
      <c r="C37" s="66">
        <v>1</v>
      </c>
      <c r="D37" s="370" t="str">
        <f>HYPERLINK("https://sites.wustl.edu/meteoritesite/items/lm_alha_a81005/",W37)</f>
        <v>Allan Hills A81005</v>
      </c>
      <c r="E37" s="602"/>
      <c r="F37" s="603"/>
      <c r="G37" s="603"/>
      <c r="H37" s="604"/>
      <c r="I37" s="613"/>
      <c r="J37" s="614"/>
      <c r="K37" s="614"/>
      <c r="L37" s="615"/>
      <c r="M37" s="616">
        <v>31.4</v>
      </c>
      <c r="N37" s="617"/>
      <c r="O37" s="618" t="s">
        <v>699</v>
      </c>
      <c r="P37" s="619"/>
      <c r="Q37" s="620"/>
      <c r="R37" s="621" t="s">
        <v>6</v>
      </c>
      <c r="S37" s="622"/>
      <c r="T37" s="301">
        <v>1</v>
      </c>
      <c r="W37" s="204" t="s">
        <v>162</v>
      </c>
      <c r="X37" s="61"/>
      <c r="Y37" s="243">
        <v>31.4</v>
      </c>
      <c r="AB37" s="196">
        <f>Y37</f>
        <v>31.4</v>
      </c>
      <c r="AC37" s="199"/>
    </row>
    <row r="38" spans="1:29" ht="20.100000000000001" customHeight="1" x14ac:dyDescent="0.25">
      <c r="A38" s="36"/>
      <c r="B38" s="131">
        <f t="shared" ref="B38:B123" si="6">B37+1</f>
        <v>13</v>
      </c>
      <c r="C38" s="70">
        <v>102</v>
      </c>
      <c r="D38" s="273" t="str">
        <f>HYPERLINK("https://sites.wustl.edu/meteoritesite/items/lm_nwa_00773_clan/",W38)</f>
        <v>Anoual</v>
      </c>
      <c r="E38" s="397" t="s">
        <v>7</v>
      </c>
      <c r="F38" s="398"/>
      <c r="G38" s="398"/>
      <c r="H38" s="399"/>
      <c r="I38" s="387"/>
      <c r="J38" s="388"/>
      <c r="K38" s="388"/>
      <c r="L38" s="389"/>
      <c r="M38" s="395" t="s">
        <v>537</v>
      </c>
      <c r="N38" s="396"/>
      <c r="O38" s="392" t="s">
        <v>700</v>
      </c>
      <c r="P38" s="393"/>
      <c r="Q38" s="394"/>
      <c r="R38" s="384" t="s">
        <v>562</v>
      </c>
      <c r="S38" s="386"/>
      <c r="T38" s="297">
        <v>1</v>
      </c>
      <c r="W38" s="101" t="s">
        <v>163</v>
      </c>
      <c r="X38" s="61"/>
      <c r="Y38" s="243">
        <v>5.92</v>
      </c>
      <c r="Z38" s="243">
        <f>Y38</f>
        <v>5.92</v>
      </c>
      <c r="AB38" s="196"/>
      <c r="AC38" s="199"/>
    </row>
    <row r="39" spans="1:29" ht="20.100000000000001" customHeight="1" x14ac:dyDescent="0.25">
      <c r="A39" s="36"/>
      <c r="B39" s="126">
        <f t="shared" ref="B39:B48" si="7">B38+1</f>
        <v>14</v>
      </c>
      <c r="C39" s="67">
        <v>363</v>
      </c>
      <c r="D39" s="203" t="str">
        <f>HYPERLINK("https://sites.wustl.edu/meteoritesite/items/lm_ap_007/",W39)</f>
        <v>Arabian Peninsula 007</v>
      </c>
      <c r="E39" s="610"/>
      <c r="F39" s="611"/>
      <c r="G39" s="611"/>
      <c r="H39" s="612"/>
      <c r="I39" s="592"/>
      <c r="J39" s="593"/>
      <c r="K39" s="593"/>
      <c r="L39" s="594"/>
      <c r="M39" s="595">
        <v>1337</v>
      </c>
      <c r="N39" s="596"/>
      <c r="O39" s="597" t="s">
        <v>701</v>
      </c>
      <c r="P39" s="598"/>
      <c r="Q39" s="599"/>
      <c r="R39" s="600" t="s">
        <v>1259</v>
      </c>
      <c r="S39" s="601"/>
      <c r="T39" s="296">
        <v>0</v>
      </c>
      <c r="W39" s="203" t="s">
        <v>655</v>
      </c>
      <c r="X39" s="61"/>
      <c r="Y39" s="243">
        <v>1337</v>
      </c>
      <c r="AA39" s="195">
        <f>Y39</f>
        <v>1337</v>
      </c>
      <c r="AB39" s="196"/>
      <c r="AC39" s="199"/>
    </row>
    <row r="40" spans="1:29" ht="20.100000000000001" customHeight="1" x14ac:dyDescent="0.25">
      <c r="A40" s="36"/>
      <c r="B40" s="131">
        <f>B39+1</f>
        <v>15</v>
      </c>
      <c r="C40" s="70">
        <v>695</v>
      </c>
      <c r="D40" s="273" t="str">
        <f>HYPERLINK("https://sites.wustl.edu/meteoritesite/items/lm_aqs_001/",W40)</f>
        <v>Al Qaryah al Sharqiyah 001</v>
      </c>
      <c r="E40" s="397" t="s">
        <v>1801</v>
      </c>
      <c r="F40" s="398"/>
      <c r="G40" s="398"/>
      <c r="H40" s="399"/>
      <c r="I40" s="387"/>
      <c r="J40" s="388"/>
      <c r="K40" s="388"/>
      <c r="L40" s="389"/>
      <c r="M40" s="395">
        <v>9025</v>
      </c>
      <c r="N40" s="396"/>
      <c r="O40" s="392" t="s">
        <v>1675</v>
      </c>
      <c r="P40" s="393"/>
      <c r="Q40" s="394"/>
      <c r="R40" s="384" t="s">
        <v>1259</v>
      </c>
      <c r="S40" s="386"/>
      <c r="T40" s="297">
        <v>0</v>
      </c>
      <c r="W40" s="101" t="s">
        <v>1690</v>
      </c>
      <c r="X40" s="61"/>
      <c r="Y40" s="243">
        <v>9025</v>
      </c>
      <c r="Z40" s="243">
        <f>Y40</f>
        <v>9025</v>
      </c>
      <c r="AB40" s="196"/>
      <c r="AC40" s="199"/>
    </row>
    <row r="41" spans="1:29" ht="20.100000000000001" customHeight="1" x14ac:dyDescent="0.25">
      <c r="A41" s="36"/>
      <c r="B41" s="131">
        <f>B40+1</f>
        <v>16</v>
      </c>
      <c r="C41" s="70">
        <v>747</v>
      </c>
      <c r="D41" s="273" t="str">
        <f>HYPERLINK("https://sites.wustl.edu/meteoritesite/items/lm_aqs_001/",W41)</f>
        <v>Al Qaryah al Sharqiyah 002</v>
      </c>
      <c r="E41" s="397" t="s">
        <v>1800</v>
      </c>
      <c r="F41" s="398"/>
      <c r="G41" s="398"/>
      <c r="H41" s="399"/>
      <c r="I41" s="387"/>
      <c r="J41" s="388"/>
      <c r="K41" s="388"/>
      <c r="L41" s="389"/>
      <c r="M41" s="395">
        <v>393</v>
      </c>
      <c r="N41" s="396"/>
      <c r="O41" s="392" t="s">
        <v>1802</v>
      </c>
      <c r="P41" s="393"/>
      <c r="Q41" s="394"/>
      <c r="R41" s="384" t="s">
        <v>1259</v>
      </c>
      <c r="S41" s="386"/>
      <c r="T41" s="297">
        <v>0</v>
      </c>
      <c r="W41" s="101" t="s">
        <v>1799</v>
      </c>
      <c r="X41" s="61"/>
      <c r="Y41" s="243">
        <v>393</v>
      </c>
      <c r="Z41" s="243">
        <f>Y41</f>
        <v>393</v>
      </c>
      <c r="AB41" s="196"/>
      <c r="AC41" s="199"/>
    </row>
    <row r="42" spans="1:29" ht="20.100000000000001" customHeight="1" x14ac:dyDescent="0.25">
      <c r="A42" s="36"/>
      <c r="B42" s="131">
        <f>B41+1</f>
        <v>17</v>
      </c>
      <c r="C42" s="70">
        <v>745</v>
      </c>
      <c r="D42" s="273" t="str">
        <f>HYPERLINK("https://sites.wustl.edu/meteoritesite/items/lm_araouane_001/",W42)</f>
        <v>Araouane 001</v>
      </c>
      <c r="E42" s="397" t="s">
        <v>532</v>
      </c>
      <c r="F42" s="398"/>
      <c r="G42" s="398"/>
      <c r="H42" s="399"/>
      <c r="I42" s="387"/>
      <c r="J42" s="388"/>
      <c r="K42" s="388"/>
      <c r="L42" s="389"/>
      <c r="M42" s="395">
        <v>374</v>
      </c>
      <c r="N42" s="396"/>
      <c r="O42" s="392" t="s">
        <v>1701</v>
      </c>
      <c r="P42" s="393"/>
      <c r="Q42" s="394"/>
      <c r="R42" s="384" t="s">
        <v>6</v>
      </c>
      <c r="S42" s="386"/>
      <c r="T42" s="297">
        <v>0</v>
      </c>
      <c r="W42" s="101" t="s">
        <v>1793</v>
      </c>
      <c r="X42" s="61"/>
      <c r="Y42" s="243">
        <v>374</v>
      </c>
      <c r="Z42" s="243">
        <f>Y42</f>
        <v>374</v>
      </c>
      <c r="AB42" s="196"/>
      <c r="AC42" s="199"/>
    </row>
    <row r="43" spans="1:29" ht="20.100000000000001" customHeight="1" x14ac:dyDescent="0.25">
      <c r="A43" s="36"/>
      <c r="B43" s="131">
        <f>B42+1</f>
        <v>18</v>
      </c>
      <c r="C43" s="70">
        <v>607</v>
      </c>
      <c r="D43" s="273" t="str">
        <f>HYPERLINK("https://sites.wustl.edu/meteoritesite/items/lm_arguin_002/",W43)</f>
        <v>Arguin 002</v>
      </c>
      <c r="E43" s="397" t="s">
        <v>532</v>
      </c>
      <c r="F43" s="398"/>
      <c r="G43" s="398"/>
      <c r="H43" s="399"/>
      <c r="I43" s="387"/>
      <c r="J43" s="388"/>
      <c r="K43" s="388"/>
      <c r="L43" s="389"/>
      <c r="M43" s="395" t="s">
        <v>1450</v>
      </c>
      <c r="N43" s="396"/>
      <c r="O43" s="392" t="s">
        <v>1451</v>
      </c>
      <c r="P43" s="393"/>
      <c r="Q43" s="394"/>
      <c r="R43" s="384" t="s">
        <v>1452</v>
      </c>
      <c r="S43" s="386"/>
      <c r="T43" s="297">
        <v>0</v>
      </c>
      <c r="W43" s="101" t="s">
        <v>1480</v>
      </c>
      <c r="X43" s="61"/>
      <c r="Y43" s="243">
        <v>1146</v>
      </c>
      <c r="Z43" s="243">
        <f>Y43</f>
        <v>1146</v>
      </c>
      <c r="AB43" s="196"/>
      <c r="AC43" s="199"/>
    </row>
    <row r="44" spans="1:29" ht="20.100000000000001" customHeight="1" x14ac:dyDescent="0.25">
      <c r="A44" s="36"/>
      <c r="B44" s="131">
        <f t="shared" si="7"/>
        <v>19</v>
      </c>
      <c r="C44" s="70">
        <v>327</v>
      </c>
      <c r="D44" s="273" t="str">
        <f>HYPERLINK("https://sites.wustl.edu/meteoritesite/items/lm_nwa_10608/",W44)</f>
        <v>Aridal 017</v>
      </c>
      <c r="E44" s="397" t="s">
        <v>592</v>
      </c>
      <c r="F44" s="398"/>
      <c r="G44" s="398"/>
      <c r="H44" s="399"/>
      <c r="I44" s="387"/>
      <c r="J44" s="388"/>
      <c r="K44" s="388"/>
      <c r="L44" s="389"/>
      <c r="M44" s="395">
        <v>590</v>
      </c>
      <c r="N44" s="396"/>
      <c r="O44" s="392" t="s">
        <v>921</v>
      </c>
      <c r="P44" s="393"/>
      <c r="Q44" s="394"/>
      <c r="R44" s="384" t="s">
        <v>6</v>
      </c>
      <c r="S44" s="386"/>
      <c r="T44" s="297">
        <v>1</v>
      </c>
      <c r="W44" s="101" t="s">
        <v>580</v>
      </c>
      <c r="X44" s="61"/>
      <c r="Y44" s="243">
        <v>590</v>
      </c>
      <c r="Z44" s="243">
        <v>590</v>
      </c>
      <c r="AB44" s="196"/>
      <c r="AC44" s="199"/>
    </row>
    <row r="45" spans="1:29" ht="20.100000000000001" customHeight="1" x14ac:dyDescent="0.25">
      <c r="A45" s="36"/>
      <c r="B45" s="131">
        <f t="shared" si="7"/>
        <v>20</v>
      </c>
      <c r="C45" s="70">
        <v>542</v>
      </c>
      <c r="D45" s="273" t="str">
        <f>HYPERLINK("https://sites.wustl.edu/meteoritesite/items/lm_aridal_019/",W45)</f>
        <v>Aridal 019</v>
      </c>
      <c r="E45" s="397" t="s">
        <v>1407</v>
      </c>
      <c r="F45" s="398"/>
      <c r="G45" s="398"/>
      <c r="H45" s="399"/>
      <c r="I45" s="387"/>
      <c r="J45" s="388"/>
      <c r="K45" s="388"/>
      <c r="L45" s="389"/>
      <c r="M45" s="395" t="s">
        <v>1304</v>
      </c>
      <c r="N45" s="396"/>
      <c r="O45" s="392" t="s">
        <v>1305</v>
      </c>
      <c r="P45" s="393"/>
      <c r="Q45" s="394"/>
      <c r="R45" s="384" t="s">
        <v>6</v>
      </c>
      <c r="S45" s="386"/>
      <c r="T45" s="297">
        <v>0</v>
      </c>
      <c r="W45" s="101" t="s">
        <v>1300</v>
      </c>
      <c r="X45" s="61"/>
      <c r="Y45" s="243">
        <v>1368</v>
      </c>
      <c r="Z45" s="243">
        <v>1368</v>
      </c>
      <c r="AB45" s="196"/>
      <c r="AC45" s="199"/>
    </row>
    <row r="46" spans="1:29" ht="20.100000000000001" customHeight="1" x14ac:dyDescent="0.25">
      <c r="A46" s="36"/>
      <c r="B46" s="131">
        <f t="shared" si="7"/>
        <v>21</v>
      </c>
      <c r="C46" s="70">
        <v>588</v>
      </c>
      <c r="D46" s="273" t="str">
        <f>HYPERLINK("https://sites.wustl.edu/meteoritesite/items/lm_aridal_019/",W46)</f>
        <v>Aridal 020</v>
      </c>
      <c r="E46" s="397" t="s">
        <v>1408</v>
      </c>
      <c r="F46" s="398"/>
      <c r="G46" s="398"/>
      <c r="H46" s="399"/>
      <c r="I46" s="387"/>
      <c r="J46" s="388"/>
      <c r="K46" s="388"/>
      <c r="L46" s="389"/>
      <c r="M46" s="395">
        <v>157.1</v>
      </c>
      <c r="N46" s="396"/>
      <c r="O46" s="392" t="s">
        <v>1405</v>
      </c>
      <c r="P46" s="393"/>
      <c r="Q46" s="394"/>
      <c r="R46" s="384" t="s">
        <v>6</v>
      </c>
      <c r="S46" s="386"/>
      <c r="T46" s="297">
        <v>0</v>
      </c>
      <c r="W46" s="101" t="s">
        <v>1406</v>
      </c>
      <c r="X46" s="61"/>
      <c r="Y46" s="243">
        <v>157.1</v>
      </c>
      <c r="Z46" s="243">
        <f>Y46</f>
        <v>157.1</v>
      </c>
      <c r="AB46" s="196"/>
      <c r="AC46" s="199"/>
    </row>
    <row r="47" spans="1:29" ht="20.100000000000001" customHeight="1" x14ac:dyDescent="0.25">
      <c r="A47" s="36"/>
      <c r="B47" s="131">
        <f t="shared" si="7"/>
        <v>22</v>
      </c>
      <c r="C47" s="70">
        <v>757</v>
      </c>
      <c r="D47" s="273" t="str">
        <f>HYPERLINK("https://sites.wustl.edu/meteoritesite/items/lm_ashshaqq_002/",W47)</f>
        <v>Ash Shaqqahl 002</v>
      </c>
      <c r="E47" s="397" t="s">
        <v>1826</v>
      </c>
      <c r="F47" s="398"/>
      <c r="G47" s="398"/>
      <c r="H47" s="399"/>
      <c r="I47" s="387"/>
      <c r="J47" s="388"/>
      <c r="K47" s="388"/>
      <c r="L47" s="389"/>
      <c r="M47" s="395" t="s">
        <v>1825</v>
      </c>
      <c r="N47" s="396"/>
      <c r="O47" s="392" t="s">
        <v>1824</v>
      </c>
      <c r="P47" s="393"/>
      <c r="Q47" s="394"/>
      <c r="R47" s="384" t="s">
        <v>1554</v>
      </c>
      <c r="S47" s="386"/>
      <c r="T47" s="297">
        <v>0</v>
      </c>
      <c r="W47" s="101" t="s">
        <v>1823</v>
      </c>
      <c r="X47" s="61"/>
      <c r="Y47" s="243">
        <v>329000</v>
      </c>
      <c r="Z47" s="243">
        <f>Y47</f>
        <v>329000</v>
      </c>
      <c r="AB47" s="196"/>
      <c r="AC47" s="199"/>
    </row>
    <row r="48" spans="1:29" ht="20.100000000000001" customHeight="1" x14ac:dyDescent="0.25">
      <c r="A48" s="36"/>
      <c r="B48" s="131">
        <f t="shared" si="7"/>
        <v>23</v>
      </c>
      <c r="C48" s="70">
        <v>737</v>
      </c>
      <c r="D48" s="273" t="str">
        <f>HYPERLINK("https://sites.wustl.edu/meteoritesite/items/lm_aridal_019/",W48)</f>
        <v>Aridal 022</v>
      </c>
      <c r="E48" s="397" t="s">
        <v>1408</v>
      </c>
      <c r="F48" s="398"/>
      <c r="G48" s="398"/>
      <c r="H48" s="399"/>
      <c r="I48" s="387"/>
      <c r="J48" s="388"/>
      <c r="K48" s="388"/>
      <c r="L48" s="389"/>
      <c r="M48" s="395">
        <v>895</v>
      </c>
      <c r="N48" s="396"/>
      <c r="O48" s="392" t="s">
        <v>1323</v>
      </c>
      <c r="P48" s="393"/>
      <c r="Q48" s="394"/>
      <c r="R48" s="384" t="s">
        <v>1259</v>
      </c>
      <c r="S48" s="386"/>
      <c r="T48" s="297">
        <v>0</v>
      </c>
      <c r="W48" s="101" t="s">
        <v>1780</v>
      </c>
      <c r="X48" s="61"/>
      <c r="Y48" s="243">
        <v>895</v>
      </c>
      <c r="Z48" s="243">
        <f>Y48</f>
        <v>895</v>
      </c>
      <c r="AB48" s="196"/>
      <c r="AC48" s="199"/>
    </row>
    <row r="49" spans="1:29" ht="20.100000000000001" customHeight="1" x14ac:dyDescent="0.25">
      <c r="A49" s="36"/>
      <c r="B49" s="129">
        <f>B48+1</f>
        <v>24</v>
      </c>
      <c r="C49" s="65">
        <v>10</v>
      </c>
      <c r="D49" s="371" t="str">
        <f>HYPERLINK("https://sites.wustl.edu/meteoritesite/items/lm_asuka_881757/",W49)</f>
        <v>Asuka 881757</v>
      </c>
      <c r="E49" s="650"/>
      <c r="F49" s="651"/>
      <c r="G49" s="651"/>
      <c r="H49" s="652"/>
      <c r="I49" s="647" t="s">
        <v>138</v>
      </c>
      <c r="J49" s="648"/>
      <c r="K49" s="648"/>
      <c r="L49" s="649"/>
      <c r="M49" s="629">
        <v>442</v>
      </c>
      <c r="N49" s="630"/>
      <c r="O49" s="653" t="s">
        <v>703</v>
      </c>
      <c r="P49" s="654"/>
      <c r="Q49" s="655"/>
      <c r="R49" s="647" t="s">
        <v>8</v>
      </c>
      <c r="S49" s="649"/>
      <c r="T49" s="302">
        <v>1</v>
      </c>
      <c r="W49" s="205" t="s">
        <v>164</v>
      </c>
      <c r="X49" s="61"/>
      <c r="Y49" s="243">
        <v>442</v>
      </c>
      <c r="AB49" s="196">
        <f>Y49</f>
        <v>442</v>
      </c>
      <c r="AC49" s="199"/>
    </row>
    <row r="50" spans="1:29" ht="20.100000000000001" customHeight="1" x14ac:dyDescent="0.25">
      <c r="A50" s="36"/>
      <c r="B50" s="130">
        <f t="shared" si="6"/>
        <v>25</v>
      </c>
      <c r="C50" s="69">
        <v>11</v>
      </c>
      <c r="D50" s="372" t="str">
        <f>HYPERLINK("https://sites.wustl.edu/meteoritesite/items/lm_calc-creek/",W50)</f>
        <v>Calcalong Creek</v>
      </c>
      <c r="E50" s="639"/>
      <c r="F50" s="640"/>
      <c r="G50" s="640"/>
      <c r="H50" s="641"/>
      <c r="I50" s="639"/>
      <c r="J50" s="640"/>
      <c r="K50" s="640"/>
      <c r="L50" s="641"/>
      <c r="M50" s="642">
        <v>19</v>
      </c>
      <c r="N50" s="643"/>
      <c r="O50" s="644" t="s">
        <v>704</v>
      </c>
      <c r="P50" s="645"/>
      <c r="Q50" s="646"/>
      <c r="R50" s="633" t="s">
        <v>1573</v>
      </c>
      <c r="S50" s="634"/>
      <c r="T50" s="303">
        <v>1</v>
      </c>
      <c r="W50" s="206" t="s">
        <v>165</v>
      </c>
      <c r="X50" s="61"/>
      <c r="Y50" s="243">
        <v>19</v>
      </c>
      <c r="AB50" s="196"/>
      <c r="AC50" s="199">
        <f>Y50</f>
        <v>19</v>
      </c>
    </row>
    <row r="51" spans="1:29" ht="20.100000000000001" customHeight="1" x14ac:dyDescent="0.25">
      <c r="A51" s="36"/>
      <c r="B51" s="131">
        <f t="shared" si="6"/>
        <v>26</v>
      </c>
      <c r="C51" s="70">
        <v>543</v>
      </c>
      <c r="D51" s="101" t="str">
        <f t="shared" ref="D51:D56" si="8">HYPERLINK("https://sites.wustl.edu/meteoritesite/items/lm_bechar_003/",W51)</f>
        <v>Bechar 003</v>
      </c>
      <c r="E51" s="384" t="s">
        <v>1623</v>
      </c>
      <c r="F51" s="385"/>
      <c r="G51" s="385"/>
      <c r="H51" s="386"/>
      <c r="I51" s="387"/>
      <c r="J51" s="388"/>
      <c r="K51" s="388"/>
      <c r="L51" s="389"/>
      <c r="M51" s="390" t="s">
        <v>1301</v>
      </c>
      <c r="N51" s="623"/>
      <c r="O51" s="392" t="s">
        <v>1303</v>
      </c>
      <c r="P51" s="393"/>
      <c r="Q51" s="394"/>
      <c r="R51" s="384" t="s">
        <v>6</v>
      </c>
      <c r="S51" s="386"/>
      <c r="T51" s="297">
        <v>0</v>
      </c>
      <c r="W51" s="101" t="s">
        <v>1302</v>
      </c>
      <c r="X51" s="61"/>
      <c r="Y51" s="260">
        <v>1084</v>
      </c>
      <c r="Z51" s="260">
        <f t="shared" ref="Z51:Z61" si="9">Y51</f>
        <v>1084</v>
      </c>
      <c r="AB51" s="196"/>
      <c r="AC51" s="199"/>
    </row>
    <row r="52" spans="1:29" ht="20.100000000000001" customHeight="1" x14ac:dyDescent="0.25">
      <c r="A52" s="36"/>
      <c r="B52" s="131">
        <f t="shared" si="6"/>
        <v>27</v>
      </c>
      <c r="C52" s="252">
        <v>563</v>
      </c>
      <c r="D52" s="101" t="str">
        <f t="shared" si="8"/>
        <v>Bechar 006</v>
      </c>
      <c r="E52" s="384" t="s">
        <v>1420</v>
      </c>
      <c r="F52" s="385"/>
      <c r="G52" s="385"/>
      <c r="H52" s="386"/>
      <c r="I52" s="298"/>
      <c r="J52" s="299"/>
      <c r="K52" s="299"/>
      <c r="L52" s="300"/>
      <c r="M52" s="390" t="s">
        <v>1348</v>
      </c>
      <c r="N52" s="623"/>
      <c r="O52" s="392" t="s">
        <v>1337</v>
      </c>
      <c r="P52" s="393"/>
      <c r="Q52" s="394"/>
      <c r="R52" s="384" t="s">
        <v>6</v>
      </c>
      <c r="S52" s="386"/>
      <c r="T52" s="297">
        <v>0</v>
      </c>
      <c r="W52" s="101" t="s">
        <v>1349</v>
      </c>
      <c r="X52" s="61"/>
      <c r="Y52" s="260">
        <v>7208</v>
      </c>
      <c r="Z52" s="260">
        <f t="shared" si="9"/>
        <v>7208</v>
      </c>
      <c r="AB52" s="196"/>
      <c r="AC52" s="199"/>
    </row>
    <row r="53" spans="1:29" ht="20.100000000000001" customHeight="1" x14ac:dyDescent="0.25">
      <c r="A53" s="36"/>
      <c r="B53" s="131">
        <f t="shared" si="6"/>
        <v>28</v>
      </c>
      <c r="C53" s="252">
        <v>608</v>
      </c>
      <c r="D53" s="101" t="str">
        <f t="shared" si="8"/>
        <v>Bechar 007</v>
      </c>
      <c r="E53" s="384" t="s">
        <v>1420</v>
      </c>
      <c r="F53" s="385"/>
      <c r="G53" s="385"/>
      <c r="H53" s="386"/>
      <c r="I53" s="298"/>
      <c r="J53" s="299"/>
      <c r="K53" s="299"/>
      <c r="L53" s="300"/>
      <c r="M53" s="390" t="s">
        <v>1456</v>
      </c>
      <c r="N53" s="623"/>
      <c r="O53" s="392" t="s">
        <v>1455</v>
      </c>
      <c r="P53" s="393"/>
      <c r="Q53" s="394"/>
      <c r="R53" s="384" t="s">
        <v>6</v>
      </c>
      <c r="S53" s="386"/>
      <c r="T53" s="297">
        <v>0</v>
      </c>
      <c r="W53" s="101" t="s">
        <v>1453</v>
      </c>
      <c r="X53" s="61"/>
      <c r="Y53" s="260">
        <v>4000</v>
      </c>
      <c r="Z53" s="260">
        <f t="shared" si="9"/>
        <v>4000</v>
      </c>
      <c r="AB53" s="196"/>
      <c r="AC53" s="199"/>
    </row>
    <row r="54" spans="1:29" ht="20.100000000000001" customHeight="1" x14ac:dyDescent="0.25">
      <c r="A54" s="36"/>
      <c r="B54" s="131">
        <f t="shared" si="6"/>
        <v>29</v>
      </c>
      <c r="C54" s="252">
        <v>594</v>
      </c>
      <c r="D54" s="101" t="str">
        <f t="shared" si="8"/>
        <v>Bechar 009</v>
      </c>
      <c r="E54" s="384" t="s">
        <v>1420</v>
      </c>
      <c r="F54" s="385"/>
      <c r="G54" s="385"/>
      <c r="H54" s="386"/>
      <c r="I54" s="298"/>
      <c r="J54" s="299"/>
      <c r="K54" s="299"/>
      <c r="L54" s="300"/>
      <c r="M54" s="390">
        <v>897</v>
      </c>
      <c r="N54" s="623"/>
      <c r="O54" s="392" t="s">
        <v>1419</v>
      </c>
      <c r="P54" s="393"/>
      <c r="Q54" s="394"/>
      <c r="R54" s="384" t="s">
        <v>6</v>
      </c>
      <c r="S54" s="386"/>
      <c r="T54" s="297">
        <v>0</v>
      </c>
      <c r="W54" s="101" t="s">
        <v>1418</v>
      </c>
      <c r="X54" s="61"/>
      <c r="Y54" s="260">
        <v>897</v>
      </c>
      <c r="Z54" s="260">
        <f t="shared" si="9"/>
        <v>897</v>
      </c>
      <c r="AB54" s="196"/>
      <c r="AC54" s="199"/>
    </row>
    <row r="55" spans="1:29" ht="20.100000000000001" customHeight="1" x14ac:dyDescent="0.25">
      <c r="A55" s="36"/>
      <c r="B55" s="131">
        <f t="shared" si="6"/>
        <v>30</v>
      </c>
      <c r="C55" s="252">
        <v>609</v>
      </c>
      <c r="D55" s="101" t="str">
        <f t="shared" si="8"/>
        <v>Bechar 010</v>
      </c>
      <c r="E55" s="384" t="s">
        <v>1420</v>
      </c>
      <c r="F55" s="385"/>
      <c r="G55" s="385"/>
      <c r="H55" s="386"/>
      <c r="I55" s="298"/>
      <c r="J55" s="299"/>
      <c r="K55" s="299"/>
      <c r="L55" s="300"/>
      <c r="M55" s="390" t="s">
        <v>1462</v>
      </c>
      <c r="N55" s="623"/>
      <c r="O55" s="392" t="s">
        <v>1339</v>
      </c>
      <c r="P55" s="393"/>
      <c r="Q55" s="394"/>
      <c r="R55" s="384" t="s">
        <v>6</v>
      </c>
      <c r="S55" s="386"/>
      <c r="T55" s="297">
        <v>0</v>
      </c>
      <c r="W55" s="101" t="s">
        <v>1454</v>
      </c>
      <c r="X55" s="61"/>
      <c r="Y55" s="260">
        <v>681</v>
      </c>
      <c r="Z55" s="260">
        <f t="shared" si="9"/>
        <v>681</v>
      </c>
      <c r="AB55" s="196"/>
      <c r="AC55" s="199"/>
    </row>
    <row r="56" spans="1:29" ht="20.100000000000001" customHeight="1" x14ac:dyDescent="0.25">
      <c r="A56" s="36"/>
      <c r="B56" s="131">
        <f t="shared" si="6"/>
        <v>31</v>
      </c>
      <c r="C56" s="252">
        <v>614</v>
      </c>
      <c r="D56" s="101" t="str">
        <f t="shared" si="8"/>
        <v>Bechar 011</v>
      </c>
      <c r="E56" s="384" t="s">
        <v>1420</v>
      </c>
      <c r="F56" s="385"/>
      <c r="G56" s="385"/>
      <c r="H56" s="386"/>
      <c r="I56" s="298"/>
      <c r="J56" s="299"/>
      <c r="K56" s="299"/>
      <c r="L56" s="300"/>
      <c r="M56" s="390" t="s">
        <v>1483</v>
      </c>
      <c r="N56" s="623"/>
      <c r="O56" s="392" t="s">
        <v>1495</v>
      </c>
      <c r="P56" s="393"/>
      <c r="Q56" s="394"/>
      <c r="R56" s="384" t="s">
        <v>1259</v>
      </c>
      <c r="S56" s="386"/>
      <c r="T56" s="297">
        <v>0</v>
      </c>
      <c r="W56" s="101" t="s">
        <v>1481</v>
      </c>
      <c r="X56" s="61"/>
      <c r="Y56" s="268">
        <v>354.18</v>
      </c>
      <c r="Z56" s="260">
        <f t="shared" si="9"/>
        <v>354.18</v>
      </c>
      <c r="AB56" s="196"/>
      <c r="AC56" s="199"/>
    </row>
    <row r="57" spans="1:29" ht="20.100000000000001" customHeight="1" x14ac:dyDescent="0.25">
      <c r="A57" s="36"/>
      <c r="B57" s="131">
        <f t="shared" si="6"/>
        <v>32</v>
      </c>
      <c r="C57" s="252">
        <v>651</v>
      </c>
      <c r="D57" s="101" t="str">
        <f t="shared" ref="D57:D58" si="10">HYPERLINK("https://sites.wustl.edu/meteoritesite/items/lm_bechar_003/",W57)</f>
        <v>Bechar 012</v>
      </c>
      <c r="E57" s="384" t="s">
        <v>1420</v>
      </c>
      <c r="F57" s="385"/>
      <c r="G57" s="385"/>
      <c r="H57" s="386"/>
      <c r="I57" s="298"/>
      <c r="J57" s="299"/>
      <c r="K57" s="299"/>
      <c r="L57" s="300"/>
      <c r="M57" s="390" t="s">
        <v>1567</v>
      </c>
      <c r="N57" s="623"/>
      <c r="O57" s="392" t="s">
        <v>1318</v>
      </c>
      <c r="P57" s="393"/>
      <c r="Q57" s="394"/>
      <c r="R57" s="384" t="s">
        <v>6</v>
      </c>
      <c r="S57" s="386"/>
      <c r="T57" s="297">
        <v>0</v>
      </c>
      <c r="W57" s="101" t="s">
        <v>1559</v>
      </c>
      <c r="X57" s="61"/>
      <c r="Y57" s="260">
        <v>497</v>
      </c>
      <c r="Z57" s="260">
        <f t="shared" ref="Z57:Z58" si="11">Y57</f>
        <v>497</v>
      </c>
      <c r="AB57" s="196"/>
      <c r="AC57" s="199"/>
    </row>
    <row r="58" spans="1:29" ht="20.100000000000001" customHeight="1" x14ac:dyDescent="0.25">
      <c r="A58" s="36"/>
      <c r="B58" s="131">
        <f t="shared" si="6"/>
        <v>33</v>
      </c>
      <c r="C58" s="252">
        <v>669</v>
      </c>
      <c r="D58" s="101" t="str">
        <f t="shared" si="10"/>
        <v>Bechar 013</v>
      </c>
      <c r="E58" s="384" t="s">
        <v>1420</v>
      </c>
      <c r="F58" s="385"/>
      <c r="G58" s="385"/>
      <c r="H58" s="386"/>
      <c r="I58" s="298"/>
      <c r="J58" s="299"/>
      <c r="K58" s="299"/>
      <c r="L58" s="300"/>
      <c r="M58" s="390" t="s">
        <v>1609</v>
      </c>
      <c r="N58" s="623"/>
      <c r="O58" s="392" t="s">
        <v>1608</v>
      </c>
      <c r="P58" s="393"/>
      <c r="Q58" s="394"/>
      <c r="R58" s="384" t="s">
        <v>6</v>
      </c>
      <c r="S58" s="386"/>
      <c r="T58" s="297">
        <v>0</v>
      </c>
      <c r="W58" s="101" t="s">
        <v>1607</v>
      </c>
      <c r="X58" s="61"/>
      <c r="Y58" s="260">
        <v>211</v>
      </c>
      <c r="Z58" s="260">
        <f t="shared" si="11"/>
        <v>211</v>
      </c>
      <c r="AB58" s="196"/>
      <c r="AC58" s="199"/>
    </row>
    <row r="59" spans="1:29" ht="20.100000000000001" customHeight="1" x14ac:dyDescent="0.25">
      <c r="A59" s="36"/>
      <c r="B59" s="131">
        <f t="shared" si="6"/>
        <v>34</v>
      </c>
      <c r="C59" s="252">
        <v>641</v>
      </c>
      <c r="D59" s="101" t="str">
        <f>HYPERLINK("https://sites.wustl.edu/meteoritesite/items/lm_big_003/",W59)</f>
        <v>Bir Moghrein 003</v>
      </c>
      <c r="E59" s="397" t="s">
        <v>532</v>
      </c>
      <c r="F59" s="398"/>
      <c r="G59" s="398"/>
      <c r="H59" s="399"/>
      <c r="I59" s="298"/>
      <c r="J59" s="299"/>
      <c r="K59" s="299"/>
      <c r="L59" s="300"/>
      <c r="M59" s="390" t="s">
        <v>1542</v>
      </c>
      <c r="N59" s="623"/>
      <c r="O59" s="392" t="s">
        <v>1482</v>
      </c>
      <c r="P59" s="393"/>
      <c r="Q59" s="394"/>
      <c r="R59" s="384" t="s">
        <v>6</v>
      </c>
      <c r="S59" s="386"/>
      <c r="T59" s="297">
        <v>0</v>
      </c>
      <c r="W59" s="101" t="s">
        <v>1541</v>
      </c>
      <c r="X59" s="61"/>
      <c r="Y59" s="260">
        <v>1400</v>
      </c>
      <c r="Z59" s="260">
        <f t="shared" ref="Z59" si="12">Y59</f>
        <v>1400</v>
      </c>
      <c r="AB59" s="196"/>
      <c r="AC59" s="199"/>
    </row>
    <row r="60" spans="1:29" ht="20.100000000000001" customHeight="1" x14ac:dyDescent="0.25">
      <c r="A60" s="36"/>
      <c r="B60" s="131">
        <f t="shared" si="6"/>
        <v>35</v>
      </c>
      <c r="C60" s="252">
        <v>672</v>
      </c>
      <c r="D60" s="101" t="str">
        <f>HYPERLINK("https://sites.wustl.edu/meteoritesite/items/lm_bir_ounane_005/",W60)</f>
        <v>Bir Ounane 005</v>
      </c>
      <c r="E60" s="397" t="s">
        <v>532</v>
      </c>
      <c r="F60" s="398"/>
      <c r="G60" s="398"/>
      <c r="H60" s="399"/>
      <c r="I60" s="298"/>
      <c r="J60" s="299"/>
      <c r="K60" s="299"/>
      <c r="L60" s="300"/>
      <c r="M60" s="390" t="s">
        <v>1627</v>
      </c>
      <c r="N60" s="623"/>
      <c r="O60" s="392" t="s">
        <v>1339</v>
      </c>
      <c r="P60" s="393"/>
      <c r="Q60" s="394"/>
      <c r="R60" s="384" t="s">
        <v>1259</v>
      </c>
      <c r="S60" s="386"/>
      <c r="T60" s="297">
        <v>0</v>
      </c>
      <c r="W60" s="101" t="s">
        <v>1626</v>
      </c>
      <c r="X60" s="61"/>
      <c r="Y60" s="260">
        <v>20</v>
      </c>
      <c r="Z60" s="260">
        <f t="shared" ref="Z60" si="13">Y60</f>
        <v>20</v>
      </c>
      <c r="AB60" s="196"/>
      <c r="AC60" s="199"/>
    </row>
    <row r="61" spans="1:29" ht="20.100000000000001" customHeight="1" x14ac:dyDescent="0.25">
      <c r="A61" s="36"/>
      <c r="B61" s="131">
        <f t="shared" si="6"/>
        <v>36</v>
      </c>
      <c r="C61" s="252">
        <v>507</v>
      </c>
      <c r="D61" s="101" t="str">
        <f>HYPERLINK("https://sites.wustl.edu/meteoritesite/items/lm_choum_001/",W61)</f>
        <v>Choum 001</v>
      </c>
      <c r="E61" s="397" t="s">
        <v>532</v>
      </c>
      <c r="F61" s="398"/>
      <c r="G61" s="398"/>
      <c r="H61" s="399"/>
      <c r="I61" s="387"/>
      <c r="J61" s="388"/>
      <c r="K61" s="388"/>
      <c r="L61" s="389"/>
      <c r="M61" s="390">
        <v>39000</v>
      </c>
      <c r="N61" s="623"/>
      <c r="O61" s="392" t="s">
        <v>1224</v>
      </c>
      <c r="P61" s="393"/>
      <c r="Q61" s="394"/>
      <c r="R61" s="384" t="s">
        <v>1225</v>
      </c>
      <c r="S61" s="386"/>
      <c r="T61" s="297">
        <v>0</v>
      </c>
      <c r="W61" s="101" t="s">
        <v>1223</v>
      </c>
      <c r="X61" s="61"/>
      <c r="Y61" s="243">
        <v>39000</v>
      </c>
      <c r="Z61" s="260">
        <f t="shared" si="9"/>
        <v>39000</v>
      </c>
      <c r="AB61" s="196"/>
      <c r="AC61" s="199"/>
    </row>
    <row r="62" spans="1:29" ht="20.100000000000001" customHeight="1" x14ac:dyDescent="0.25">
      <c r="A62" s="36"/>
      <c r="B62" s="253">
        <f>B61+1</f>
        <v>37</v>
      </c>
      <c r="C62" s="254">
        <v>16</v>
      </c>
      <c r="D62" s="255" t="str">
        <f>HYPERLINK("https://sites.wustl.edu/meteoritesite/items/lm_dag_262/",W62)</f>
        <v>Dar al Gani 262</v>
      </c>
      <c r="E62" s="631" t="s">
        <v>124</v>
      </c>
      <c r="F62" s="638"/>
      <c r="G62" s="638"/>
      <c r="H62" s="632"/>
      <c r="I62" s="635"/>
      <c r="J62" s="636"/>
      <c r="K62" s="636"/>
      <c r="L62" s="637"/>
      <c r="M62" s="624">
        <v>513</v>
      </c>
      <c r="N62" s="625"/>
      <c r="O62" s="626" t="s">
        <v>705</v>
      </c>
      <c r="P62" s="627"/>
      <c r="Q62" s="628"/>
      <c r="R62" s="631" t="s">
        <v>6</v>
      </c>
      <c r="S62" s="632"/>
      <c r="T62" s="304">
        <v>1</v>
      </c>
      <c r="W62" s="101" t="s">
        <v>166</v>
      </c>
      <c r="X62" s="61"/>
      <c r="Y62" s="243">
        <v>513</v>
      </c>
      <c r="Z62" s="243">
        <f t="shared" ref="Z62:Z68" si="14">Y62</f>
        <v>513</v>
      </c>
      <c r="AB62" s="196"/>
      <c r="AC62" s="199"/>
    </row>
    <row r="63" spans="1:29" ht="20.100000000000001" customHeight="1" x14ac:dyDescent="0.25">
      <c r="A63" s="36"/>
      <c r="B63" s="253">
        <f t="shared" si="6"/>
        <v>38</v>
      </c>
      <c r="C63" s="254">
        <v>17</v>
      </c>
      <c r="D63" s="255" t="str">
        <f>HYPERLINK("https://sites.wustl.edu/meteoritesite/items/lm_dag_400/",W63)</f>
        <v>Dar al Gani 400</v>
      </c>
      <c r="E63" s="631" t="s">
        <v>70</v>
      </c>
      <c r="F63" s="638"/>
      <c r="G63" s="638"/>
      <c r="H63" s="632"/>
      <c r="I63" s="631" t="s">
        <v>157</v>
      </c>
      <c r="J63" s="638"/>
      <c r="K63" s="638"/>
      <c r="L63" s="632"/>
      <c r="M63" s="624">
        <v>1425</v>
      </c>
      <c r="N63" s="625"/>
      <c r="O63" s="626" t="s">
        <v>706</v>
      </c>
      <c r="P63" s="627"/>
      <c r="Q63" s="628"/>
      <c r="R63" s="631" t="s">
        <v>6</v>
      </c>
      <c r="S63" s="632"/>
      <c r="T63" s="304">
        <v>1</v>
      </c>
      <c r="W63" s="102" t="s">
        <v>167</v>
      </c>
      <c r="X63" s="61"/>
      <c r="Y63" s="243">
        <v>1425</v>
      </c>
      <c r="Z63" s="243">
        <f t="shared" si="14"/>
        <v>1425</v>
      </c>
      <c r="AB63" s="196"/>
      <c r="AC63" s="199"/>
    </row>
    <row r="64" spans="1:29" ht="20.100000000000001" customHeight="1" x14ac:dyDescent="0.25">
      <c r="A64" s="36"/>
      <c r="B64" s="253">
        <f t="shared" si="6"/>
        <v>39</v>
      </c>
      <c r="C64" s="254">
        <v>40</v>
      </c>
      <c r="D64" s="255" t="str">
        <f>HYPERLINK("https://sites.wustl.edu/meteoritesite/items/lm_dag_262/",W64)</f>
        <v>Dar al Gani 996</v>
      </c>
      <c r="E64" s="631" t="s">
        <v>125</v>
      </c>
      <c r="F64" s="638"/>
      <c r="G64" s="638"/>
      <c r="H64" s="632"/>
      <c r="I64" s="635"/>
      <c r="J64" s="636"/>
      <c r="K64" s="636"/>
      <c r="L64" s="637"/>
      <c r="M64" s="624">
        <v>12.31</v>
      </c>
      <c r="N64" s="625"/>
      <c r="O64" s="626" t="s">
        <v>707</v>
      </c>
      <c r="P64" s="627"/>
      <c r="Q64" s="628"/>
      <c r="R64" s="631" t="s">
        <v>6</v>
      </c>
      <c r="S64" s="632"/>
      <c r="T64" s="304">
        <v>1</v>
      </c>
      <c r="W64" s="101" t="s">
        <v>168</v>
      </c>
      <c r="X64" s="61"/>
      <c r="Y64" s="243">
        <v>12.31</v>
      </c>
      <c r="Z64" s="243">
        <f t="shared" si="14"/>
        <v>12.31</v>
      </c>
      <c r="AB64" s="196"/>
      <c r="AC64" s="199"/>
    </row>
    <row r="65" spans="1:29" ht="20.100000000000001" customHeight="1" x14ac:dyDescent="0.25">
      <c r="A65" s="36"/>
      <c r="B65" s="253">
        <f t="shared" si="6"/>
        <v>40</v>
      </c>
      <c r="C65" s="254">
        <v>98</v>
      </c>
      <c r="D65" s="255" t="str">
        <f>HYPERLINK("https://sites.wustl.edu/meteoritesite/items/lm_dag_262/",W65)</f>
        <v>Dar al Gani 1042</v>
      </c>
      <c r="E65" s="631" t="s">
        <v>126</v>
      </c>
      <c r="F65" s="638"/>
      <c r="G65" s="638"/>
      <c r="H65" s="632"/>
      <c r="I65" s="635"/>
      <c r="J65" s="636"/>
      <c r="K65" s="636"/>
      <c r="L65" s="637"/>
      <c r="M65" s="624">
        <v>801</v>
      </c>
      <c r="N65" s="625"/>
      <c r="O65" s="626" t="s">
        <v>708</v>
      </c>
      <c r="P65" s="627"/>
      <c r="Q65" s="628"/>
      <c r="R65" s="631" t="s">
        <v>6</v>
      </c>
      <c r="S65" s="632"/>
      <c r="T65" s="304">
        <v>1</v>
      </c>
      <c r="W65" s="101" t="s">
        <v>169</v>
      </c>
      <c r="X65" s="61"/>
      <c r="Y65" s="243">
        <v>801</v>
      </c>
      <c r="Z65" s="243">
        <f t="shared" si="14"/>
        <v>801</v>
      </c>
      <c r="AB65" s="196"/>
      <c r="AC65" s="199"/>
    </row>
    <row r="66" spans="1:29" ht="20.100000000000001" customHeight="1" x14ac:dyDescent="0.25">
      <c r="A66" s="36"/>
      <c r="B66" s="253">
        <f t="shared" si="6"/>
        <v>41</v>
      </c>
      <c r="C66" s="254">
        <v>99</v>
      </c>
      <c r="D66" s="255" t="str">
        <f>HYPERLINK("https://sites.wustl.edu/meteoritesite/items/lm_dag_262/",W66)</f>
        <v>Dar al Gani 1048</v>
      </c>
      <c r="E66" s="631" t="s">
        <v>127</v>
      </c>
      <c r="F66" s="638"/>
      <c r="G66" s="638"/>
      <c r="H66" s="632"/>
      <c r="I66" s="635"/>
      <c r="J66" s="636"/>
      <c r="K66" s="636"/>
      <c r="L66" s="637"/>
      <c r="M66" s="624">
        <v>0.80100000000000005</v>
      </c>
      <c r="N66" s="625"/>
      <c r="O66" s="626" t="s">
        <v>709</v>
      </c>
      <c r="P66" s="627"/>
      <c r="Q66" s="628"/>
      <c r="R66" s="631" t="s">
        <v>6</v>
      </c>
      <c r="S66" s="632"/>
      <c r="T66" s="304">
        <v>0</v>
      </c>
      <c r="W66" s="101" t="s">
        <v>170</v>
      </c>
      <c r="X66" s="61"/>
      <c r="Y66" s="243">
        <v>0.80100000000000005</v>
      </c>
      <c r="Z66" s="243">
        <f t="shared" si="14"/>
        <v>0.80100000000000005</v>
      </c>
      <c r="AB66" s="196"/>
      <c r="AC66" s="199"/>
    </row>
    <row r="67" spans="1:29" ht="20.100000000000001" customHeight="1" x14ac:dyDescent="0.25">
      <c r="A67" s="36"/>
      <c r="B67" s="253">
        <f t="shared" si="6"/>
        <v>42</v>
      </c>
      <c r="C67" s="254">
        <v>162</v>
      </c>
      <c r="D67" s="255" t="str">
        <f>HYPERLINK("https://sites.wustl.edu/meteoritesite/items/lm_dag_400/",W67)</f>
        <v>Dar al Gani 1058</v>
      </c>
      <c r="E67" s="631">
        <v>400</v>
      </c>
      <c r="F67" s="638"/>
      <c r="G67" s="638"/>
      <c r="H67" s="632"/>
      <c r="I67" s="631" t="s">
        <v>157</v>
      </c>
      <c r="J67" s="638"/>
      <c r="K67" s="638"/>
      <c r="L67" s="632"/>
      <c r="M67" s="624">
        <v>1815</v>
      </c>
      <c r="N67" s="625"/>
      <c r="O67" s="626" t="s">
        <v>710</v>
      </c>
      <c r="P67" s="627"/>
      <c r="Q67" s="628"/>
      <c r="R67" s="631" t="s">
        <v>6</v>
      </c>
      <c r="S67" s="632"/>
      <c r="T67" s="304">
        <v>1</v>
      </c>
      <c r="W67" s="102" t="s">
        <v>171</v>
      </c>
      <c r="X67" s="61"/>
      <c r="Y67" s="243">
        <v>1815</v>
      </c>
      <c r="Z67" s="243">
        <f t="shared" si="14"/>
        <v>1815</v>
      </c>
      <c r="AB67" s="196"/>
      <c r="AC67" s="199"/>
    </row>
    <row r="68" spans="1:29" ht="20.100000000000001" customHeight="1" x14ac:dyDescent="0.25">
      <c r="A68" s="36"/>
      <c r="B68" s="131">
        <f t="shared" si="6"/>
        <v>43</v>
      </c>
      <c r="C68" s="252">
        <v>690</v>
      </c>
      <c r="D68" s="101" t="str">
        <f>HYPERLINK("https://sites.wustl.edu/meteoritesite/items/lm_dayer-el-aam_003/",W68)</f>
        <v>Dayet el Aam 003</v>
      </c>
      <c r="E68" s="397" t="s">
        <v>532</v>
      </c>
      <c r="F68" s="398"/>
      <c r="G68" s="398"/>
      <c r="H68" s="399"/>
      <c r="I68" s="298"/>
      <c r="J68" s="299"/>
      <c r="K68" s="299"/>
      <c r="L68" s="300"/>
      <c r="M68" s="390">
        <v>225</v>
      </c>
      <c r="N68" s="623"/>
      <c r="O68" s="392" t="s">
        <v>1339</v>
      </c>
      <c r="P68" s="393"/>
      <c r="Q68" s="394"/>
      <c r="R68" s="384" t="s">
        <v>1259</v>
      </c>
      <c r="S68" s="386"/>
      <c r="T68" s="297">
        <v>0</v>
      </c>
      <c r="W68" s="101" t="s">
        <v>1672</v>
      </c>
      <c r="X68" s="61"/>
      <c r="Y68" s="260">
        <v>225</v>
      </c>
      <c r="Z68" s="260">
        <f t="shared" si="14"/>
        <v>225</v>
      </c>
      <c r="AB68" s="196"/>
      <c r="AC68" s="199"/>
    </row>
    <row r="69" spans="1:29" ht="36" customHeight="1" x14ac:dyDescent="0.25">
      <c r="A69" s="36"/>
      <c r="B69" s="125" t="s">
        <v>402</v>
      </c>
      <c r="C69" s="30" t="s">
        <v>1034</v>
      </c>
      <c r="D69" s="33" t="s">
        <v>915</v>
      </c>
      <c r="E69" s="420" t="s">
        <v>916</v>
      </c>
      <c r="F69" s="421"/>
      <c r="G69" s="421"/>
      <c r="H69" s="422"/>
      <c r="I69" s="423" t="s">
        <v>917</v>
      </c>
      <c r="J69" s="424"/>
      <c r="K69" s="424"/>
      <c r="L69" s="425"/>
      <c r="M69" s="430" t="s">
        <v>918</v>
      </c>
      <c r="N69" s="431"/>
      <c r="O69" s="426" t="s">
        <v>919</v>
      </c>
      <c r="P69" s="427"/>
      <c r="Q69" s="428"/>
      <c r="R69" s="423" t="s">
        <v>920</v>
      </c>
      <c r="S69" s="425"/>
      <c r="T69" s="5" t="s">
        <v>5</v>
      </c>
      <c r="Y69" s="243"/>
      <c r="AB69" s="196"/>
      <c r="AC69" s="199"/>
    </row>
    <row r="70" spans="1:29" ht="20.100000000000001" customHeight="1" x14ac:dyDescent="0.25">
      <c r="A70" s="36"/>
      <c r="B70" s="132">
        <f>B68+1</f>
        <v>44</v>
      </c>
      <c r="C70" s="71">
        <v>19</v>
      </c>
      <c r="D70" s="100" t="str">
        <f>HYPERLINK("https://sites.wustl.edu/meteoritesite/items/lm_dho_0025_clan/",W70)</f>
        <v>Dhofar 025</v>
      </c>
      <c r="E70" s="445" t="s">
        <v>9</v>
      </c>
      <c r="F70" s="446"/>
      <c r="G70" s="446"/>
      <c r="H70" s="447"/>
      <c r="I70" s="454"/>
      <c r="J70" s="567"/>
      <c r="K70" s="567"/>
      <c r="L70" s="455"/>
      <c r="M70" s="454">
        <v>751</v>
      </c>
      <c r="N70" s="455"/>
      <c r="O70" s="448" t="s">
        <v>711</v>
      </c>
      <c r="P70" s="449"/>
      <c r="Q70" s="450"/>
      <c r="R70" s="445" t="s">
        <v>6</v>
      </c>
      <c r="S70" s="447"/>
      <c r="T70" s="305">
        <v>1</v>
      </c>
      <c r="W70" s="100" t="s">
        <v>172</v>
      </c>
      <c r="X70" s="61"/>
      <c r="Y70" s="243">
        <v>751</v>
      </c>
      <c r="AA70" s="195">
        <f>Y70</f>
        <v>751</v>
      </c>
      <c r="AB70" s="196"/>
      <c r="AC70" s="199"/>
    </row>
    <row r="71" spans="1:29" ht="20.100000000000001" customHeight="1" x14ac:dyDescent="0.25">
      <c r="B71" s="132">
        <f t="shared" si="6"/>
        <v>45</v>
      </c>
      <c r="C71" s="71">
        <v>20</v>
      </c>
      <c r="D71" s="100" t="str">
        <f>HYPERLINK("https://sites.wustl.edu/meteoritesite/items/lm_dho_026_clan/",W71)</f>
        <v>Dhofar 026</v>
      </c>
      <c r="E71" s="445" t="s">
        <v>10</v>
      </c>
      <c r="F71" s="446"/>
      <c r="G71" s="446"/>
      <c r="H71" s="447"/>
      <c r="I71" s="454"/>
      <c r="J71" s="567"/>
      <c r="K71" s="567"/>
      <c r="L71" s="455"/>
      <c r="M71" s="454">
        <v>148</v>
      </c>
      <c r="N71" s="455"/>
      <c r="O71" s="448" t="s">
        <v>712</v>
      </c>
      <c r="P71" s="449"/>
      <c r="Q71" s="450"/>
      <c r="R71" s="445" t="s">
        <v>6</v>
      </c>
      <c r="S71" s="447"/>
      <c r="T71" s="305">
        <v>1</v>
      </c>
      <c r="W71" s="100" t="s">
        <v>173</v>
      </c>
      <c r="X71" s="61"/>
      <c r="Y71" s="243">
        <v>148</v>
      </c>
      <c r="AA71" s="195">
        <f t="shared" ref="AA71:AA131" si="15">Y71</f>
        <v>148</v>
      </c>
      <c r="AB71" s="196"/>
      <c r="AC71" s="199"/>
    </row>
    <row r="72" spans="1:29" ht="20.100000000000001" customHeight="1" x14ac:dyDescent="0.25">
      <c r="A72" s="36"/>
      <c r="B72" s="132">
        <f t="shared" si="6"/>
        <v>46</v>
      </c>
      <c r="C72" s="71">
        <v>23</v>
      </c>
      <c r="D72" s="103" t="str">
        <f>HYPERLINK("https://sites.wustl.edu/meteoritesite/items/lm_dho_0081_clan/",W72)</f>
        <v>Dhofar 081</v>
      </c>
      <c r="E72" s="445" t="s">
        <v>11</v>
      </c>
      <c r="F72" s="446"/>
      <c r="G72" s="446"/>
      <c r="H72" s="447"/>
      <c r="I72" s="454"/>
      <c r="J72" s="567"/>
      <c r="K72" s="567"/>
      <c r="L72" s="455"/>
      <c r="M72" s="454">
        <v>174</v>
      </c>
      <c r="N72" s="455"/>
      <c r="O72" s="448" t="s">
        <v>713</v>
      </c>
      <c r="P72" s="449"/>
      <c r="Q72" s="450"/>
      <c r="R72" s="445" t="s">
        <v>6</v>
      </c>
      <c r="S72" s="447"/>
      <c r="T72" s="305">
        <v>1</v>
      </c>
      <c r="W72" s="100" t="s">
        <v>174</v>
      </c>
      <c r="X72" s="61"/>
      <c r="Y72" s="243">
        <v>174</v>
      </c>
      <c r="AA72" s="195">
        <f t="shared" si="15"/>
        <v>174</v>
      </c>
      <c r="AB72" s="196"/>
      <c r="AC72" s="199"/>
    </row>
    <row r="73" spans="1:29" ht="20.100000000000001" customHeight="1" x14ac:dyDescent="0.25">
      <c r="A73" s="36"/>
      <c r="B73" s="132">
        <f t="shared" si="6"/>
        <v>47</v>
      </c>
      <c r="C73" s="71">
        <v>24</v>
      </c>
      <c r="D73" s="103" t="str">
        <f>HYPERLINK("https://sites.wustl.edu/meteoritesite/items/lm_dho_0081_clan/",W73)</f>
        <v>Dhofar 280</v>
      </c>
      <c r="E73" s="445" t="s">
        <v>152</v>
      </c>
      <c r="F73" s="446"/>
      <c r="G73" s="446"/>
      <c r="H73" s="447"/>
      <c r="I73" s="454"/>
      <c r="J73" s="567"/>
      <c r="K73" s="567"/>
      <c r="L73" s="455"/>
      <c r="M73" s="454">
        <v>251.2</v>
      </c>
      <c r="N73" s="455"/>
      <c r="O73" s="448" t="s">
        <v>714</v>
      </c>
      <c r="P73" s="449"/>
      <c r="Q73" s="450"/>
      <c r="R73" s="445" t="s">
        <v>6</v>
      </c>
      <c r="S73" s="447"/>
      <c r="T73" s="305">
        <v>1</v>
      </c>
      <c r="W73" s="100" t="s">
        <v>175</v>
      </c>
      <c r="X73" s="61"/>
      <c r="Y73" s="243">
        <v>251.2</v>
      </c>
      <c r="AA73" s="195">
        <f t="shared" si="15"/>
        <v>251.2</v>
      </c>
      <c r="AB73" s="196"/>
      <c r="AC73" s="199"/>
    </row>
    <row r="74" spans="1:29" ht="20.100000000000001" customHeight="1" x14ac:dyDescent="0.25">
      <c r="A74" s="36"/>
      <c r="B74" s="133">
        <f t="shared" si="6"/>
        <v>48</v>
      </c>
      <c r="C74" s="72">
        <v>25</v>
      </c>
      <c r="D74" s="103" t="str">
        <f>HYPERLINK("https://sites.wustl.edu/meteoritesite/items/lm_dho_0287/",W74)</f>
        <v>Dhofar 287</v>
      </c>
      <c r="E74" s="451"/>
      <c r="F74" s="452"/>
      <c r="G74" s="452"/>
      <c r="H74" s="453"/>
      <c r="I74" s="454"/>
      <c r="J74" s="567"/>
      <c r="K74" s="567"/>
      <c r="L74" s="455"/>
      <c r="M74" s="454">
        <v>154</v>
      </c>
      <c r="N74" s="455"/>
      <c r="O74" s="448" t="s">
        <v>715</v>
      </c>
      <c r="P74" s="449"/>
      <c r="Q74" s="450"/>
      <c r="R74" s="445" t="s">
        <v>1574</v>
      </c>
      <c r="S74" s="447"/>
      <c r="T74" s="306">
        <v>1</v>
      </c>
      <c r="W74" s="103" t="s">
        <v>176</v>
      </c>
      <c r="X74" s="61"/>
      <c r="Y74" s="243">
        <v>154</v>
      </c>
      <c r="AA74" s="195">
        <f t="shared" si="15"/>
        <v>154</v>
      </c>
      <c r="AB74" s="196"/>
      <c r="AC74" s="199"/>
    </row>
    <row r="75" spans="1:29" ht="20.100000000000001" customHeight="1" x14ac:dyDescent="0.25">
      <c r="A75" s="36"/>
      <c r="B75" s="132">
        <f t="shared" si="6"/>
        <v>49</v>
      </c>
      <c r="C75" s="71">
        <v>30</v>
      </c>
      <c r="D75" s="100" t="str">
        <f>HYPERLINK("https://sites.wustl.edu/meteoritesite/items/lm_dho_0025_clan/",W75)</f>
        <v>Dhofar 301</v>
      </c>
      <c r="E75" s="445" t="s">
        <v>153</v>
      </c>
      <c r="F75" s="446"/>
      <c r="G75" s="446"/>
      <c r="H75" s="447"/>
      <c r="I75" s="454"/>
      <c r="J75" s="567"/>
      <c r="K75" s="567"/>
      <c r="L75" s="455"/>
      <c r="M75" s="454">
        <v>9</v>
      </c>
      <c r="N75" s="455"/>
      <c r="O75" s="448" t="s">
        <v>716</v>
      </c>
      <c r="P75" s="449"/>
      <c r="Q75" s="450"/>
      <c r="R75" s="445" t="s">
        <v>6</v>
      </c>
      <c r="S75" s="447"/>
      <c r="T75" s="305">
        <v>1</v>
      </c>
      <c r="W75" s="100" t="s">
        <v>177</v>
      </c>
      <c r="X75" s="61"/>
      <c r="Y75" s="243">
        <v>9</v>
      </c>
      <c r="AA75" s="195">
        <f t="shared" si="15"/>
        <v>9</v>
      </c>
      <c r="AB75" s="196"/>
      <c r="AC75" s="199"/>
    </row>
    <row r="76" spans="1:29" ht="20.100000000000001" customHeight="1" x14ac:dyDescent="0.25">
      <c r="A76" s="36"/>
      <c r="B76" s="132">
        <f t="shared" si="6"/>
        <v>50</v>
      </c>
      <c r="C76" s="71">
        <v>31</v>
      </c>
      <c r="D76" s="100" t="str">
        <f>HYPERLINK("https://sites.wustl.edu/meteoritesite/items/lm_dho_0302/",W76)</f>
        <v>Dhofar 302</v>
      </c>
      <c r="E76" s="445" t="s">
        <v>74</v>
      </c>
      <c r="F76" s="446"/>
      <c r="G76" s="446"/>
      <c r="H76" s="447"/>
      <c r="I76" s="454"/>
      <c r="J76" s="567"/>
      <c r="K76" s="567"/>
      <c r="L76" s="455"/>
      <c r="M76" s="454">
        <v>3.83</v>
      </c>
      <c r="N76" s="455"/>
      <c r="O76" s="448" t="s">
        <v>717</v>
      </c>
      <c r="P76" s="449"/>
      <c r="Q76" s="450"/>
      <c r="R76" s="445" t="s">
        <v>6</v>
      </c>
      <c r="S76" s="447"/>
      <c r="T76" s="305">
        <v>1</v>
      </c>
      <c r="W76" s="100" t="s">
        <v>178</v>
      </c>
      <c r="X76" s="61"/>
      <c r="Y76" s="243">
        <v>3.83</v>
      </c>
      <c r="AA76" s="195">
        <f t="shared" si="15"/>
        <v>3.83</v>
      </c>
      <c r="AB76" s="196"/>
      <c r="AC76" s="199"/>
    </row>
    <row r="77" spans="1:29" ht="20.100000000000001" customHeight="1" x14ac:dyDescent="0.25">
      <c r="A77" s="36"/>
      <c r="B77" s="132">
        <f t="shared" si="6"/>
        <v>51</v>
      </c>
      <c r="C77" s="71">
        <v>32</v>
      </c>
      <c r="D77" s="100" t="str">
        <f>HYPERLINK("https://sites.wustl.edu/meteoritesite/items/lm_dho_303_clan/",W77)</f>
        <v>Dhofar 303</v>
      </c>
      <c r="E77" s="445" t="s">
        <v>128</v>
      </c>
      <c r="F77" s="446"/>
      <c r="G77" s="446"/>
      <c r="H77" s="447"/>
      <c r="I77" s="454"/>
      <c r="J77" s="567"/>
      <c r="K77" s="567"/>
      <c r="L77" s="455"/>
      <c r="M77" s="454">
        <v>4.1500000000000004</v>
      </c>
      <c r="N77" s="455"/>
      <c r="O77" s="448" t="s">
        <v>717</v>
      </c>
      <c r="P77" s="449"/>
      <c r="Q77" s="450"/>
      <c r="R77" s="445" t="s">
        <v>6</v>
      </c>
      <c r="S77" s="447"/>
      <c r="T77" s="305">
        <v>1</v>
      </c>
      <c r="W77" s="100" t="s">
        <v>179</v>
      </c>
      <c r="X77" s="61"/>
      <c r="Y77" s="243">
        <v>4.1500000000000004</v>
      </c>
      <c r="AA77" s="195">
        <f t="shared" si="15"/>
        <v>4.1500000000000004</v>
      </c>
      <c r="AB77" s="196"/>
      <c r="AC77" s="199"/>
    </row>
    <row r="78" spans="1:29" ht="20.100000000000001" customHeight="1" x14ac:dyDescent="0.25">
      <c r="A78" s="36"/>
      <c r="B78" s="132">
        <f t="shared" si="6"/>
        <v>52</v>
      </c>
      <c r="C78" s="71">
        <v>34</v>
      </c>
      <c r="D78" s="100" t="str">
        <f>HYPERLINK("https://sites.wustl.edu/meteoritesite/items/lm_dho_0025_clan/",W78)</f>
        <v>Dhofar 304</v>
      </c>
      <c r="E78" s="445" t="s">
        <v>153</v>
      </c>
      <c r="F78" s="446"/>
      <c r="G78" s="446"/>
      <c r="H78" s="447"/>
      <c r="I78" s="454"/>
      <c r="J78" s="567"/>
      <c r="K78" s="567"/>
      <c r="L78" s="455"/>
      <c r="M78" s="454">
        <v>10</v>
      </c>
      <c r="N78" s="455"/>
      <c r="O78" s="448" t="s">
        <v>716</v>
      </c>
      <c r="P78" s="449"/>
      <c r="Q78" s="450"/>
      <c r="R78" s="445" t="s">
        <v>6</v>
      </c>
      <c r="S78" s="447"/>
      <c r="T78" s="305">
        <v>1</v>
      </c>
      <c r="W78" s="100" t="s">
        <v>180</v>
      </c>
      <c r="X78" s="61"/>
      <c r="Y78" s="243">
        <v>10</v>
      </c>
      <c r="AA78" s="195">
        <f t="shared" si="15"/>
        <v>10</v>
      </c>
      <c r="AB78" s="196"/>
      <c r="AC78" s="199"/>
    </row>
    <row r="79" spans="1:29" ht="20.100000000000001" customHeight="1" x14ac:dyDescent="0.25">
      <c r="A79" s="36"/>
      <c r="B79" s="132">
        <f t="shared" si="6"/>
        <v>53</v>
      </c>
      <c r="C79" s="71">
        <v>35</v>
      </c>
      <c r="D79" s="100" t="str">
        <f>HYPERLINK("https://sites.wustl.edu/meteoritesite/items/lm_dho_303_clan/",W79)</f>
        <v>Dhofar 305</v>
      </c>
      <c r="E79" s="445" t="s">
        <v>75</v>
      </c>
      <c r="F79" s="446"/>
      <c r="G79" s="446"/>
      <c r="H79" s="447"/>
      <c r="I79" s="454"/>
      <c r="J79" s="567"/>
      <c r="K79" s="567"/>
      <c r="L79" s="455"/>
      <c r="M79" s="454">
        <v>34.11</v>
      </c>
      <c r="N79" s="455"/>
      <c r="O79" s="448" t="s">
        <v>717</v>
      </c>
      <c r="P79" s="449"/>
      <c r="Q79" s="450"/>
      <c r="R79" s="445" t="s">
        <v>6</v>
      </c>
      <c r="S79" s="447"/>
      <c r="T79" s="305">
        <v>1</v>
      </c>
      <c r="W79" s="100" t="s">
        <v>181</v>
      </c>
      <c r="X79" s="61"/>
      <c r="Y79" s="243">
        <v>34.11</v>
      </c>
      <c r="AA79" s="195">
        <f t="shared" si="15"/>
        <v>34.11</v>
      </c>
      <c r="AB79" s="196"/>
      <c r="AC79" s="199"/>
    </row>
    <row r="80" spans="1:29" ht="20.100000000000001" customHeight="1" x14ac:dyDescent="0.25">
      <c r="A80" s="36"/>
      <c r="B80" s="132">
        <f t="shared" si="6"/>
        <v>54</v>
      </c>
      <c r="C80" s="71">
        <v>36</v>
      </c>
      <c r="D80" s="100" t="str">
        <f>HYPERLINK("https://sites.wustl.edu/meteoritesite/items/lm_dho_303_clan/",W80)</f>
        <v>Dhofar 306</v>
      </c>
      <c r="E80" s="445" t="s">
        <v>75</v>
      </c>
      <c r="F80" s="446"/>
      <c r="G80" s="446"/>
      <c r="H80" s="447"/>
      <c r="I80" s="454"/>
      <c r="J80" s="567"/>
      <c r="K80" s="567"/>
      <c r="L80" s="455"/>
      <c r="M80" s="454">
        <v>12.86</v>
      </c>
      <c r="N80" s="455"/>
      <c r="O80" s="448" t="s">
        <v>718</v>
      </c>
      <c r="P80" s="449"/>
      <c r="Q80" s="450"/>
      <c r="R80" s="445" t="s">
        <v>6</v>
      </c>
      <c r="S80" s="447"/>
      <c r="T80" s="305">
        <v>1</v>
      </c>
      <c r="W80" s="100" t="s">
        <v>182</v>
      </c>
      <c r="X80" s="61"/>
      <c r="Y80" s="243">
        <v>12.86</v>
      </c>
      <c r="AA80" s="195">
        <f t="shared" si="15"/>
        <v>12.86</v>
      </c>
      <c r="AB80" s="196"/>
      <c r="AC80" s="199"/>
    </row>
    <row r="81" spans="1:29" ht="20.100000000000001" customHeight="1" x14ac:dyDescent="0.25">
      <c r="A81" s="36"/>
      <c r="B81" s="132">
        <f t="shared" si="6"/>
        <v>55</v>
      </c>
      <c r="C81" s="71">
        <v>37</v>
      </c>
      <c r="D81" s="100" t="str">
        <f>HYPERLINK("https://sites.wustl.edu/meteoritesite/items/lm_dho_303_clan/",W81)</f>
        <v>Dhofar 307</v>
      </c>
      <c r="E81" s="445" t="s">
        <v>75</v>
      </c>
      <c r="F81" s="446"/>
      <c r="G81" s="446"/>
      <c r="H81" s="447"/>
      <c r="I81" s="454"/>
      <c r="J81" s="567"/>
      <c r="K81" s="567"/>
      <c r="L81" s="455"/>
      <c r="M81" s="454">
        <v>50</v>
      </c>
      <c r="N81" s="455"/>
      <c r="O81" s="448" t="s">
        <v>714</v>
      </c>
      <c r="P81" s="449"/>
      <c r="Q81" s="450"/>
      <c r="R81" s="445" t="s">
        <v>6</v>
      </c>
      <c r="S81" s="447"/>
      <c r="T81" s="305">
        <v>0</v>
      </c>
      <c r="W81" s="100" t="s">
        <v>183</v>
      </c>
      <c r="X81" s="61"/>
      <c r="Y81" s="243">
        <v>50</v>
      </c>
      <c r="AA81" s="195">
        <f t="shared" si="15"/>
        <v>50</v>
      </c>
      <c r="AB81" s="196"/>
      <c r="AC81" s="199"/>
    </row>
    <row r="82" spans="1:29" ht="20.100000000000001" customHeight="1" x14ac:dyDescent="0.25">
      <c r="A82" s="36"/>
      <c r="B82" s="132">
        <f t="shared" si="6"/>
        <v>56</v>
      </c>
      <c r="C82" s="71">
        <v>38</v>
      </c>
      <c r="D82" s="100" t="str">
        <f>HYPERLINK("https://sites.wustl.edu/meteoritesite/items/lm_dho_0025_clan/",W82)</f>
        <v>Dhofar 308</v>
      </c>
      <c r="E82" s="445" t="s">
        <v>153</v>
      </c>
      <c r="F82" s="446"/>
      <c r="G82" s="446"/>
      <c r="H82" s="447"/>
      <c r="I82" s="454"/>
      <c r="J82" s="567"/>
      <c r="K82" s="567"/>
      <c r="L82" s="455"/>
      <c r="M82" s="454">
        <v>2</v>
      </c>
      <c r="N82" s="455"/>
      <c r="O82" s="448" t="s">
        <v>716</v>
      </c>
      <c r="P82" s="449"/>
      <c r="Q82" s="450"/>
      <c r="R82" s="445" t="s">
        <v>6</v>
      </c>
      <c r="S82" s="447"/>
      <c r="T82" s="305">
        <v>0</v>
      </c>
      <c r="W82" s="100" t="s">
        <v>184</v>
      </c>
      <c r="X82" s="61"/>
      <c r="Y82" s="243">
        <v>2</v>
      </c>
      <c r="AA82" s="195">
        <f t="shared" si="15"/>
        <v>2</v>
      </c>
      <c r="AB82" s="196"/>
      <c r="AC82" s="199"/>
    </row>
    <row r="83" spans="1:29" ht="20.100000000000001" customHeight="1" x14ac:dyDescent="0.25">
      <c r="A83" s="36"/>
      <c r="B83" s="132">
        <f t="shared" si="6"/>
        <v>57</v>
      </c>
      <c r="C83" s="71">
        <v>41</v>
      </c>
      <c r="D83" s="100" t="str">
        <f>HYPERLINK("https://sites.wustl.edu/meteoritesite/items/lm_dho_303_clan/",W83)</f>
        <v>Dhofar 309</v>
      </c>
      <c r="E83" s="445" t="s">
        <v>75</v>
      </c>
      <c r="F83" s="446"/>
      <c r="G83" s="446"/>
      <c r="H83" s="447"/>
      <c r="I83" s="454"/>
      <c r="J83" s="567"/>
      <c r="K83" s="567"/>
      <c r="L83" s="455"/>
      <c r="M83" s="454">
        <v>81.3</v>
      </c>
      <c r="N83" s="455"/>
      <c r="O83" s="448" t="s">
        <v>719</v>
      </c>
      <c r="P83" s="449"/>
      <c r="Q83" s="450"/>
      <c r="R83" s="445" t="s">
        <v>6</v>
      </c>
      <c r="S83" s="447"/>
      <c r="T83" s="305">
        <v>1</v>
      </c>
      <c r="W83" s="100" t="s">
        <v>185</v>
      </c>
      <c r="X83" s="61"/>
      <c r="Y83" s="243">
        <v>81.3</v>
      </c>
      <c r="AA83" s="195">
        <f t="shared" si="15"/>
        <v>81.3</v>
      </c>
      <c r="AB83" s="196"/>
      <c r="AC83" s="199"/>
    </row>
    <row r="84" spans="1:29" ht="20.100000000000001" customHeight="1" x14ac:dyDescent="0.25">
      <c r="A84" s="36"/>
      <c r="B84" s="132">
        <f t="shared" si="6"/>
        <v>58</v>
      </c>
      <c r="C84" s="71">
        <v>42</v>
      </c>
      <c r="D84" s="100" t="str">
        <f>HYPERLINK("https://sites.wustl.edu/meteoritesite/items/lm_dho_303_clan/",W84)</f>
        <v>Dhofar 310</v>
      </c>
      <c r="E84" s="445" t="s">
        <v>75</v>
      </c>
      <c r="F84" s="446"/>
      <c r="G84" s="446"/>
      <c r="H84" s="447"/>
      <c r="I84" s="454"/>
      <c r="J84" s="567"/>
      <c r="K84" s="567"/>
      <c r="L84" s="455"/>
      <c r="M84" s="454">
        <v>10.8</v>
      </c>
      <c r="N84" s="455"/>
      <c r="O84" s="448" t="s">
        <v>922</v>
      </c>
      <c r="P84" s="449"/>
      <c r="Q84" s="450"/>
      <c r="R84" s="445" t="s">
        <v>6</v>
      </c>
      <c r="S84" s="447"/>
      <c r="T84" s="305">
        <v>1</v>
      </c>
      <c r="W84" s="100" t="s">
        <v>186</v>
      </c>
      <c r="X84" s="61"/>
      <c r="Y84" s="243">
        <v>10.8</v>
      </c>
      <c r="AA84" s="195">
        <f t="shared" si="15"/>
        <v>10.8</v>
      </c>
      <c r="AB84" s="196"/>
      <c r="AC84" s="199"/>
    </row>
    <row r="85" spans="1:29" ht="20.100000000000001" customHeight="1" x14ac:dyDescent="0.25">
      <c r="A85" s="36"/>
      <c r="B85" s="132">
        <f t="shared" si="6"/>
        <v>59</v>
      </c>
      <c r="C85" s="71">
        <v>43</v>
      </c>
      <c r="D85" s="100" t="str">
        <f>HYPERLINK("https://sites.wustl.edu/meteoritesite/items/lm_dho_303_clan/",W85)</f>
        <v>Dhofar 311</v>
      </c>
      <c r="E85" s="445" t="s">
        <v>75</v>
      </c>
      <c r="F85" s="446"/>
      <c r="G85" s="446"/>
      <c r="H85" s="447"/>
      <c r="I85" s="454"/>
      <c r="J85" s="567"/>
      <c r="K85" s="567"/>
      <c r="L85" s="455"/>
      <c r="M85" s="454">
        <v>4</v>
      </c>
      <c r="N85" s="455"/>
      <c r="O85" s="448" t="s">
        <v>714</v>
      </c>
      <c r="P85" s="449"/>
      <c r="Q85" s="450"/>
      <c r="R85" s="445" t="s">
        <v>6</v>
      </c>
      <c r="S85" s="447"/>
      <c r="T85" s="305">
        <v>0</v>
      </c>
      <c r="W85" s="100" t="s">
        <v>187</v>
      </c>
      <c r="X85" s="61"/>
      <c r="Y85" s="243">
        <v>4</v>
      </c>
      <c r="AA85" s="195">
        <f t="shared" si="15"/>
        <v>4</v>
      </c>
      <c r="AB85" s="196"/>
      <c r="AC85" s="199"/>
    </row>
    <row r="86" spans="1:29" ht="20.100000000000001" customHeight="1" x14ac:dyDescent="0.25">
      <c r="A86" s="36"/>
      <c r="B86" s="132">
        <f t="shared" si="6"/>
        <v>60</v>
      </c>
      <c r="C86" s="71">
        <v>64</v>
      </c>
      <c r="D86" s="100" t="str">
        <f>HYPERLINK("https://sites.wustl.edu/meteoritesite/items/lm_dho_026_clan/",W86)</f>
        <v>Dhofar 457</v>
      </c>
      <c r="E86" s="445" t="s">
        <v>156</v>
      </c>
      <c r="F86" s="446"/>
      <c r="G86" s="446"/>
      <c r="H86" s="447"/>
      <c r="I86" s="454"/>
      <c r="J86" s="567"/>
      <c r="K86" s="567"/>
      <c r="L86" s="455"/>
      <c r="M86" s="454">
        <v>99.5</v>
      </c>
      <c r="N86" s="455"/>
      <c r="O86" s="448" t="s">
        <v>720</v>
      </c>
      <c r="P86" s="449"/>
      <c r="Q86" s="450"/>
      <c r="R86" s="445" t="s">
        <v>6</v>
      </c>
      <c r="S86" s="447"/>
      <c r="T86" s="305">
        <v>0</v>
      </c>
      <c r="W86" s="100" t="s">
        <v>188</v>
      </c>
      <c r="X86" s="61"/>
      <c r="Y86" s="243">
        <v>99.5</v>
      </c>
      <c r="AA86" s="195">
        <f t="shared" si="15"/>
        <v>99.5</v>
      </c>
      <c r="AB86" s="196"/>
      <c r="AC86" s="199"/>
    </row>
    <row r="87" spans="1:29" ht="20.100000000000001" customHeight="1" x14ac:dyDescent="0.25">
      <c r="A87" s="36"/>
      <c r="B87" s="132">
        <f t="shared" si="6"/>
        <v>61</v>
      </c>
      <c r="C87" s="71">
        <v>65</v>
      </c>
      <c r="D87" s="100" t="str">
        <f t="shared" ref="D87:D97" si="16">HYPERLINK("https://sites.wustl.edu/meteoritesite/items/lm_dho_026_clan/",W87)</f>
        <v>Dhofar 458</v>
      </c>
      <c r="E87" s="445" t="s">
        <v>156</v>
      </c>
      <c r="F87" s="446"/>
      <c r="G87" s="446"/>
      <c r="H87" s="447"/>
      <c r="I87" s="454"/>
      <c r="J87" s="567"/>
      <c r="K87" s="567"/>
      <c r="L87" s="455"/>
      <c r="M87" s="454">
        <v>36.700000000000003</v>
      </c>
      <c r="N87" s="455"/>
      <c r="O87" s="448" t="s">
        <v>720</v>
      </c>
      <c r="P87" s="449"/>
      <c r="Q87" s="450"/>
      <c r="R87" s="445" t="s">
        <v>6</v>
      </c>
      <c r="S87" s="447"/>
      <c r="T87" s="305">
        <v>1</v>
      </c>
      <c r="W87" s="100" t="s">
        <v>189</v>
      </c>
      <c r="X87" s="61"/>
      <c r="Y87" s="243">
        <v>36.700000000000003</v>
      </c>
      <c r="AA87" s="195">
        <f t="shared" si="15"/>
        <v>36.700000000000003</v>
      </c>
      <c r="AB87" s="196"/>
      <c r="AC87" s="199"/>
    </row>
    <row r="88" spans="1:29" ht="20.100000000000001" customHeight="1" x14ac:dyDescent="0.25">
      <c r="A88" s="36"/>
      <c r="B88" s="132">
        <f t="shared" si="6"/>
        <v>62</v>
      </c>
      <c r="C88" s="71">
        <v>66</v>
      </c>
      <c r="D88" s="100" t="str">
        <f t="shared" si="16"/>
        <v>Dhofar 459</v>
      </c>
      <c r="E88" s="445" t="s">
        <v>156</v>
      </c>
      <c r="F88" s="446"/>
      <c r="G88" s="446"/>
      <c r="H88" s="447"/>
      <c r="I88" s="454"/>
      <c r="J88" s="567"/>
      <c r="K88" s="567"/>
      <c r="L88" s="455"/>
      <c r="M88" s="454">
        <v>31.5</v>
      </c>
      <c r="N88" s="455"/>
      <c r="O88" s="448" t="s">
        <v>720</v>
      </c>
      <c r="P88" s="449"/>
      <c r="Q88" s="450"/>
      <c r="R88" s="445" t="s">
        <v>6</v>
      </c>
      <c r="S88" s="447"/>
      <c r="T88" s="305">
        <v>0</v>
      </c>
      <c r="W88" s="100" t="s">
        <v>190</v>
      </c>
      <c r="X88" s="61"/>
      <c r="Y88" s="243">
        <v>31.5</v>
      </c>
      <c r="AA88" s="195">
        <f t="shared" si="15"/>
        <v>31.5</v>
      </c>
      <c r="AB88" s="196"/>
      <c r="AC88" s="199"/>
    </row>
    <row r="89" spans="1:29" ht="20.100000000000001" customHeight="1" x14ac:dyDescent="0.25">
      <c r="A89" s="36"/>
      <c r="B89" s="132">
        <f t="shared" si="6"/>
        <v>63</v>
      </c>
      <c r="C89" s="71">
        <v>67</v>
      </c>
      <c r="D89" s="100" t="str">
        <f t="shared" si="16"/>
        <v>Dhofar 460</v>
      </c>
      <c r="E89" s="445" t="s">
        <v>156</v>
      </c>
      <c r="F89" s="446"/>
      <c r="G89" s="446"/>
      <c r="H89" s="447"/>
      <c r="I89" s="454"/>
      <c r="J89" s="567"/>
      <c r="K89" s="567"/>
      <c r="L89" s="455"/>
      <c r="M89" s="454">
        <v>73.099999999999994</v>
      </c>
      <c r="N89" s="455"/>
      <c r="O89" s="448" t="s">
        <v>721</v>
      </c>
      <c r="P89" s="449"/>
      <c r="Q89" s="450"/>
      <c r="R89" s="445" t="s">
        <v>6</v>
      </c>
      <c r="S89" s="447"/>
      <c r="T89" s="305">
        <v>0</v>
      </c>
      <c r="W89" s="100" t="s">
        <v>191</v>
      </c>
      <c r="X89" s="61"/>
      <c r="Y89" s="243">
        <v>73.099999999999994</v>
      </c>
      <c r="AA89" s="195">
        <f t="shared" si="15"/>
        <v>73.099999999999994</v>
      </c>
      <c r="AB89" s="196"/>
      <c r="AC89" s="199"/>
    </row>
    <row r="90" spans="1:29" ht="20.100000000000001" customHeight="1" x14ac:dyDescent="0.25">
      <c r="A90" s="36"/>
      <c r="B90" s="132">
        <f t="shared" si="6"/>
        <v>64</v>
      </c>
      <c r="C90" s="71">
        <v>68</v>
      </c>
      <c r="D90" s="100" t="str">
        <f t="shared" si="16"/>
        <v>Dhofar 461</v>
      </c>
      <c r="E90" s="445" t="s">
        <v>156</v>
      </c>
      <c r="F90" s="446"/>
      <c r="G90" s="446"/>
      <c r="H90" s="447"/>
      <c r="I90" s="454"/>
      <c r="J90" s="567"/>
      <c r="K90" s="567"/>
      <c r="L90" s="455"/>
      <c r="M90" s="454">
        <v>33.700000000000003</v>
      </c>
      <c r="N90" s="455"/>
      <c r="O90" s="448" t="s">
        <v>722</v>
      </c>
      <c r="P90" s="449"/>
      <c r="Q90" s="450"/>
      <c r="R90" s="445" t="s">
        <v>6</v>
      </c>
      <c r="S90" s="447"/>
      <c r="T90" s="305">
        <v>1</v>
      </c>
      <c r="W90" s="100" t="s">
        <v>192</v>
      </c>
      <c r="X90" s="61"/>
      <c r="Y90" s="243">
        <v>33.700000000000003</v>
      </c>
      <c r="AA90" s="195">
        <f t="shared" si="15"/>
        <v>33.700000000000003</v>
      </c>
      <c r="AB90" s="196"/>
      <c r="AC90" s="199"/>
    </row>
    <row r="91" spans="1:29" ht="20.100000000000001" customHeight="1" x14ac:dyDescent="0.25">
      <c r="A91" s="36"/>
      <c r="B91" s="132">
        <f t="shared" si="6"/>
        <v>65</v>
      </c>
      <c r="C91" s="71">
        <v>69</v>
      </c>
      <c r="D91" s="100" t="str">
        <f t="shared" si="16"/>
        <v>Dhofar 462</v>
      </c>
      <c r="E91" s="445" t="s">
        <v>156</v>
      </c>
      <c r="F91" s="446"/>
      <c r="G91" s="446"/>
      <c r="H91" s="447"/>
      <c r="I91" s="454"/>
      <c r="J91" s="567"/>
      <c r="K91" s="567"/>
      <c r="L91" s="455"/>
      <c r="M91" s="454">
        <v>44.7</v>
      </c>
      <c r="N91" s="455"/>
      <c r="O91" s="448" t="s">
        <v>722</v>
      </c>
      <c r="P91" s="449"/>
      <c r="Q91" s="450"/>
      <c r="R91" s="445" t="s">
        <v>6</v>
      </c>
      <c r="S91" s="447"/>
      <c r="T91" s="305">
        <v>0</v>
      </c>
      <c r="W91" s="100" t="s">
        <v>193</v>
      </c>
      <c r="X91" s="61"/>
      <c r="Y91" s="243">
        <v>44.7</v>
      </c>
      <c r="AA91" s="195">
        <f t="shared" si="15"/>
        <v>44.7</v>
      </c>
      <c r="AB91" s="196"/>
      <c r="AC91" s="199"/>
    </row>
    <row r="92" spans="1:29" ht="20.100000000000001" customHeight="1" x14ac:dyDescent="0.25">
      <c r="A92" s="36"/>
      <c r="B92" s="132">
        <f t="shared" si="6"/>
        <v>66</v>
      </c>
      <c r="C92" s="71">
        <v>70</v>
      </c>
      <c r="D92" s="100" t="str">
        <f t="shared" si="16"/>
        <v>Dhofar 463</v>
      </c>
      <c r="E92" s="445" t="s">
        <v>156</v>
      </c>
      <c r="F92" s="446"/>
      <c r="G92" s="446"/>
      <c r="H92" s="447"/>
      <c r="I92" s="454"/>
      <c r="J92" s="567"/>
      <c r="K92" s="567"/>
      <c r="L92" s="455"/>
      <c r="M92" s="454">
        <v>24.3</v>
      </c>
      <c r="N92" s="455"/>
      <c r="O92" s="448" t="s">
        <v>722</v>
      </c>
      <c r="P92" s="449"/>
      <c r="Q92" s="450"/>
      <c r="R92" s="445" t="s">
        <v>6</v>
      </c>
      <c r="S92" s="447"/>
      <c r="T92" s="305">
        <v>0</v>
      </c>
      <c r="W92" s="100" t="s">
        <v>194</v>
      </c>
      <c r="X92" s="61"/>
      <c r="Y92" s="243">
        <v>24.3</v>
      </c>
      <c r="AA92" s="195">
        <f t="shared" si="15"/>
        <v>24.3</v>
      </c>
      <c r="AB92" s="196"/>
      <c r="AC92" s="199"/>
    </row>
    <row r="93" spans="1:29" ht="20.100000000000001" customHeight="1" x14ac:dyDescent="0.25">
      <c r="A93" s="36"/>
      <c r="B93" s="132">
        <f t="shared" si="6"/>
        <v>67</v>
      </c>
      <c r="C93" s="71">
        <v>71</v>
      </c>
      <c r="D93" s="100" t="str">
        <f t="shared" si="16"/>
        <v>Dhofar 464</v>
      </c>
      <c r="E93" s="445" t="s">
        <v>156</v>
      </c>
      <c r="F93" s="446"/>
      <c r="G93" s="446"/>
      <c r="H93" s="447"/>
      <c r="I93" s="454"/>
      <c r="J93" s="567"/>
      <c r="K93" s="567"/>
      <c r="L93" s="455"/>
      <c r="M93" s="454">
        <v>22.3</v>
      </c>
      <c r="N93" s="455"/>
      <c r="O93" s="448" t="s">
        <v>723</v>
      </c>
      <c r="P93" s="449"/>
      <c r="Q93" s="450"/>
      <c r="R93" s="445" t="s">
        <v>6</v>
      </c>
      <c r="S93" s="447"/>
      <c r="T93" s="305">
        <v>0</v>
      </c>
      <c r="W93" s="100" t="s">
        <v>195</v>
      </c>
      <c r="X93" s="61"/>
      <c r="Y93" s="243">
        <v>22.3</v>
      </c>
      <c r="AA93" s="195">
        <f t="shared" si="15"/>
        <v>22.3</v>
      </c>
      <c r="AB93" s="196"/>
      <c r="AC93" s="199"/>
    </row>
    <row r="94" spans="1:29" ht="20.100000000000001" customHeight="1" x14ac:dyDescent="0.25">
      <c r="A94" s="36"/>
      <c r="B94" s="132">
        <f t="shared" si="6"/>
        <v>68</v>
      </c>
      <c r="C94" s="71">
        <v>72</v>
      </c>
      <c r="D94" s="100" t="str">
        <f t="shared" si="16"/>
        <v>Dhofar 465</v>
      </c>
      <c r="E94" s="445" t="s">
        <v>156</v>
      </c>
      <c r="F94" s="446"/>
      <c r="G94" s="446"/>
      <c r="H94" s="447"/>
      <c r="I94" s="454"/>
      <c r="J94" s="567"/>
      <c r="K94" s="567"/>
      <c r="L94" s="455"/>
      <c r="M94" s="454">
        <v>70.7</v>
      </c>
      <c r="N94" s="455"/>
      <c r="O94" s="448" t="s">
        <v>723</v>
      </c>
      <c r="P94" s="449"/>
      <c r="Q94" s="450"/>
      <c r="R94" s="445" t="s">
        <v>6</v>
      </c>
      <c r="S94" s="447"/>
      <c r="T94" s="305">
        <v>0</v>
      </c>
      <c r="W94" s="100" t="s">
        <v>196</v>
      </c>
      <c r="X94" s="61"/>
      <c r="Y94" s="243">
        <v>70.7</v>
      </c>
      <c r="AA94" s="195">
        <f t="shared" si="15"/>
        <v>70.7</v>
      </c>
      <c r="AB94" s="196"/>
      <c r="AC94" s="199"/>
    </row>
    <row r="95" spans="1:29" ht="20.100000000000001" customHeight="1" x14ac:dyDescent="0.25">
      <c r="A95" s="36"/>
      <c r="B95" s="132">
        <f t="shared" si="6"/>
        <v>69</v>
      </c>
      <c r="C95" s="71">
        <v>73</v>
      </c>
      <c r="D95" s="100" t="str">
        <f t="shared" si="16"/>
        <v>Dhofar 466</v>
      </c>
      <c r="E95" s="445" t="s">
        <v>156</v>
      </c>
      <c r="F95" s="446"/>
      <c r="G95" s="446"/>
      <c r="H95" s="447"/>
      <c r="I95" s="454"/>
      <c r="J95" s="567"/>
      <c r="K95" s="567"/>
      <c r="L95" s="455"/>
      <c r="M95" s="454">
        <v>69.2</v>
      </c>
      <c r="N95" s="455"/>
      <c r="O95" s="448" t="s">
        <v>724</v>
      </c>
      <c r="P95" s="449"/>
      <c r="Q95" s="450"/>
      <c r="R95" s="445" t="s">
        <v>6</v>
      </c>
      <c r="S95" s="447"/>
      <c r="T95" s="305">
        <v>0</v>
      </c>
      <c r="W95" s="100" t="s">
        <v>197</v>
      </c>
      <c r="X95" s="61"/>
      <c r="Y95" s="243">
        <v>69.2</v>
      </c>
      <c r="AA95" s="195">
        <f t="shared" si="15"/>
        <v>69.2</v>
      </c>
      <c r="AB95" s="196"/>
      <c r="AC95" s="199"/>
    </row>
    <row r="96" spans="1:29" ht="20.100000000000001" customHeight="1" x14ac:dyDescent="0.25">
      <c r="A96" s="36"/>
      <c r="B96" s="132">
        <f t="shared" si="6"/>
        <v>70</v>
      </c>
      <c r="C96" s="71">
        <v>74</v>
      </c>
      <c r="D96" s="100" t="str">
        <f t="shared" si="16"/>
        <v>Dhofar 467</v>
      </c>
      <c r="E96" s="445" t="s">
        <v>156</v>
      </c>
      <c r="F96" s="446"/>
      <c r="G96" s="446"/>
      <c r="H96" s="447"/>
      <c r="I96" s="454"/>
      <c r="J96" s="567"/>
      <c r="K96" s="567"/>
      <c r="L96" s="455"/>
      <c r="M96" s="454">
        <v>36.200000000000003</v>
      </c>
      <c r="N96" s="455"/>
      <c r="O96" s="448" t="s">
        <v>725</v>
      </c>
      <c r="P96" s="449"/>
      <c r="Q96" s="450"/>
      <c r="R96" s="445" t="s">
        <v>6</v>
      </c>
      <c r="S96" s="447"/>
      <c r="T96" s="305">
        <v>0</v>
      </c>
      <c r="W96" s="100" t="s">
        <v>198</v>
      </c>
      <c r="X96" s="61"/>
      <c r="Y96" s="243">
        <v>36.200000000000003</v>
      </c>
      <c r="AA96" s="195">
        <f t="shared" si="15"/>
        <v>36.200000000000003</v>
      </c>
      <c r="AB96" s="196"/>
      <c r="AC96" s="199"/>
    </row>
    <row r="97" spans="1:29" ht="20.100000000000001" customHeight="1" x14ac:dyDescent="0.25">
      <c r="A97" s="36"/>
      <c r="B97" s="132">
        <f t="shared" si="6"/>
        <v>71</v>
      </c>
      <c r="C97" s="71">
        <v>75</v>
      </c>
      <c r="D97" s="100" t="str">
        <f t="shared" si="16"/>
        <v>Dhofar 468</v>
      </c>
      <c r="E97" s="445" t="s">
        <v>156</v>
      </c>
      <c r="F97" s="446"/>
      <c r="G97" s="446"/>
      <c r="H97" s="447"/>
      <c r="I97" s="451"/>
      <c r="J97" s="452"/>
      <c r="K97" s="452"/>
      <c r="L97" s="453"/>
      <c r="M97" s="454">
        <v>18.899999999999999</v>
      </c>
      <c r="N97" s="455"/>
      <c r="O97" s="448" t="s">
        <v>726</v>
      </c>
      <c r="P97" s="449"/>
      <c r="Q97" s="450"/>
      <c r="R97" s="445" t="s">
        <v>6</v>
      </c>
      <c r="S97" s="447"/>
      <c r="T97" s="305">
        <v>0</v>
      </c>
      <c r="W97" s="100" t="s">
        <v>199</v>
      </c>
      <c r="X97" s="61"/>
      <c r="Y97" s="243">
        <v>18.899999999999999</v>
      </c>
      <c r="AA97" s="195">
        <f t="shared" si="15"/>
        <v>18.899999999999999</v>
      </c>
      <c r="AB97" s="196"/>
      <c r="AC97" s="199"/>
    </row>
    <row r="98" spans="1:29" ht="20.100000000000001" customHeight="1" x14ac:dyDescent="0.25">
      <c r="A98" s="36"/>
      <c r="B98" s="132">
        <f t="shared" si="6"/>
        <v>72</v>
      </c>
      <c r="C98" s="71">
        <v>33</v>
      </c>
      <c r="D98" s="100" t="str">
        <f>HYPERLINK("https://sites.wustl.edu/meteoritesite/items/lm_dho_303_clan/",W98)</f>
        <v>Dhofar 489</v>
      </c>
      <c r="E98" s="445" t="s">
        <v>75</v>
      </c>
      <c r="F98" s="446"/>
      <c r="G98" s="446"/>
      <c r="H98" s="447"/>
      <c r="I98" s="451"/>
      <c r="J98" s="452"/>
      <c r="K98" s="452"/>
      <c r="L98" s="453"/>
      <c r="M98" s="454">
        <v>34.4</v>
      </c>
      <c r="N98" s="455"/>
      <c r="O98" s="448" t="s">
        <v>727</v>
      </c>
      <c r="P98" s="449"/>
      <c r="Q98" s="450"/>
      <c r="R98" s="445" t="s">
        <v>6</v>
      </c>
      <c r="S98" s="447"/>
      <c r="T98" s="305">
        <v>1</v>
      </c>
      <c r="W98" s="100" t="s">
        <v>200</v>
      </c>
      <c r="X98" s="61"/>
      <c r="Y98" s="243">
        <v>34.4</v>
      </c>
      <c r="AA98" s="195">
        <f t="shared" si="15"/>
        <v>34.4</v>
      </c>
      <c r="AB98" s="196"/>
      <c r="AC98" s="199"/>
    </row>
    <row r="99" spans="1:29" ht="20.100000000000001" customHeight="1" x14ac:dyDescent="0.25">
      <c r="A99" s="36"/>
      <c r="B99" s="132">
        <f t="shared" si="6"/>
        <v>73</v>
      </c>
      <c r="C99" s="71">
        <v>39</v>
      </c>
      <c r="D99" s="100" t="str">
        <f>HYPERLINK("https://sites.wustl.edu/meteoritesite/items/lm_dho_0490/",W99)</f>
        <v>Dhofar 490</v>
      </c>
      <c r="E99" s="445">
        <v>1084</v>
      </c>
      <c r="F99" s="446"/>
      <c r="G99" s="446"/>
      <c r="H99" s="447"/>
      <c r="I99" s="451"/>
      <c r="J99" s="452"/>
      <c r="K99" s="452"/>
      <c r="L99" s="453"/>
      <c r="M99" s="454">
        <v>34.049999999999997</v>
      </c>
      <c r="N99" s="455"/>
      <c r="O99" s="448" t="s">
        <v>728</v>
      </c>
      <c r="P99" s="449"/>
      <c r="Q99" s="450"/>
      <c r="R99" s="445" t="s">
        <v>6</v>
      </c>
      <c r="S99" s="447"/>
      <c r="T99" s="305">
        <v>1</v>
      </c>
      <c r="W99" s="100" t="s">
        <v>12</v>
      </c>
      <c r="X99" s="61"/>
      <c r="Y99" s="243">
        <v>34.049999999999997</v>
      </c>
      <c r="AA99" s="195">
        <f t="shared" si="15"/>
        <v>34.049999999999997</v>
      </c>
      <c r="AB99" s="196"/>
      <c r="AC99" s="199"/>
    </row>
    <row r="100" spans="1:29" ht="20.100000000000001" customHeight="1" x14ac:dyDescent="0.25">
      <c r="A100" s="36"/>
      <c r="B100" s="132">
        <f t="shared" si="6"/>
        <v>74</v>
      </c>
      <c r="C100" s="71">
        <v>44</v>
      </c>
      <c r="D100" s="100" t="str">
        <f>HYPERLINK("https://sites.wustl.edu/meteoritesite/items/lm_dho_303_clan/",W100)</f>
        <v>Dhofar 730</v>
      </c>
      <c r="E100" s="445" t="s">
        <v>75</v>
      </c>
      <c r="F100" s="446"/>
      <c r="G100" s="446"/>
      <c r="H100" s="447"/>
      <c r="I100" s="451"/>
      <c r="J100" s="452"/>
      <c r="K100" s="452"/>
      <c r="L100" s="453"/>
      <c r="M100" s="454">
        <v>108</v>
      </c>
      <c r="N100" s="455"/>
      <c r="O100" s="448" t="s">
        <v>729</v>
      </c>
      <c r="P100" s="449"/>
      <c r="Q100" s="450"/>
      <c r="R100" s="445" t="s">
        <v>6</v>
      </c>
      <c r="S100" s="447"/>
      <c r="T100" s="305">
        <v>0</v>
      </c>
      <c r="W100" s="100" t="s">
        <v>201</v>
      </c>
      <c r="X100" s="61"/>
      <c r="Y100" s="243">
        <v>108</v>
      </c>
      <c r="AA100" s="195">
        <f t="shared" si="15"/>
        <v>108</v>
      </c>
      <c r="AB100" s="196"/>
      <c r="AC100" s="199"/>
    </row>
    <row r="101" spans="1:29" ht="20.100000000000001" customHeight="1" x14ac:dyDescent="0.25">
      <c r="A101" s="36"/>
      <c r="B101" s="132">
        <f t="shared" si="6"/>
        <v>75</v>
      </c>
      <c r="C101" s="71">
        <v>45</v>
      </c>
      <c r="D101" s="100" t="str">
        <f>HYPERLINK("https://sites.wustl.edu/meteoritesite/items/lm_dho_303_clan/",W101)</f>
        <v>Dhofar 731</v>
      </c>
      <c r="E101" s="445" t="s">
        <v>75</v>
      </c>
      <c r="F101" s="446"/>
      <c r="G101" s="446"/>
      <c r="H101" s="447"/>
      <c r="I101" s="451"/>
      <c r="J101" s="452"/>
      <c r="K101" s="452"/>
      <c r="L101" s="453"/>
      <c r="M101" s="454">
        <v>36</v>
      </c>
      <c r="N101" s="455"/>
      <c r="O101" s="448" t="s">
        <v>730</v>
      </c>
      <c r="P101" s="449"/>
      <c r="Q101" s="450"/>
      <c r="R101" s="445" t="s">
        <v>6</v>
      </c>
      <c r="S101" s="447"/>
      <c r="T101" s="305">
        <v>0</v>
      </c>
      <c r="W101" s="100" t="s">
        <v>202</v>
      </c>
      <c r="X101" s="61"/>
      <c r="Y101" s="243">
        <v>36</v>
      </c>
      <c r="AA101" s="195">
        <f t="shared" si="15"/>
        <v>36</v>
      </c>
      <c r="AB101" s="196"/>
      <c r="AC101" s="199"/>
    </row>
    <row r="102" spans="1:29" ht="20.100000000000001" customHeight="1" x14ac:dyDescent="0.25">
      <c r="A102" s="36"/>
      <c r="B102" s="132">
        <f t="shared" si="6"/>
        <v>76</v>
      </c>
      <c r="C102" s="71">
        <v>46</v>
      </c>
      <c r="D102" s="100" t="str">
        <f>HYPERLINK("https://sites.wustl.edu/meteoritesite/items/lm_dho_0733/",W102)</f>
        <v>Dhofar 733</v>
      </c>
      <c r="E102" s="445">
        <v>1766</v>
      </c>
      <c r="F102" s="446"/>
      <c r="G102" s="446"/>
      <c r="H102" s="447"/>
      <c r="I102" s="451"/>
      <c r="J102" s="452"/>
      <c r="K102" s="452"/>
      <c r="L102" s="453"/>
      <c r="M102" s="454">
        <v>98</v>
      </c>
      <c r="N102" s="455"/>
      <c r="O102" s="448" t="s">
        <v>731</v>
      </c>
      <c r="P102" s="449"/>
      <c r="Q102" s="450"/>
      <c r="R102" s="445" t="s">
        <v>6</v>
      </c>
      <c r="S102" s="447"/>
      <c r="T102" s="305">
        <v>1</v>
      </c>
      <c r="W102" s="100" t="s">
        <v>13</v>
      </c>
      <c r="X102" s="61"/>
      <c r="Y102" s="243">
        <v>98</v>
      </c>
      <c r="AA102" s="195">
        <f t="shared" si="15"/>
        <v>98</v>
      </c>
      <c r="AB102" s="196"/>
      <c r="AC102" s="199"/>
    </row>
    <row r="103" spans="1:29" ht="20.100000000000001" customHeight="1" x14ac:dyDescent="0.25">
      <c r="A103" s="36"/>
      <c r="B103" s="133">
        <f t="shared" si="6"/>
        <v>77</v>
      </c>
      <c r="C103" s="72">
        <v>54</v>
      </c>
      <c r="D103" s="100" t="str">
        <f>HYPERLINK("https://sites.wustl.edu/meteoritesite/items/lm_dho_303_clan/",W103)</f>
        <v>Dhofar 908</v>
      </c>
      <c r="E103" s="445" t="s">
        <v>75</v>
      </c>
      <c r="F103" s="446"/>
      <c r="G103" s="446"/>
      <c r="H103" s="447"/>
      <c r="I103" s="451"/>
      <c r="J103" s="452"/>
      <c r="K103" s="452"/>
      <c r="L103" s="453"/>
      <c r="M103" s="454" t="s">
        <v>111</v>
      </c>
      <c r="N103" s="455"/>
      <c r="O103" s="456" t="s">
        <v>732</v>
      </c>
      <c r="P103" s="457"/>
      <c r="Q103" s="458"/>
      <c r="R103" s="445" t="s">
        <v>6</v>
      </c>
      <c r="S103" s="447"/>
      <c r="T103" s="306">
        <v>1</v>
      </c>
      <c r="W103" s="103" t="s">
        <v>203</v>
      </c>
      <c r="X103" s="61"/>
      <c r="Y103" s="243">
        <v>245</v>
      </c>
      <c r="AA103" s="195">
        <f t="shared" si="15"/>
        <v>245</v>
      </c>
      <c r="AB103" s="196"/>
      <c r="AC103" s="199"/>
    </row>
    <row r="104" spans="1:29" ht="20.100000000000001" customHeight="1" x14ac:dyDescent="0.25">
      <c r="A104" s="36"/>
      <c r="B104" s="132">
        <f t="shared" si="6"/>
        <v>78</v>
      </c>
      <c r="C104" s="71">
        <v>55</v>
      </c>
      <c r="D104" s="100" t="str">
        <f>HYPERLINK("https://sites.wustl.edu/meteoritesite/items/lm_dho_303_clan/",W104)</f>
        <v>Dhofar 909</v>
      </c>
      <c r="E104" s="445" t="s">
        <v>75</v>
      </c>
      <c r="F104" s="446"/>
      <c r="G104" s="446"/>
      <c r="H104" s="447"/>
      <c r="I104" s="451"/>
      <c r="J104" s="452"/>
      <c r="K104" s="452"/>
      <c r="L104" s="453"/>
      <c r="M104" s="454">
        <v>3.9</v>
      </c>
      <c r="N104" s="455"/>
      <c r="O104" s="448" t="s">
        <v>733</v>
      </c>
      <c r="P104" s="449"/>
      <c r="Q104" s="450"/>
      <c r="R104" s="445" t="s">
        <v>6</v>
      </c>
      <c r="S104" s="447"/>
      <c r="T104" s="305">
        <v>0</v>
      </c>
      <c r="W104" s="100" t="s">
        <v>204</v>
      </c>
      <c r="X104" s="61"/>
      <c r="Y104" s="243">
        <v>3.9</v>
      </c>
      <c r="AA104" s="195">
        <f t="shared" si="15"/>
        <v>3.9</v>
      </c>
      <c r="AB104" s="196"/>
      <c r="AC104" s="199"/>
    </row>
    <row r="105" spans="1:29" ht="20.100000000000001" customHeight="1" x14ac:dyDescent="0.25">
      <c r="A105" s="36"/>
      <c r="B105" s="132">
        <f t="shared" si="6"/>
        <v>79</v>
      </c>
      <c r="C105" s="71">
        <v>56</v>
      </c>
      <c r="D105" s="103" t="str">
        <f>HYPERLINK("https://sites.wustl.edu/meteoritesite/items/lm_dho_0081_clan/",W105)</f>
        <v>Dhofar 910</v>
      </c>
      <c r="E105" s="445" t="s">
        <v>152</v>
      </c>
      <c r="F105" s="446"/>
      <c r="G105" s="446"/>
      <c r="H105" s="447"/>
      <c r="I105" s="445"/>
      <c r="J105" s="446"/>
      <c r="K105" s="446"/>
      <c r="L105" s="447"/>
      <c r="M105" s="454">
        <v>142</v>
      </c>
      <c r="N105" s="455"/>
      <c r="O105" s="448" t="s">
        <v>923</v>
      </c>
      <c r="P105" s="449"/>
      <c r="Q105" s="450"/>
      <c r="R105" s="445" t="s">
        <v>6</v>
      </c>
      <c r="S105" s="447"/>
      <c r="T105" s="305">
        <v>1</v>
      </c>
      <c r="W105" s="100" t="s">
        <v>205</v>
      </c>
      <c r="X105" s="61"/>
      <c r="Y105" s="243">
        <v>142</v>
      </c>
      <c r="AA105" s="195">
        <f t="shared" si="15"/>
        <v>142</v>
      </c>
      <c r="AB105" s="196"/>
      <c r="AC105" s="199"/>
    </row>
    <row r="106" spans="1:29" ht="20.100000000000001" customHeight="1" x14ac:dyDescent="0.25">
      <c r="A106" s="36"/>
      <c r="B106" s="133">
        <f t="shared" si="6"/>
        <v>80</v>
      </c>
      <c r="C106" s="72">
        <v>57</v>
      </c>
      <c r="D106" s="100" t="str">
        <f>HYPERLINK("https://sites.wustl.edu/meteoritesite/items/lm_dho_303_clan/",W106)</f>
        <v>Dhofar 911</v>
      </c>
      <c r="E106" s="445" t="s">
        <v>129</v>
      </c>
      <c r="F106" s="446"/>
      <c r="G106" s="446"/>
      <c r="H106" s="447"/>
      <c r="I106" s="445"/>
      <c r="J106" s="446"/>
      <c r="K106" s="446"/>
      <c r="L106" s="447"/>
      <c r="M106" s="454" t="s">
        <v>112</v>
      </c>
      <c r="N106" s="455"/>
      <c r="O106" s="448" t="s">
        <v>923</v>
      </c>
      <c r="P106" s="449"/>
      <c r="Q106" s="450"/>
      <c r="R106" s="445" t="s">
        <v>6</v>
      </c>
      <c r="S106" s="447"/>
      <c r="T106" s="306">
        <v>1</v>
      </c>
      <c r="W106" s="103" t="s">
        <v>206</v>
      </c>
      <c r="X106" s="61"/>
      <c r="Y106" s="243">
        <v>194</v>
      </c>
      <c r="AA106" s="195">
        <f t="shared" si="15"/>
        <v>194</v>
      </c>
      <c r="AB106" s="196"/>
      <c r="AC106" s="199"/>
    </row>
    <row r="107" spans="1:29" ht="20.100000000000001" customHeight="1" x14ac:dyDescent="0.25">
      <c r="A107" s="36"/>
      <c r="B107" s="132">
        <f t="shared" si="6"/>
        <v>81</v>
      </c>
      <c r="C107" s="71">
        <v>60</v>
      </c>
      <c r="D107" s="100" t="str">
        <f>HYPERLINK("https://sites.wustl.edu/meteoritesite/items/lm_dho_0925/",W107)</f>
        <v>Dhofar 925</v>
      </c>
      <c r="E107" s="445" t="s">
        <v>133</v>
      </c>
      <c r="F107" s="446"/>
      <c r="G107" s="446"/>
      <c r="H107" s="447"/>
      <c r="I107" s="445" t="s">
        <v>420</v>
      </c>
      <c r="J107" s="446"/>
      <c r="K107" s="446"/>
      <c r="L107" s="447"/>
      <c r="M107" s="454">
        <v>49</v>
      </c>
      <c r="N107" s="455"/>
      <c r="O107" s="448" t="s">
        <v>734</v>
      </c>
      <c r="P107" s="449"/>
      <c r="Q107" s="450"/>
      <c r="R107" s="445" t="s">
        <v>1573</v>
      </c>
      <c r="S107" s="447"/>
      <c r="T107" s="305">
        <v>1</v>
      </c>
      <c r="W107" s="100" t="s">
        <v>14</v>
      </c>
      <c r="X107" s="61"/>
      <c r="Y107" s="243">
        <v>49</v>
      </c>
      <c r="AA107" s="195">
        <f t="shared" si="15"/>
        <v>49</v>
      </c>
      <c r="AB107" s="196"/>
      <c r="AC107" s="199"/>
    </row>
    <row r="108" spans="1:29" ht="20.100000000000001" customHeight="1" x14ac:dyDescent="0.25">
      <c r="A108" s="36"/>
      <c r="B108" s="132">
        <f t="shared" si="6"/>
        <v>82</v>
      </c>
      <c r="C108" s="71">
        <v>76</v>
      </c>
      <c r="D108" s="100" t="str">
        <f>HYPERLINK("https://sites.wustl.edu/meteoritesite/items/lm_dho_303_clan/",W108)</f>
        <v>Dhofar 950</v>
      </c>
      <c r="E108" s="445" t="s">
        <v>129</v>
      </c>
      <c r="F108" s="446"/>
      <c r="G108" s="446"/>
      <c r="H108" s="447"/>
      <c r="I108" s="445"/>
      <c r="J108" s="446"/>
      <c r="K108" s="446"/>
      <c r="L108" s="447"/>
      <c r="M108" s="454">
        <v>21.7</v>
      </c>
      <c r="N108" s="455"/>
      <c r="O108" s="448" t="s">
        <v>735</v>
      </c>
      <c r="P108" s="449"/>
      <c r="Q108" s="450"/>
      <c r="R108" s="445" t="s">
        <v>6</v>
      </c>
      <c r="S108" s="447"/>
      <c r="T108" s="305">
        <v>0</v>
      </c>
      <c r="W108" s="100" t="s">
        <v>207</v>
      </c>
      <c r="X108" s="61"/>
      <c r="Y108" s="243">
        <v>21.7</v>
      </c>
      <c r="AA108" s="195">
        <f t="shared" si="15"/>
        <v>21.7</v>
      </c>
      <c r="AB108" s="196"/>
      <c r="AC108" s="199"/>
    </row>
    <row r="109" spans="1:29" ht="20.100000000000001" customHeight="1" x14ac:dyDescent="0.25">
      <c r="A109" s="36"/>
      <c r="B109" s="132">
        <f t="shared" si="6"/>
        <v>83</v>
      </c>
      <c r="C109" s="71">
        <v>77</v>
      </c>
      <c r="D109" s="100" t="str">
        <f>HYPERLINK("https://sites.wustl.edu/meteoritesite/items/lm_dho_0925/",W109)</f>
        <v>Dhofar 960</v>
      </c>
      <c r="E109" s="445" t="s">
        <v>154</v>
      </c>
      <c r="F109" s="446"/>
      <c r="G109" s="446"/>
      <c r="H109" s="447"/>
      <c r="I109" s="445" t="s">
        <v>420</v>
      </c>
      <c r="J109" s="446"/>
      <c r="K109" s="446"/>
      <c r="L109" s="447"/>
      <c r="M109" s="454">
        <v>35.4</v>
      </c>
      <c r="N109" s="455"/>
      <c r="O109" s="448" t="s">
        <v>736</v>
      </c>
      <c r="P109" s="449"/>
      <c r="Q109" s="450"/>
      <c r="R109" s="445" t="s">
        <v>1573</v>
      </c>
      <c r="S109" s="447"/>
      <c r="T109" s="305">
        <v>1</v>
      </c>
      <c r="W109" s="100" t="s">
        <v>208</v>
      </c>
      <c r="X109" s="61"/>
      <c r="Y109" s="243">
        <v>35.4</v>
      </c>
      <c r="AA109" s="195">
        <f t="shared" si="15"/>
        <v>35.4</v>
      </c>
      <c r="AB109" s="196"/>
      <c r="AC109" s="199"/>
    </row>
    <row r="110" spans="1:29" ht="20.100000000000001" customHeight="1" x14ac:dyDescent="0.25">
      <c r="A110" s="36"/>
      <c r="B110" s="132">
        <f t="shared" si="6"/>
        <v>84</v>
      </c>
      <c r="C110" s="71">
        <v>78</v>
      </c>
      <c r="D110" s="100" t="str">
        <f>HYPERLINK("https://sites.wustl.edu/meteoritesite/items/lm_dho_0925/",W110)</f>
        <v>Dhofar 961</v>
      </c>
      <c r="E110" s="445" t="s">
        <v>154</v>
      </c>
      <c r="F110" s="446"/>
      <c r="G110" s="446"/>
      <c r="H110" s="447"/>
      <c r="I110" s="445" t="s">
        <v>420</v>
      </c>
      <c r="J110" s="446"/>
      <c r="K110" s="446"/>
      <c r="L110" s="447"/>
      <c r="M110" s="454">
        <v>21.6</v>
      </c>
      <c r="N110" s="455"/>
      <c r="O110" s="448" t="s">
        <v>737</v>
      </c>
      <c r="P110" s="449"/>
      <c r="Q110" s="450"/>
      <c r="R110" s="445" t="s">
        <v>1573</v>
      </c>
      <c r="S110" s="447"/>
      <c r="T110" s="305">
        <v>1</v>
      </c>
      <c r="W110" s="100" t="s">
        <v>210</v>
      </c>
      <c r="X110" s="61"/>
      <c r="Y110" s="243">
        <v>21.6</v>
      </c>
      <c r="AA110" s="195">
        <f t="shared" si="15"/>
        <v>21.6</v>
      </c>
      <c r="AB110" s="196"/>
      <c r="AC110" s="199"/>
    </row>
    <row r="111" spans="1:29" ht="20.100000000000001" customHeight="1" x14ac:dyDescent="0.25">
      <c r="A111" s="36"/>
      <c r="B111" s="132">
        <f t="shared" si="6"/>
        <v>85</v>
      </c>
      <c r="C111" s="71">
        <v>58</v>
      </c>
      <c r="D111" s="100" t="str">
        <f>HYPERLINK("https://sites.wustl.edu/meteoritesite/items/lm_dho_0490/",W111)</f>
        <v>Dhofar 1084</v>
      </c>
      <c r="E111" s="445">
        <v>490</v>
      </c>
      <c r="F111" s="446"/>
      <c r="G111" s="446"/>
      <c r="H111" s="447"/>
      <c r="I111" s="445"/>
      <c r="J111" s="446"/>
      <c r="K111" s="446"/>
      <c r="L111" s="447"/>
      <c r="M111" s="454">
        <v>90</v>
      </c>
      <c r="N111" s="455"/>
      <c r="O111" s="448" t="s">
        <v>738</v>
      </c>
      <c r="P111" s="449"/>
      <c r="Q111" s="450"/>
      <c r="R111" s="445" t="s">
        <v>6</v>
      </c>
      <c r="S111" s="447"/>
      <c r="T111" s="305">
        <v>1</v>
      </c>
      <c r="W111" s="100" t="s">
        <v>209</v>
      </c>
      <c r="X111" s="61"/>
      <c r="Y111" s="243">
        <v>90</v>
      </c>
      <c r="AA111" s="195">
        <f t="shared" si="15"/>
        <v>90</v>
      </c>
      <c r="AB111" s="196"/>
      <c r="AC111" s="199"/>
    </row>
    <row r="112" spans="1:29" ht="20.100000000000001" customHeight="1" x14ac:dyDescent="0.25">
      <c r="A112" s="36"/>
      <c r="B112" s="133">
        <f t="shared" si="6"/>
        <v>86</v>
      </c>
      <c r="C112" s="72">
        <v>59</v>
      </c>
      <c r="D112" s="100" t="str">
        <f>HYPERLINK("https://sites.wustl.edu/meteoritesite/items/lm_dho_303_clan/",W112)</f>
        <v>Dhofar 1085</v>
      </c>
      <c r="E112" s="445" t="s">
        <v>75</v>
      </c>
      <c r="F112" s="446"/>
      <c r="G112" s="446"/>
      <c r="H112" s="447"/>
      <c r="I112" s="445"/>
      <c r="J112" s="446"/>
      <c r="K112" s="446"/>
      <c r="L112" s="447"/>
      <c r="M112" s="454" t="s">
        <v>113</v>
      </c>
      <c r="N112" s="455"/>
      <c r="O112" s="448" t="s">
        <v>739</v>
      </c>
      <c r="P112" s="449"/>
      <c r="Q112" s="450"/>
      <c r="R112" s="445" t="s">
        <v>6</v>
      </c>
      <c r="S112" s="447"/>
      <c r="T112" s="306">
        <v>1</v>
      </c>
      <c r="W112" s="103" t="s">
        <v>211</v>
      </c>
      <c r="X112" s="61"/>
      <c r="Y112" s="243">
        <v>197</v>
      </c>
      <c r="AA112" s="195">
        <f t="shared" si="15"/>
        <v>197</v>
      </c>
      <c r="AB112" s="196"/>
      <c r="AC112" s="199"/>
    </row>
    <row r="113" spans="1:29" ht="20.100000000000001" customHeight="1" x14ac:dyDescent="0.25">
      <c r="A113" s="36"/>
      <c r="B113" s="132">
        <f t="shared" si="6"/>
        <v>87</v>
      </c>
      <c r="C113" s="71">
        <v>90</v>
      </c>
      <c r="D113" s="100" t="str">
        <f>HYPERLINK("https://sites.wustl.edu/meteoritesite/items/lm_dhofar_1180/",W113)</f>
        <v>Dhofar 1180</v>
      </c>
      <c r="E113" s="445"/>
      <c r="F113" s="446"/>
      <c r="G113" s="446"/>
      <c r="H113" s="447"/>
      <c r="I113" s="451"/>
      <c r="J113" s="452"/>
      <c r="K113" s="452"/>
      <c r="L113" s="453"/>
      <c r="M113" s="454">
        <v>115.2</v>
      </c>
      <c r="N113" s="455"/>
      <c r="O113" s="456" t="s">
        <v>740</v>
      </c>
      <c r="P113" s="457"/>
      <c r="Q113" s="458"/>
      <c r="R113" s="445" t="s">
        <v>1573</v>
      </c>
      <c r="S113" s="447"/>
      <c r="T113" s="305">
        <v>1</v>
      </c>
      <c r="W113" s="100" t="s">
        <v>212</v>
      </c>
      <c r="X113" s="61"/>
      <c r="Y113" s="243">
        <v>115.2</v>
      </c>
      <c r="AA113" s="195">
        <f t="shared" si="15"/>
        <v>115.2</v>
      </c>
      <c r="AB113" s="196"/>
      <c r="AC113" s="199"/>
    </row>
    <row r="114" spans="1:29" ht="20.100000000000001" customHeight="1" x14ac:dyDescent="0.25">
      <c r="A114" s="36"/>
      <c r="B114" s="132">
        <f t="shared" si="6"/>
        <v>88</v>
      </c>
      <c r="C114" s="71">
        <v>79</v>
      </c>
      <c r="D114" s="103" t="str">
        <f>HYPERLINK("https://sites.wustl.edu/meteoritesite/items/lm_dho_0081_clan/",W114)</f>
        <v>Dhofar 1224</v>
      </c>
      <c r="E114" s="445" t="s">
        <v>152</v>
      </c>
      <c r="F114" s="446"/>
      <c r="G114" s="446"/>
      <c r="H114" s="447"/>
      <c r="I114" s="451"/>
      <c r="J114" s="452"/>
      <c r="K114" s="452"/>
      <c r="L114" s="453"/>
      <c r="M114" s="454">
        <v>4.57</v>
      </c>
      <c r="N114" s="455"/>
      <c r="O114" s="448" t="s">
        <v>741</v>
      </c>
      <c r="P114" s="449"/>
      <c r="Q114" s="450"/>
      <c r="R114" s="445" t="s">
        <v>6</v>
      </c>
      <c r="S114" s="447"/>
      <c r="T114" s="305">
        <v>0</v>
      </c>
      <c r="W114" s="100" t="s">
        <v>213</v>
      </c>
      <c r="X114" s="61"/>
      <c r="Y114" s="243">
        <v>4.57</v>
      </c>
      <c r="AA114" s="195">
        <f t="shared" si="15"/>
        <v>4.57</v>
      </c>
      <c r="AB114" s="196"/>
      <c r="AC114" s="199"/>
    </row>
    <row r="115" spans="1:29" ht="20.100000000000001" customHeight="1" x14ac:dyDescent="0.25">
      <c r="A115" s="36"/>
      <c r="B115" s="132">
        <f t="shared" si="6"/>
        <v>89</v>
      </c>
      <c r="C115" s="71">
        <v>89</v>
      </c>
      <c r="D115" s="100" t="str">
        <f>HYPERLINK("https://sites.wustl.edu/meteoritesite/items/lm_dho_1428/",W115)</f>
        <v>Dhofar 1428</v>
      </c>
      <c r="E115" s="445"/>
      <c r="F115" s="446"/>
      <c r="G115" s="446"/>
      <c r="H115" s="447"/>
      <c r="I115" s="445"/>
      <c r="J115" s="446"/>
      <c r="K115" s="446"/>
      <c r="L115" s="447"/>
      <c r="M115" s="454">
        <v>213</v>
      </c>
      <c r="N115" s="455"/>
      <c r="O115" s="456" t="s">
        <v>742</v>
      </c>
      <c r="P115" s="457"/>
      <c r="Q115" s="458"/>
      <c r="R115" s="445" t="s">
        <v>6</v>
      </c>
      <c r="S115" s="447"/>
      <c r="T115" s="305">
        <v>1</v>
      </c>
      <c r="W115" s="100" t="s">
        <v>214</v>
      </c>
      <c r="X115" s="61"/>
      <c r="Y115" s="243">
        <v>213</v>
      </c>
      <c r="AA115" s="195">
        <f t="shared" si="15"/>
        <v>213</v>
      </c>
      <c r="AB115" s="196"/>
      <c r="AC115" s="199"/>
    </row>
    <row r="116" spans="1:29" ht="20.100000000000001" customHeight="1" x14ac:dyDescent="0.25">
      <c r="A116" s="36"/>
      <c r="B116" s="132">
        <f t="shared" si="6"/>
        <v>90</v>
      </c>
      <c r="C116" s="71">
        <v>103</v>
      </c>
      <c r="D116" s="100" t="str">
        <f>HYPERLINK("https://sites.wustl.edu/meteoritesite/items/lm_dho_1436_1443/",W116)</f>
        <v>Dhofar 1436</v>
      </c>
      <c r="E116" s="445">
        <v>1443</v>
      </c>
      <c r="F116" s="446"/>
      <c r="G116" s="446"/>
      <c r="H116" s="447"/>
      <c r="I116" s="445" t="s">
        <v>422</v>
      </c>
      <c r="J116" s="446"/>
      <c r="K116" s="446"/>
      <c r="L116" s="447"/>
      <c r="M116" s="454">
        <v>24.2</v>
      </c>
      <c r="N116" s="455"/>
      <c r="O116" s="448" t="s">
        <v>743</v>
      </c>
      <c r="P116" s="449"/>
      <c r="Q116" s="450"/>
      <c r="R116" s="445" t="s">
        <v>6</v>
      </c>
      <c r="S116" s="447"/>
      <c r="T116" s="305">
        <v>1</v>
      </c>
      <c r="W116" s="100" t="s">
        <v>15</v>
      </c>
      <c r="X116" s="61"/>
      <c r="Y116" s="243">
        <v>24.2</v>
      </c>
      <c r="AA116" s="195">
        <f t="shared" si="15"/>
        <v>24.2</v>
      </c>
      <c r="AB116" s="196"/>
      <c r="AC116" s="199"/>
    </row>
    <row r="117" spans="1:29" ht="20.100000000000001" customHeight="1" x14ac:dyDescent="0.25">
      <c r="A117" s="36"/>
      <c r="B117" s="133">
        <f t="shared" si="6"/>
        <v>91</v>
      </c>
      <c r="C117" s="72">
        <v>125</v>
      </c>
      <c r="D117" s="100" t="str">
        <f>HYPERLINK("https://sites.wustl.edu/meteoritesite/items/lm_dho_1442/",W117)</f>
        <v>Dhofar 1442</v>
      </c>
      <c r="E117" s="445"/>
      <c r="F117" s="446"/>
      <c r="G117" s="446"/>
      <c r="H117" s="447"/>
      <c r="I117" s="451"/>
      <c r="J117" s="452"/>
      <c r="K117" s="452"/>
      <c r="L117" s="453"/>
      <c r="M117" s="454" t="s">
        <v>115</v>
      </c>
      <c r="N117" s="455"/>
      <c r="O117" s="456" t="s">
        <v>744</v>
      </c>
      <c r="P117" s="457"/>
      <c r="Q117" s="458"/>
      <c r="R117" s="445" t="s">
        <v>1575</v>
      </c>
      <c r="S117" s="447"/>
      <c r="T117" s="306">
        <v>1</v>
      </c>
      <c r="W117" s="103" t="s">
        <v>215</v>
      </c>
      <c r="X117" s="61"/>
      <c r="Y117" s="243">
        <v>106.5</v>
      </c>
      <c r="AA117" s="195">
        <f t="shared" si="15"/>
        <v>106.5</v>
      </c>
      <c r="AB117" s="196"/>
      <c r="AC117" s="199"/>
    </row>
    <row r="118" spans="1:29" ht="20.100000000000001" customHeight="1" x14ac:dyDescent="0.25">
      <c r="A118" s="36"/>
      <c r="B118" s="133">
        <f t="shared" si="6"/>
        <v>92</v>
      </c>
      <c r="C118" s="72">
        <v>126</v>
      </c>
      <c r="D118" s="100" t="str">
        <f>HYPERLINK("https://sites.wustl.edu/meteoritesite/items/lm_dho_1436_1443/",W118)</f>
        <v>Dhofar 1443</v>
      </c>
      <c r="E118" s="445">
        <v>1436</v>
      </c>
      <c r="F118" s="446"/>
      <c r="G118" s="446"/>
      <c r="H118" s="447"/>
      <c r="I118" s="445" t="s">
        <v>422</v>
      </c>
      <c r="J118" s="657"/>
      <c r="K118" s="657"/>
      <c r="L118" s="658"/>
      <c r="M118" s="454" t="s">
        <v>114</v>
      </c>
      <c r="N118" s="455"/>
      <c r="O118" s="448" t="s">
        <v>953</v>
      </c>
      <c r="P118" s="449"/>
      <c r="Q118" s="450"/>
      <c r="R118" s="445" t="s">
        <v>6</v>
      </c>
      <c r="S118" s="447"/>
      <c r="T118" s="306">
        <v>1</v>
      </c>
      <c r="W118" s="103" t="s">
        <v>216</v>
      </c>
      <c r="X118" s="61"/>
      <c r="Y118" s="243">
        <v>36.700000000000003</v>
      </c>
      <c r="AA118" s="195">
        <f t="shared" si="15"/>
        <v>36.700000000000003</v>
      </c>
      <c r="AB118" s="196"/>
      <c r="AC118" s="199"/>
    </row>
    <row r="119" spans="1:29" ht="20.100000000000001" customHeight="1" x14ac:dyDescent="0.25">
      <c r="A119" s="36"/>
      <c r="B119" s="132">
        <f t="shared" si="6"/>
        <v>93</v>
      </c>
      <c r="C119" s="71">
        <v>153</v>
      </c>
      <c r="D119" s="100" t="str">
        <f>HYPERLINK("https://sites.wustl.edu/meteoritesite/items/lm_dhofar_1527/",W119)</f>
        <v>Dhofar 1527</v>
      </c>
      <c r="E119" s="445" t="s">
        <v>974</v>
      </c>
      <c r="F119" s="446"/>
      <c r="G119" s="446"/>
      <c r="H119" s="447"/>
      <c r="I119" s="451"/>
      <c r="J119" s="452"/>
      <c r="K119" s="452"/>
      <c r="L119" s="453"/>
      <c r="M119" s="454">
        <v>42.6</v>
      </c>
      <c r="N119" s="455"/>
      <c r="O119" s="456" t="s">
        <v>745</v>
      </c>
      <c r="P119" s="457"/>
      <c r="Q119" s="458"/>
      <c r="R119" s="445" t="s">
        <v>6</v>
      </c>
      <c r="S119" s="447"/>
      <c r="T119" s="305">
        <v>1</v>
      </c>
      <c r="W119" s="100" t="s">
        <v>217</v>
      </c>
      <c r="X119" s="61"/>
      <c r="Y119" s="243">
        <v>42.6</v>
      </c>
      <c r="AA119" s="195">
        <f t="shared" si="15"/>
        <v>42.6</v>
      </c>
      <c r="AB119" s="196"/>
      <c r="AC119" s="199"/>
    </row>
    <row r="120" spans="1:29" ht="20.100000000000001" customHeight="1" x14ac:dyDescent="0.25">
      <c r="A120" s="36"/>
      <c r="B120" s="132">
        <f t="shared" si="6"/>
        <v>94</v>
      </c>
      <c r="C120" s="71">
        <v>154</v>
      </c>
      <c r="D120" s="100" t="str">
        <f>HYPERLINK("https://sites.wustl.edu/meteoritesite/items/lm_dhofar_1528/",W120)</f>
        <v>Dhofar 1528</v>
      </c>
      <c r="E120" s="445"/>
      <c r="F120" s="446"/>
      <c r="G120" s="446"/>
      <c r="H120" s="447"/>
      <c r="I120" s="451"/>
      <c r="J120" s="452"/>
      <c r="K120" s="452"/>
      <c r="L120" s="453"/>
      <c r="M120" s="454">
        <v>213.2</v>
      </c>
      <c r="N120" s="455"/>
      <c r="O120" s="456" t="s">
        <v>746</v>
      </c>
      <c r="P120" s="457"/>
      <c r="Q120" s="458"/>
      <c r="R120" s="445" t="s">
        <v>6</v>
      </c>
      <c r="S120" s="447"/>
      <c r="T120" s="305">
        <v>1</v>
      </c>
      <c r="W120" s="100" t="s">
        <v>218</v>
      </c>
      <c r="X120" s="61"/>
      <c r="Y120" s="243">
        <v>213.2</v>
      </c>
      <c r="AA120" s="195">
        <f t="shared" si="15"/>
        <v>213.2</v>
      </c>
      <c r="AB120" s="196"/>
      <c r="AC120" s="199"/>
    </row>
    <row r="121" spans="1:29" ht="20.100000000000001" customHeight="1" x14ac:dyDescent="0.25">
      <c r="A121" s="36"/>
      <c r="B121" s="132">
        <f t="shared" si="6"/>
        <v>95</v>
      </c>
      <c r="C121" s="71">
        <v>151</v>
      </c>
      <c r="D121" s="100" t="str">
        <f>HYPERLINK("https://sites.wustl.edu/meteoritesite/items/lm_dho_1627_1980/",W121)</f>
        <v>Dhofar 1627</v>
      </c>
      <c r="E121" s="445" t="s">
        <v>1024</v>
      </c>
      <c r="F121" s="446"/>
      <c r="G121" s="446"/>
      <c r="H121" s="447"/>
      <c r="I121" s="451"/>
      <c r="J121" s="452"/>
      <c r="K121" s="452"/>
      <c r="L121" s="453"/>
      <c r="M121" s="454">
        <v>86.1</v>
      </c>
      <c r="N121" s="455"/>
      <c r="O121" s="456" t="s">
        <v>747</v>
      </c>
      <c r="P121" s="457"/>
      <c r="Q121" s="458"/>
      <c r="R121" s="445" t="s">
        <v>6</v>
      </c>
      <c r="S121" s="447"/>
      <c r="T121" s="305">
        <v>1</v>
      </c>
      <c r="W121" s="100" t="s">
        <v>16</v>
      </c>
      <c r="X121" s="61"/>
      <c r="Y121" s="243">
        <v>86.1</v>
      </c>
      <c r="AA121" s="195">
        <f t="shared" si="15"/>
        <v>86.1</v>
      </c>
      <c r="AB121" s="196"/>
      <c r="AC121" s="199"/>
    </row>
    <row r="122" spans="1:29" ht="20.100000000000001" customHeight="1" x14ac:dyDescent="0.25">
      <c r="A122" s="36"/>
      <c r="B122" s="132">
        <f t="shared" si="6"/>
        <v>96</v>
      </c>
      <c r="C122" s="71">
        <v>163</v>
      </c>
      <c r="D122" s="100" t="str">
        <f>HYPERLINK("https://sites.wustl.edu/meteoritesite/items/lm_dhofar_1629/",W122)</f>
        <v>Dhofar 1629</v>
      </c>
      <c r="E122" s="445"/>
      <c r="F122" s="446"/>
      <c r="G122" s="446"/>
      <c r="H122" s="447"/>
      <c r="I122" s="445" t="s">
        <v>421</v>
      </c>
      <c r="J122" s="446"/>
      <c r="K122" s="446"/>
      <c r="L122" s="447"/>
      <c r="M122" s="454">
        <v>2.5099999999999998</v>
      </c>
      <c r="N122" s="455"/>
      <c r="O122" s="448" t="s">
        <v>748</v>
      </c>
      <c r="P122" s="449"/>
      <c r="Q122" s="450"/>
      <c r="R122" s="445" t="s">
        <v>1573</v>
      </c>
      <c r="S122" s="447"/>
      <c r="T122" s="305">
        <v>1</v>
      </c>
      <c r="W122" s="100" t="s">
        <v>219</v>
      </c>
      <c r="X122" s="61"/>
      <c r="Y122" s="243">
        <v>2.5099999999999998</v>
      </c>
      <c r="AA122" s="195">
        <f t="shared" si="15"/>
        <v>2.5099999999999998</v>
      </c>
      <c r="AB122" s="196"/>
      <c r="AC122" s="199"/>
    </row>
    <row r="123" spans="1:29" ht="20.100000000000001" customHeight="1" x14ac:dyDescent="0.25">
      <c r="A123" s="36"/>
      <c r="B123" s="132">
        <f t="shared" si="6"/>
        <v>97</v>
      </c>
      <c r="C123" s="71">
        <v>157</v>
      </c>
      <c r="D123" s="100" t="str">
        <f>HYPERLINK("https://sites.wustl.edu/meteoritesite/items/lm_dho_026_clan/",W123)</f>
        <v>Dhofar 1669</v>
      </c>
      <c r="E123" s="445" t="s">
        <v>156</v>
      </c>
      <c r="F123" s="446"/>
      <c r="G123" s="446"/>
      <c r="H123" s="447"/>
      <c r="I123" s="451"/>
      <c r="J123" s="452"/>
      <c r="K123" s="452"/>
      <c r="L123" s="453"/>
      <c r="M123" s="454">
        <v>3.3</v>
      </c>
      <c r="N123" s="455"/>
      <c r="O123" s="448" t="s">
        <v>749</v>
      </c>
      <c r="P123" s="449"/>
      <c r="Q123" s="450"/>
      <c r="R123" s="445" t="s">
        <v>6</v>
      </c>
      <c r="S123" s="447"/>
      <c r="T123" s="305">
        <v>1</v>
      </c>
      <c r="W123" s="100" t="s">
        <v>220</v>
      </c>
      <c r="X123" s="61"/>
      <c r="Y123" s="243">
        <v>3.3</v>
      </c>
      <c r="AA123" s="195">
        <f t="shared" si="15"/>
        <v>3.3</v>
      </c>
      <c r="AB123" s="196"/>
      <c r="AC123" s="199"/>
    </row>
    <row r="124" spans="1:29" ht="20.100000000000001" customHeight="1" x14ac:dyDescent="0.25">
      <c r="A124" s="36"/>
      <c r="B124" s="132">
        <f>B123+1</f>
        <v>98</v>
      </c>
      <c r="C124" s="71">
        <v>156</v>
      </c>
      <c r="D124" s="100" t="str">
        <f>HYPERLINK("https://sites.wustl.edu/meteoritesite/items/lm_dho_1673_clan/",W124)</f>
        <v>Dhofar 1673</v>
      </c>
      <c r="E124" s="445" t="s">
        <v>18</v>
      </c>
      <c r="F124" s="446"/>
      <c r="G124" s="446"/>
      <c r="H124" s="447"/>
      <c r="I124" s="445" t="s">
        <v>423</v>
      </c>
      <c r="J124" s="446"/>
      <c r="K124" s="446"/>
      <c r="L124" s="447"/>
      <c r="M124" s="454">
        <v>15.1</v>
      </c>
      <c r="N124" s="455"/>
      <c r="O124" s="448" t="s">
        <v>750</v>
      </c>
      <c r="P124" s="449"/>
      <c r="Q124" s="450"/>
      <c r="R124" s="445" t="s">
        <v>6</v>
      </c>
      <c r="S124" s="447"/>
      <c r="T124" s="305">
        <v>1</v>
      </c>
      <c r="W124" s="100" t="s">
        <v>17</v>
      </c>
      <c r="X124" s="61"/>
      <c r="Y124" s="243">
        <v>15.1</v>
      </c>
      <c r="AA124" s="195">
        <f t="shared" si="15"/>
        <v>15.1</v>
      </c>
      <c r="AB124" s="196"/>
      <c r="AC124" s="199"/>
    </row>
    <row r="125" spans="1:29" ht="20.100000000000001" customHeight="1" x14ac:dyDescent="0.25">
      <c r="A125" s="36"/>
      <c r="B125" s="132">
        <f t="shared" ref="B125:B251" si="17">B124+1</f>
        <v>99</v>
      </c>
      <c r="C125" s="71">
        <v>174</v>
      </c>
      <c r="D125" s="100" t="str">
        <f>HYPERLINK("https://sites.wustl.edu/meteoritesite/items/lm_dho_0733/",W125)</f>
        <v>Dhofar 1766</v>
      </c>
      <c r="E125" s="445">
        <v>733</v>
      </c>
      <c r="F125" s="446"/>
      <c r="G125" s="446"/>
      <c r="H125" s="447"/>
      <c r="I125" s="451"/>
      <c r="J125" s="452"/>
      <c r="K125" s="452"/>
      <c r="L125" s="453"/>
      <c r="M125" s="454">
        <v>292</v>
      </c>
      <c r="N125" s="455"/>
      <c r="O125" s="448" t="s">
        <v>751</v>
      </c>
      <c r="P125" s="449"/>
      <c r="Q125" s="450"/>
      <c r="R125" s="445" t="s">
        <v>6</v>
      </c>
      <c r="S125" s="447"/>
      <c r="T125" s="305">
        <v>1</v>
      </c>
      <c r="W125" s="100" t="s">
        <v>221</v>
      </c>
      <c r="X125" s="61"/>
      <c r="Y125" s="243">
        <v>292</v>
      </c>
      <c r="AA125" s="195">
        <f t="shared" si="15"/>
        <v>292</v>
      </c>
      <c r="AB125" s="196"/>
      <c r="AC125" s="199"/>
    </row>
    <row r="126" spans="1:29" ht="20.100000000000001" customHeight="1" x14ac:dyDescent="0.25">
      <c r="A126" s="36"/>
      <c r="B126" s="132">
        <f t="shared" si="17"/>
        <v>100</v>
      </c>
      <c r="C126" s="71">
        <v>206</v>
      </c>
      <c r="D126" s="100" t="str">
        <f>HYPERLINK("https://sites.wustl.edu/meteoritesite/items/lm-dho_1769/",W126)</f>
        <v>Dhofar 1769</v>
      </c>
      <c r="E126" s="445"/>
      <c r="F126" s="446"/>
      <c r="G126" s="446"/>
      <c r="H126" s="447"/>
      <c r="I126" s="451"/>
      <c r="J126" s="452"/>
      <c r="K126" s="452"/>
      <c r="L126" s="453"/>
      <c r="M126" s="454">
        <v>125.4</v>
      </c>
      <c r="N126" s="455"/>
      <c r="O126" s="448" t="s">
        <v>752</v>
      </c>
      <c r="P126" s="449"/>
      <c r="Q126" s="450"/>
      <c r="R126" s="445" t="s">
        <v>6</v>
      </c>
      <c r="S126" s="447"/>
      <c r="T126" s="305">
        <v>1</v>
      </c>
      <c r="W126" s="100" t="s">
        <v>222</v>
      </c>
      <c r="X126" s="61"/>
      <c r="Y126" s="243">
        <v>125.4</v>
      </c>
      <c r="AA126" s="195">
        <f t="shared" si="15"/>
        <v>125.4</v>
      </c>
      <c r="AB126" s="196"/>
      <c r="AC126" s="199"/>
    </row>
    <row r="127" spans="1:29" ht="20.100000000000001" customHeight="1" x14ac:dyDescent="0.25">
      <c r="A127" s="36"/>
      <c r="B127" s="133">
        <f t="shared" si="17"/>
        <v>101</v>
      </c>
      <c r="C127" s="72">
        <v>190</v>
      </c>
      <c r="D127" s="100" t="str">
        <f>HYPERLINK("https://sites.wustl.edu/meteoritesite/items/lm_dho_1627_1980/",W127)</f>
        <v>Dhofar 1980</v>
      </c>
      <c r="E127" s="445" t="s">
        <v>1023</v>
      </c>
      <c r="F127" s="446"/>
      <c r="G127" s="446"/>
      <c r="H127" s="447"/>
      <c r="I127" s="451"/>
      <c r="J127" s="452"/>
      <c r="K127" s="452"/>
      <c r="L127" s="453"/>
      <c r="M127" s="454" t="s">
        <v>116</v>
      </c>
      <c r="N127" s="455"/>
      <c r="O127" s="456" t="s">
        <v>753</v>
      </c>
      <c r="P127" s="457"/>
      <c r="Q127" s="458"/>
      <c r="R127" s="445" t="s">
        <v>6</v>
      </c>
      <c r="S127" s="447"/>
      <c r="T127" s="306">
        <v>1</v>
      </c>
      <c r="W127" s="103" t="s">
        <v>223</v>
      </c>
      <c r="X127" s="61"/>
      <c r="Y127" s="243">
        <v>23.5</v>
      </c>
      <c r="AA127" s="195">
        <f t="shared" si="15"/>
        <v>23.5</v>
      </c>
      <c r="AB127" s="196"/>
      <c r="AC127" s="199"/>
    </row>
    <row r="128" spans="1:29" ht="20.100000000000001" customHeight="1" x14ac:dyDescent="0.25">
      <c r="A128" s="36"/>
      <c r="B128" s="132">
        <f t="shared" si="17"/>
        <v>102</v>
      </c>
      <c r="C128" s="71">
        <v>199</v>
      </c>
      <c r="D128" s="100" t="str">
        <f>HYPERLINK("https://sites.wustl.edu/meteoritesite/items/lm_dho_1673_clan/",W128)</f>
        <v>Dhofar 1983</v>
      </c>
      <c r="E128" s="445" t="s">
        <v>155</v>
      </c>
      <c r="F128" s="446"/>
      <c r="G128" s="446"/>
      <c r="H128" s="447"/>
      <c r="I128" s="445"/>
      <c r="J128" s="446"/>
      <c r="K128" s="446"/>
      <c r="L128" s="447"/>
      <c r="M128" s="454">
        <v>56.3</v>
      </c>
      <c r="N128" s="455"/>
      <c r="O128" s="448" t="s">
        <v>750</v>
      </c>
      <c r="P128" s="449"/>
      <c r="Q128" s="450"/>
      <c r="R128" s="445" t="s">
        <v>6</v>
      </c>
      <c r="S128" s="447"/>
      <c r="T128" s="305">
        <v>1</v>
      </c>
      <c r="W128" s="100" t="s">
        <v>224</v>
      </c>
      <c r="X128" s="61"/>
      <c r="Y128" s="243">
        <v>56.3</v>
      </c>
      <c r="AA128" s="195">
        <f t="shared" si="15"/>
        <v>56.3</v>
      </c>
      <c r="AB128" s="196"/>
      <c r="AC128" s="199"/>
    </row>
    <row r="129" spans="1:29" ht="20.100000000000001" customHeight="1" x14ac:dyDescent="0.25">
      <c r="A129" s="36"/>
      <c r="B129" s="132">
        <f t="shared" si="17"/>
        <v>103</v>
      </c>
      <c r="C129" s="71">
        <v>200</v>
      </c>
      <c r="D129" s="100" t="str">
        <f>HYPERLINK("https://sites.wustl.edu/meteoritesite/items/lm_dho_1673_clan/",W129)</f>
        <v>Dhofar 1984</v>
      </c>
      <c r="E129" s="445" t="s">
        <v>155</v>
      </c>
      <c r="F129" s="446"/>
      <c r="G129" s="446"/>
      <c r="H129" s="447"/>
      <c r="I129" s="445"/>
      <c r="J129" s="446"/>
      <c r="K129" s="446"/>
      <c r="L129" s="447"/>
      <c r="M129" s="454">
        <v>32.1</v>
      </c>
      <c r="N129" s="455"/>
      <c r="O129" s="448" t="s">
        <v>750</v>
      </c>
      <c r="P129" s="449"/>
      <c r="Q129" s="450"/>
      <c r="R129" s="445" t="s">
        <v>6</v>
      </c>
      <c r="S129" s="447"/>
      <c r="T129" s="305">
        <v>1</v>
      </c>
      <c r="W129" s="100" t="s">
        <v>387</v>
      </c>
      <c r="X129" s="61"/>
      <c r="Y129" s="243">
        <v>32.1</v>
      </c>
      <c r="AA129" s="195">
        <f t="shared" si="15"/>
        <v>32.1</v>
      </c>
      <c r="AB129" s="196"/>
      <c r="AC129" s="199"/>
    </row>
    <row r="130" spans="1:29" ht="20.100000000000001" customHeight="1" x14ac:dyDescent="0.25">
      <c r="A130" s="36"/>
      <c r="B130" s="132">
        <f t="shared" si="17"/>
        <v>104</v>
      </c>
      <c r="C130" s="71">
        <v>252</v>
      </c>
      <c r="D130" s="100" t="str">
        <f>HYPERLINK("https://sites.wustl.edu/meteoritesite/items/lm_dho_303_clan/",W130)</f>
        <v>Dhofar 2047</v>
      </c>
      <c r="E130" s="445" t="s">
        <v>75</v>
      </c>
      <c r="F130" s="446"/>
      <c r="G130" s="446"/>
      <c r="H130" s="447"/>
      <c r="I130" s="451"/>
      <c r="J130" s="452"/>
      <c r="K130" s="452"/>
      <c r="L130" s="453"/>
      <c r="M130" s="454">
        <v>4.95</v>
      </c>
      <c r="N130" s="455"/>
      <c r="O130" s="448" t="s">
        <v>754</v>
      </c>
      <c r="P130" s="449"/>
      <c r="Q130" s="450"/>
      <c r="R130" s="445" t="s">
        <v>6</v>
      </c>
      <c r="S130" s="447"/>
      <c r="T130" s="305">
        <v>1</v>
      </c>
      <c r="W130" s="100" t="s">
        <v>436</v>
      </c>
      <c r="X130" s="61"/>
      <c r="Y130" s="243">
        <v>4.95</v>
      </c>
      <c r="AA130" s="195">
        <f t="shared" si="15"/>
        <v>4.95</v>
      </c>
      <c r="AB130" s="196"/>
      <c r="AC130" s="199"/>
    </row>
    <row r="131" spans="1:29" ht="20.100000000000001" customHeight="1" x14ac:dyDescent="0.25">
      <c r="A131" s="36"/>
      <c r="B131" s="132">
        <f t="shared" si="17"/>
        <v>105</v>
      </c>
      <c r="C131" s="71">
        <v>379</v>
      </c>
      <c r="D131" s="100" t="str">
        <f>HYPERLINK("https://sites.wustl.edu/meteoritesite/items/lm_dho_2101/",W131)</f>
        <v>Dhofar 2101</v>
      </c>
      <c r="E131" s="445" t="s">
        <v>973</v>
      </c>
      <c r="F131" s="446"/>
      <c r="G131" s="446"/>
      <c r="H131" s="447"/>
      <c r="I131" s="451"/>
      <c r="J131" s="452"/>
      <c r="K131" s="452"/>
      <c r="L131" s="453"/>
      <c r="M131" s="454">
        <v>13</v>
      </c>
      <c r="N131" s="455"/>
      <c r="O131" s="656" t="s">
        <v>794</v>
      </c>
      <c r="P131" s="449"/>
      <c r="Q131" s="450"/>
      <c r="R131" s="445" t="s">
        <v>6</v>
      </c>
      <c r="S131" s="447"/>
      <c r="T131" s="305">
        <v>0</v>
      </c>
      <c r="W131" s="100" t="s">
        <v>678</v>
      </c>
      <c r="X131" s="61"/>
      <c r="Y131" s="243">
        <v>13</v>
      </c>
      <c r="AA131" s="195">
        <f t="shared" si="15"/>
        <v>13</v>
      </c>
      <c r="AB131" s="196"/>
      <c r="AC131" s="199"/>
    </row>
    <row r="132" spans="1:29" ht="20.100000000000001" customHeight="1" x14ac:dyDescent="0.25">
      <c r="A132" s="36"/>
      <c r="B132" s="132">
        <f t="shared" si="17"/>
        <v>106</v>
      </c>
      <c r="C132" s="71">
        <v>477</v>
      </c>
      <c r="D132" s="100" t="str">
        <f>HYPERLINK("https://sites.wustl.edu/meteoritesite/items/lm_dho_2122/",W132)</f>
        <v>Dhofar 2122</v>
      </c>
      <c r="E132" s="445" t="s">
        <v>532</v>
      </c>
      <c r="F132" s="446"/>
      <c r="G132" s="446"/>
      <c r="H132" s="447"/>
      <c r="I132" s="451"/>
      <c r="J132" s="452"/>
      <c r="K132" s="452"/>
      <c r="L132" s="453"/>
      <c r="M132" s="454" t="s">
        <v>1161</v>
      </c>
      <c r="N132" s="455"/>
      <c r="O132" s="656" t="s">
        <v>1157</v>
      </c>
      <c r="P132" s="449"/>
      <c r="Q132" s="450"/>
      <c r="R132" s="445" t="s">
        <v>6</v>
      </c>
      <c r="S132" s="447"/>
      <c r="T132" s="305">
        <v>0</v>
      </c>
      <c r="W132" s="100" t="s">
        <v>1156</v>
      </c>
      <c r="X132" s="61"/>
      <c r="Y132" s="243">
        <v>62.843000000000004</v>
      </c>
      <c r="AA132" s="195">
        <f t="shared" ref="AA132" si="18">Y132</f>
        <v>62.843000000000004</v>
      </c>
      <c r="AB132" s="196"/>
      <c r="AC132" s="199"/>
    </row>
    <row r="133" spans="1:29" ht="20.100000000000001" customHeight="1" x14ac:dyDescent="0.25">
      <c r="A133" s="36"/>
      <c r="B133" s="132">
        <f>B132+1</f>
        <v>107</v>
      </c>
      <c r="C133" s="71"/>
      <c r="D133" s="38" t="str">
        <f>HYPERLINK("https://sites.wustl.edu/meteoritesite/items/lm_dho_303_clan/",W133)</f>
        <v>[unnamed 28]</v>
      </c>
      <c r="E133" s="445" t="s">
        <v>75</v>
      </c>
      <c r="F133" s="446"/>
      <c r="G133" s="446"/>
      <c r="H133" s="447"/>
      <c r="I133" s="451"/>
      <c r="J133" s="452"/>
      <c r="K133" s="452"/>
      <c r="L133" s="453"/>
      <c r="M133" s="659" t="s">
        <v>150</v>
      </c>
      <c r="N133" s="660"/>
      <c r="O133" s="661" t="s">
        <v>755</v>
      </c>
      <c r="P133" s="662"/>
      <c r="Q133" s="663"/>
      <c r="R133" s="445" t="s">
        <v>6</v>
      </c>
      <c r="S133" s="447"/>
      <c r="T133" s="305">
        <v>1</v>
      </c>
      <c r="W133" s="38" t="s">
        <v>225</v>
      </c>
      <c r="X133" s="61"/>
      <c r="Y133" s="243"/>
      <c r="AB133" s="196"/>
      <c r="AC133" s="199"/>
    </row>
    <row r="134" spans="1:29" ht="20.100000000000001" customHeight="1" x14ac:dyDescent="0.25">
      <c r="A134" s="36"/>
      <c r="B134" s="132">
        <f t="shared" si="17"/>
        <v>108</v>
      </c>
      <c r="C134" s="72"/>
      <c r="D134" s="38" t="str">
        <f>HYPERLINK("https://sites.wustl.edu/meteoritesite/items/lm_dhofar_1527/",W134)</f>
        <v>[unnamed 96]</v>
      </c>
      <c r="E134" s="445">
        <v>1527</v>
      </c>
      <c r="F134" s="446"/>
      <c r="G134" s="446"/>
      <c r="H134" s="447"/>
      <c r="I134" s="676"/>
      <c r="J134" s="677"/>
      <c r="K134" s="677"/>
      <c r="L134" s="678"/>
      <c r="M134" s="679" t="s">
        <v>19</v>
      </c>
      <c r="N134" s="680"/>
      <c r="O134" s="681" t="s">
        <v>756</v>
      </c>
      <c r="P134" s="682"/>
      <c r="Q134" s="683"/>
      <c r="R134" s="445" t="s">
        <v>6</v>
      </c>
      <c r="S134" s="447"/>
      <c r="T134" s="306">
        <v>1</v>
      </c>
      <c r="W134" s="38" t="s">
        <v>226</v>
      </c>
      <c r="X134" s="61"/>
      <c r="Y134" s="243"/>
      <c r="AB134" s="196"/>
      <c r="AC134" s="199"/>
    </row>
    <row r="135" spans="1:29" ht="36" customHeight="1" x14ac:dyDescent="0.25">
      <c r="A135" s="36"/>
      <c r="B135" s="125" t="s">
        <v>402</v>
      </c>
      <c r="C135" s="30" t="s">
        <v>1034</v>
      </c>
      <c r="D135" s="33" t="s">
        <v>915</v>
      </c>
      <c r="E135" s="420" t="s">
        <v>916</v>
      </c>
      <c r="F135" s="421"/>
      <c r="G135" s="421"/>
      <c r="H135" s="422"/>
      <c r="I135" s="423" t="s">
        <v>917</v>
      </c>
      <c r="J135" s="424"/>
      <c r="K135" s="424"/>
      <c r="L135" s="425"/>
      <c r="M135" s="430" t="s">
        <v>918</v>
      </c>
      <c r="N135" s="431"/>
      <c r="O135" s="426" t="s">
        <v>919</v>
      </c>
      <c r="P135" s="427"/>
      <c r="Q135" s="428"/>
      <c r="R135" s="423" t="s">
        <v>920</v>
      </c>
      <c r="S135" s="425"/>
      <c r="T135" s="5" t="s">
        <v>5</v>
      </c>
      <c r="Y135" s="243"/>
      <c r="AB135" s="196"/>
      <c r="AC135" s="199"/>
    </row>
    <row r="136" spans="1:29" ht="20.100000000000001" customHeight="1" x14ac:dyDescent="0.25">
      <c r="A136" s="36"/>
      <c r="B136" s="134">
        <f>B134+1</f>
        <v>109</v>
      </c>
      <c r="C136" s="99">
        <v>405</v>
      </c>
      <c r="D136" s="173" t="str">
        <f t="shared" ref="D136:D143" si="19">HYPERLINK("https://sites.wustl.edu/meteoritesite/items/lm_dom_18262_clan/",W136)</f>
        <v>Dominion Range 18242</v>
      </c>
      <c r="E136" s="664" t="s">
        <v>677</v>
      </c>
      <c r="F136" s="665"/>
      <c r="G136" s="665"/>
      <c r="H136" s="666"/>
      <c r="I136" s="664"/>
      <c r="J136" s="665"/>
      <c r="K136" s="665"/>
      <c r="L136" s="666"/>
      <c r="M136" s="667">
        <v>15.92</v>
      </c>
      <c r="N136" s="668"/>
      <c r="O136" s="669" t="s">
        <v>757</v>
      </c>
      <c r="P136" s="670"/>
      <c r="Q136" s="671"/>
      <c r="R136" s="674" t="s">
        <v>562</v>
      </c>
      <c r="S136" s="675"/>
      <c r="T136" s="158">
        <v>0</v>
      </c>
      <c r="W136" s="104" t="s">
        <v>1039</v>
      </c>
      <c r="X136" s="61"/>
      <c r="Y136" s="244">
        <v>15.92</v>
      </c>
      <c r="AB136" s="196">
        <f t="shared" ref="AB136:AB145" si="20">Y136</f>
        <v>15.92</v>
      </c>
      <c r="AC136" s="199"/>
    </row>
    <row r="137" spans="1:29" ht="20.100000000000001" customHeight="1" x14ac:dyDescent="0.25">
      <c r="A137" s="36"/>
      <c r="B137" s="134">
        <f>B136+1</f>
        <v>110</v>
      </c>
      <c r="C137" s="99">
        <v>406</v>
      </c>
      <c r="D137" s="173" t="str">
        <f>HYPERLINK("https://sites.wustl.edu/meteoritesite/items/lm_dom_18262_clan/",W137)</f>
        <v>Dominion Range 18244</v>
      </c>
      <c r="E137" s="664" t="s">
        <v>677</v>
      </c>
      <c r="F137" s="665"/>
      <c r="G137" s="665"/>
      <c r="H137" s="666"/>
      <c r="I137" s="664"/>
      <c r="J137" s="665"/>
      <c r="K137" s="665"/>
      <c r="L137" s="666"/>
      <c r="M137" s="667">
        <v>25.07</v>
      </c>
      <c r="N137" s="668"/>
      <c r="O137" s="669" t="s">
        <v>757</v>
      </c>
      <c r="P137" s="670"/>
      <c r="Q137" s="671"/>
      <c r="R137" s="674" t="s">
        <v>562</v>
      </c>
      <c r="S137" s="675"/>
      <c r="T137" s="158">
        <v>0</v>
      </c>
      <c r="W137" s="104" t="s">
        <v>966</v>
      </c>
      <c r="X137" s="61"/>
      <c r="Y137" s="244">
        <v>25.07</v>
      </c>
      <c r="AB137" s="196">
        <f t="shared" si="20"/>
        <v>25.07</v>
      </c>
      <c r="AC137" s="199"/>
    </row>
    <row r="138" spans="1:29" ht="20.100000000000001" customHeight="1" x14ac:dyDescent="0.25">
      <c r="A138" s="36"/>
      <c r="B138" s="134">
        <f t="shared" ref="B138:B143" si="21">B137+1</f>
        <v>111</v>
      </c>
      <c r="C138" s="99">
        <v>374</v>
      </c>
      <c r="D138" s="173" t="str">
        <f t="shared" si="19"/>
        <v>Dominion Range 18262</v>
      </c>
      <c r="E138" s="664" t="s">
        <v>1333</v>
      </c>
      <c r="F138" s="665"/>
      <c r="G138" s="665"/>
      <c r="H138" s="666"/>
      <c r="I138" s="664"/>
      <c r="J138" s="665"/>
      <c r="K138" s="665"/>
      <c r="L138" s="666"/>
      <c r="M138" s="672">
        <v>6.7770000000000001</v>
      </c>
      <c r="N138" s="673"/>
      <c r="O138" s="669" t="s">
        <v>757</v>
      </c>
      <c r="P138" s="670"/>
      <c r="Q138" s="671"/>
      <c r="R138" s="674" t="s">
        <v>562</v>
      </c>
      <c r="S138" s="675"/>
      <c r="T138" s="158">
        <v>0</v>
      </c>
      <c r="W138" s="104" t="s">
        <v>672</v>
      </c>
      <c r="X138" s="61"/>
      <c r="Y138" s="243">
        <v>6.7770000000000001</v>
      </c>
      <c r="AB138" s="196">
        <f t="shared" si="20"/>
        <v>6.7770000000000001</v>
      </c>
      <c r="AC138" s="199"/>
    </row>
    <row r="139" spans="1:29" ht="20.100000000000001" customHeight="1" x14ac:dyDescent="0.25">
      <c r="A139" s="36"/>
      <c r="B139" s="134">
        <f t="shared" si="21"/>
        <v>112</v>
      </c>
      <c r="C139" s="99">
        <v>375</v>
      </c>
      <c r="D139" s="173" t="str">
        <f t="shared" si="19"/>
        <v>Dominion Range 18509</v>
      </c>
      <c r="E139" s="664" t="s">
        <v>677</v>
      </c>
      <c r="F139" s="665"/>
      <c r="G139" s="665"/>
      <c r="H139" s="666"/>
      <c r="I139" s="664"/>
      <c r="J139" s="665"/>
      <c r="K139" s="665"/>
      <c r="L139" s="666"/>
      <c r="M139" s="672">
        <v>16.52</v>
      </c>
      <c r="N139" s="673"/>
      <c r="O139" s="669" t="s">
        <v>757</v>
      </c>
      <c r="P139" s="670"/>
      <c r="Q139" s="671"/>
      <c r="R139" s="674" t="s">
        <v>562</v>
      </c>
      <c r="S139" s="675"/>
      <c r="T139" s="158">
        <v>0</v>
      </c>
      <c r="W139" s="104" t="s">
        <v>673</v>
      </c>
      <c r="X139" s="61"/>
      <c r="Y139" s="243">
        <v>16.52</v>
      </c>
      <c r="AB139" s="196">
        <f t="shared" si="20"/>
        <v>16.52</v>
      </c>
      <c r="AC139" s="199"/>
    </row>
    <row r="140" spans="1:29" ht="20.100000000000001" customHeight="1" x14ac:dyDescent="0.25">
      <c r="A140" s="36"/>
      <c r="B140" s="134">
        <f t="shared" si="21"/>
        <v>113</v>
      </c>
      <c r="C140" s="99">
        <v>376</v>
      </c>
      <c r="D140" s="173" t="str">
        <f t="shared" si="19"/>
        <v>Dominion Range 18543</v>
      </c>
      <c r="E140" s="664" t="s">
        <v>677</v>
      </c>
      <c r="F140" s="665"/>
      <c r="G140" s="665"/>
      <c r="H140" s="666"/>
      <c r="I140" s="664"/>
      <c r="J140" s="665"/>
      <c r="K140" s="665"/>
      <c r="L140" s="666"/>
      <c r="M140" s="672">
        <v>13.59</v>
      </c>
      <c r="N140" s="673"/>
      <c r="O140" s="669" t="s">
        <v>757</v>
      </c>
      <c r="P140" s="670"/>
      <c r="Q140" s="671"/>
      <c r="R140" s="674" t="s">
        <v>562</v>
      </c>
      <c r="S140" s="675"/>
      <c r="T140" s="158">
        <v>0</v>
      </c>
      <c r="W140" s="104" t="s">
        <v>674</v>
      </c>
      <c r="X140" s="61"/>
      <c r="Y140" s="243">
        <v>13.59</v>
      </c>
      <c r="AB140" s="196">
        <f t="shared" si="20"/>
        <v>13.59</v>
      </c>
      <c r="AC140" s="199"/>
    </row>
    <row r="141" spans="1:29" ht="20.100000000000001" customHeight="1" x14ac:dyDescent="0.25">
      <c r="A141" s="36"/>
      <c r="B141" s="134">
        <f t="shared" si="21"/>
        <v>114</v>
      </c>
      <c r="C141" s="99">
        <v>556</v>
      </c>
      <c r="D141" s="173" t="str">
        <f t="shared" ref="D141" si="22">HYPERLINK("https://sites.wustl.edu/meteoritesite/items/lm_dom_18262_clan/",W141)</f>
        <v>Dominion Range 18545</v>
      </c>
      <c r="E141" s="664" t="s">
        <v>677</v>
      </c>
      <c r="F141" s="665"/>
      <c r="G141" s="665"/>
      <c r="H141" s="666"/>
      <c r="I141" s="664"/>
      <c r="J141" s="665"/>
      <c r="K141" s="665"/>
      <c r="L141" s="666"/>
      <c r="M141" s="672">
        <v>5.46</v>
      </c>
      <c r="N141" s="673"/>
      <c r="O141" s="669" t="s">
        <v>757</v>
      </c>
      <c r="P141" s="670"/>
      <c r="Q141" s="671"/>
      <c r="R141" s="674" t="s">
        <v>562</v>
      </c>
      <c r="S141" s="675"/>
      <c r="T141" s="158">
        <v>0</v>
      </c>
      <c r="W141" s="104" t="s">
        <v>1332</v>
      </c>
      <c r="X141" s="61"/>
      <c r="Y141" s="243">
        <v>5.46</v>
      </c>
      <c r="AB141" s="196">
        <f t="shared" si="20"/>
        <v>5.46</v>
      </c>
      <c r="AC141" s="199"/>
    </row>
    <row r="142" spans="1:29" ht="20.100000000000001" customHeight="1" x14ac:dyDescent="0.25">
      <c r="A142" s="36"/>
      <c r="B142" s="134">
        <f t="shared" si="21"/>
        <v>115</v>
      </c>
      <c r="C142" s="99">
        <v>377</v>
      </c>
      <c r="D142" s="173" t="str">
        <f t="shared" si="19"/>
        <v>Dominion Range 18666</v>
      </c>
      <c r="E142" s="664" t="s">
        <v>677</v>
      </c>
      <c r="F142" s="665"/>
      <c r="G142" s="665"/>
      <c r="H142" s="666"/>
      <c r="I142" s="664"/>
      <c r="J142" s="665"/>
      <c r="K142" s="665"/>
      <c r="L142" s="666"/>
      <c r="M142" s="672">
        <v>45.87</v>
      </c>
      <c r="N142" s="673"/>
      <c r="O142" s="669" t="s">
        <v>757</v>
      </c>
      <c r="P142" s="670"/>
      <c r="Q142" s="671"/>
      <c r="R142" s="674" t="s">
        <v>562</v>
      </c>
      <c r="S142" s="675"/>
      <c r="T142" s="158">
        <v>0</v>
      </c>
      <c r="W142" s="104" t="s">
        <v>675</v>
      </c>
      <c r="X142" s="61"/>
      <c r="Y142" s="243">
        <v>45.87</v>
      </c>
      <c r="AB142" s="196">
        <f t="shared" si="20"/>
        <v>45.87</v>
      </c>
      <c r="AC142" s="199"/>
    </row>
    <row r="143" spans="1:29" ht="20.100000000000001" customHeight="1" x14ac:dyDescent="0.25">
      <c r="A143" s="36"/>
      <c r="B143" s="134">
        <f t="shared" si="21"/>
        <v>116</v>
      </c>
      <c r="C143" s="99">
        <v>378</v>
      </c>
      <c r="D143" s="173" t="str">
        <f t="shared" si="19"/>
        <v>Dominion Range 18678</v>
      </c>
      <c r="E143" s="695" t="s">
        <v>677</v>
      </c>
      <c r="F143" s="696"/>
      <c r="G143" s="696"/>
      <c r="H143" s="697"/>
      <c r="I143" s="664"/>
      <c r="J143" s="665"/>
      <c r="K143" s="665"/>
      <c r="L143" s="666"/>
      <c r="M143" s="672">
        <v>11.64</v>
      </c>
      <c r="N143" s="673"/>
      <c r="O143" s="669" t="s">
        <v>757</v>
      </c>
      <c r="P143" s="670"/>
      <c r="Q143" s="671"/>
      <c r="R143" s="674" t="s">
        <v>562</v>
      </c>
      <c r="S143" s="675"/>
      <c r="T143" s="158">
        <v>0</v>
      </c>
      <c r="W143" s="104" t="s">
        <v>676</v>
      </c>
      <c r="X143" s="61"/>
      <c r="Y143" s="243">
        <v>11.64</v>
      </c>
      <c r="AB143" s="196">
        <f t="shared" si="20"/>
        <v>11.64</v>
      </c>
      <c r="AC143" s="199"/>
    </row>
    <row r="144" spans="1:29" ht="20.100000000000001" customHeight="1" x14ac:dyDescent="0.25">
      <c r="A144" s="36"/>
      <c r="B144" s="73">
        <f t="shared" ref="B144:B145" si="23">B143+1</f>
        <v>117</v>
      </c>
      <c r="C144" s="73">
        <v>7</v>
      </c>
      <c r="D144" s="172" t="str">
        <f>HYPERLINK("https://sites.wustl.edu/meteoritesite/items/lm_eet_87-96/",W144)</f>
        <v>Elephant Moraine 87521</v>
      </c>
      <c r="E144" s="684">
        <v>96008</v>
      </c>
      <c r="F144" s="685"/>
      <c r="G144" s="685"/>
      <c r="H144" s="686"/>
      <c r="I144" s="687" t="s">
        <v>628</v>
      </c>
      <c r="J144" s="688"/>
      <c r="K144" s="688"/>
      <c r="L144" s="689"/>
      <c r="M144" s="690">
        <v>30.7</v>
      </c>
      <c r="N144" s="691"/>
      <c r="O144" s="692" t="s">
        <v>760</v>
      </c>
      <c r="P144" s="693"/>
      <c r="Q144" s="694"/>
      <c r="R144" s="687" t="s">
        <v>562</v>
      </c>
      <c r="S144" s="689"/>
      <c r="T144" s="307">
        <v>1</v>
      </c>
      <c r="W144" s="207" t="s">
        <v>227</v>
      </c>
      <c r="X144" s="61"/>
      <c r="Y144" s="243">
        <v>30.7</v>
      </c>
      <c r="AB144" s="196">
        <f t="shared" si="20"/>
        <v>30.7</v>
      </c>
      <c r="AC144" s="199"/>
    </row>
    <row r="145" spans="1:29" ht="20.100000000000001" customHeight="1" x14ac:dyDescent="0.25">
      <c r="A145" s="36"/>
      <c r="B145" s="73">
        <f t="shared" si="23"/>
        <v>118</v>
      </c>
      <c r="C145" s="73">
        <v>18</v>
      </c>
      <c r="D145" s="172" t="str">
        <f>HYPERLINK("https://sites.wustl.edu/meteoritesite/items/lm_eet_87-96/",W145)</f>
        <v>Elephant Moraine 96008</v>
      </c>
      <c r="E145" s="711">
        <v>87521</v>
      </c>
      <c r="F145" s="712"/>
      <c r="G145" s="712"/>
      <c r="H145" s="713"/>
      <c r="I145" s="698"/>
      <c r="J145" s="699"/>
      <c r="K145" s="699"/>
      <c r="L145" s="700"/>
      <c r="M145" s="701">
        <v>52.97</v>
      </c>
      <c r="N145" s="702"/>
      <c r="O145" s="708" t="s">
        <v>758</v>
      </c>
      <c r="P145" s="709"/>
      <c r="Q145" s="710"/>
      <c r="R145" s="687" t="s">
        <v>562</v>
      </c>
      <c r="S145" s="689"/>
      <c r="T145" s="308">
        <v>1</v>
      </c>
      <c r="W145" s="105" t="s">
        <v>228</v>
      </c>
      <c r="X145" s="61"/>
      <c r="Y145" s="243">
        <v>52.97</v>
      </c>
      <c r="AB145" s="196">
        <f t="shared" si="20"/>
        <v>52.97</v>
      </c>
      <c r="AC145" s="199"/>
    </row>
    <row r="146" spans="1:29" ht="20.100000000000001" customHeight="1" x14ac:dyDescent="0.25">
      <c r="A146" s="36"/>
      <c r="B146" s="128">
        <f>B145+1</f>
        <v>119</v>
      </c>
      <c r="C146" s="68">
        <v>766</v>
      </c>
      <c r="D146" s="64" t="str">
        <f>HYPERLINK("https://sites.wustl.edu/meteoritesite/items/lm_elatchane_024/",W146)</f>
        <v>El Atchane 024</v>
      </c>
      <c r="E146" s="376" t="s">
        <v>532</v>
      </c>
      <c r="F146" s="377"/>
      <c r="G146" s="377"/>
      <c r="H146" s="378"/>
      <c r="I146" s="412"/>
      <c r="J146" s="413"/>
      <c r="K146" s="413"/>
      <c r="L146" s="414"/>
      <c r="M146" s="379">
        <v>4831</v>
      </c>
      <c r="N146" s="400"/>
      <c r="O146" s="381" t="s">
        <v>1534</v>
      </c>
      <c r="P146" s="382"/>
      <c r="Q146" s="383"/>
      <c r="R146" s="376" t="s">
        <v>1322</v>
      </c>
      <c r="S146" s="378"/>
      <c r="T146" s="157">
        <v>0</v>
      </c>
      <c r="W146" s="106" t="s">
        <v>1841</v>
      </c>
      <c r="X146" s="61"/>
      <c r="Y146" s="243">
        <v>4831</v>
      </c>
      <c r="Z146" s="243">
        <f t="shared" ref="Z146" si="24">Y146</f>
        <v>4831</v>
      </c>
      <c r="AB146" s="196"/>
      <c r="AC146" s="199"/>
    </row>
    <row r="147" spans="1:29" ht="20.100000000000001" customHeight="1" x14ac:dyDescent="0.25">
      <c r="A147" s="36"/>
      <c r="B147" s="128">
        <f>B146+1</f>
        <v>120</v>
      </c>
      <c r="C147" s="68">
        <v>557</v>
      </c>
      <c r="D147" s="64" t="str">
        <f>HYPERLINK("https://sites.wustl.edu/meteoritesite/items/lm_elh_001/",W147)</f>
        <v>El Hareicha 001</v>
      </c>
      <c r="E147" s="376" t="s">
        <v>532</v>
      </c>
      <c r="F147" s="377"/>
      <c r="G147" s="377"/>
      <c r="H147" s="378"/>
      <c r="I147" s="412"/>
      <c r="J147" s="413"/>
      <c r="K147" s="413"/>
      <c r="L147" s="414"/>
      <c r="M147" s="379">
        <v>365</v>
      </c>
      <c r="N147" s="400"/>
      <c r="O147" s="381" t="s">
        <v>1337</v>
      </c>
      <c r="P147" s="382"/>
      <c r="Q147" s="383"/>
      <c r="R147" s="376" t="s">
        <v>1336</v>
      </c>
      <c r="S147" s="378"/>
      <c r="T147" s="157">
        <v>0</v>
      </c>
      <c r="W147" s="106" t="s">
        <v>1335</v>
      </c>
      <c r="X147" s="61"/>
      <c r="Y147" s="243">
        <v>365</v>
      </c>
      <c r="Z147" s="243">
        <f t="shared" ref="Z147:Z174" si="25">Y147</f>
        <v>365</v>
      </c>
      <c r="AB147" s="196"/>
      <c r="AC147" s="199"/>
    </row>
    <row r="148" spans="1:29" ht="20.100000000000001" customHeight="1" x14ac:dyDescent="0.25">
      <c r="A148" s="36"/>
      <c r="B148" s="128">
        <f t="shared" ref="B148:B162" si="26">B147+1</f>
        <v>121</v>
      </c>
      <c r="C148" s="68">
        <v>552</v>
      </c>
      <c r="D148" s="64" t="str">
        <f>HYPERLINK("https://sites.wustl.edu/meteoritesite/items/lm_el_milhas_001/",W148)</f>
        <v>El Milhas 001</v>
      </c>
      <c r="E148" s="376" t="s">
        <v>532</v>
      </c>
      <c r="F148" s="377"/>
      <c r="G148" s="377"/>
      <c r="H148" s="378"/>
      <c r="I148" s="412"/>
      <c r="J148" s="413"/>
      <c r="K148" s="413"/>
      <c r="L148" s="414"/>
      <c r="M148" s="379" t="s">
        <v>1324</v>
      </c>
      <c r="N148" s="400"/>
      <c r="O148" s="381" t="s">
        <v>1323</v>
      </c>
      <c r="P148" s="382"/>
      <c r="Q148" s="383"/>
      <c r="R148" s="376" t="s">
        <v>1322</v>
      </c>
      <c r="S148" s="378"/>
      <c r="T148" s="157">
        <v>0</v>
      </c>
      <c r="W148" s="106" t="s">
        <v>1321</v>
      </c>
      <c r="X148" s="61"/>
      <c r="Y148" s="243">
        <v>385.3</v>
      </c>
      <c r="Z148" s="243">
        <f t="shared" si="25"/>
        <v>385.3</v>
      </c>
      <c r="AB148" s="196"/>
      <c r="AC148" s="199"/>
    </row>
    <row r="149" spans="1:29" ht="20.100000000000001" customHeight="1" x14ac:dyDescent="0.25">
      <c r="A149" s="36"/>
      <c r="B149" s="128">
        <f t="shared" si="26"/>
        <v>122</v>
      </c>
      <c r="C149" s="68">
        <v>558</v>
      </c>
      <c r="D149" s="64" t="str">
        <f>HYPERLINK("https://sites.wustl.edu/meteoritesite/items/lm_el_milhas_002/",W149)</f>
        <v>El Milhas 002</v>
      </c>
      <c r="E149" s="376" t="s">
        <v>532</v>
      </c>
      <c r="F149" s="377"/>
      <c r="G149" s="377"/>
      <c r="H149" s="378"/>
      <c r="I149" s="412"/>
      <c r="J149" s="413"/>
      <c r="K149" s="413"/>
      <c r="L149" s="414"/>
      <c r="M149" s="407" t="s">
        <v>1340</v>
      </c>
      <c r="N149" s="408"/>
      <c r="O149" s="381" t="s">
        <v>1339</v>
      </c>
      <c r="P149" s="382"/>
      <c r="Q149" s="383"/>
      <c r="R149" s="376" t="s">
        <v>1322</v>
      </c>
      <c r="S149" s="378"/>
      <c r="T149" s="157">
        <v>0</v>
      </c>
      <c r="W149" s="106" t="s">
        <v>1338</v>
      </c>
      <c r="X149" s="61"/>
      <c r="Y149" s="243">
        <v>9853</v>
      </c>
      <c r="Z149" s="243">
        <f t="shared" ref="Z149:Z151" si="27">Y149</f>
        <v>9853</v>
      </c>
      <c r="AB149" s="196"/>
      <c r="AC149" s="199"/>
    </row>
    <row r="150" spans="1:29" ht="20.100000000000001" customHeight="1" x14ac:dyDescent="0.25">
      <c r="A150" s="36"/>
      <c r="B150" s="128">
        <f t="shared" si="26"/>
        <v>123</v>
      </c>
      <c r="C150" s="68">
        <v>682</v>
      </c>
      <c r="D150" s="64" t="str">
        <f>HYPERLINK("https://sites.wustl.edu/meteoritesite/items/lm_el_milhas_007/",W150)</f>
        <v>El Milhas 007</v>
      </c>
      <c r="E150" s="376" t="s">
        <v>532</v>
      </c>
      <c r="F150" s="377"/>
      <c r="G150" s="377"/>
      <c r="H150" s="378"/>
      <c r="I150" s="412"/>
      <c r="J150" s="413"/>
      <c r="K150" s="413"/>
      <c r="L150" s="414"/>
      <c r="M150" s="407">
        <v>318.5</v>
      </c>
      <c r="N150" s="408"/>
      <c r="O150" s="381" t="s">
        <v>1534</v>
      </c>
      <c r="P150" s="382"/>
      <c r="Q150" s="383"/>
      <c r="R150" s="376" t="s">
        <v>1151</v>
      </c>
      <c r="S150" s="378"/>
      <c r="T150" s="157">
        <v>0</v>
      </c>
      <c r="W150" s="106" t="s">
        <v>1651</v>
      </c>
      <c r="X150" s="61"/>
      <c r="Y150" s="243">
        <v>318.5</v>
      </c>
      <c r="Z150" s="243">
        <f t="shared" ref="Z150" si="28">Y150</f>
        <v>318.5</v>
      </c>
      <c r="AB150" s="196"/>
      <c r="AC150" s="199"/>
    </row>
    <row r="151" spans="1:29" ht="20.100000000000001" customHeight="1" x14ac:dyDescent="0.25">
      <c r="A151" s="36"/>
      <c r="B151" s="128">
        <f t="shared" si="26"/>
        <v>124</v>
      </c>
      <c r="C151" s="68">
        <v>640</v>
      </c>
      <c r="D151" s="64" t="str">
        <f>HYPERLINK("https://sites.wustl.edu/meteoritesite/items/lm_erg_atouila_005/",W151)</f>
        <v>Erg Atouila 005</v>
      </c>
      <c r="E151" s="376" t="s">
        <v>532</v>
      </c>
      <c r="F151" s="377"/>
      <c r="G151" s="377"/>
      <c r="H151" s="378"/>
      <c r="I151" s="412"/>
      <c r="J151" s="413"/>
      <c r="K151" s="413"/>
      <c r="L151" s="414"/>
      <c r="M151" s="407" t="s">
        <v>585</v>
      </c>
      <c r="N151" s="408"/>
      <c r="O151" s="381" t="s">
        <v>1455</v>
      </c>
      <c r="P151" s="382"/>
      <c r="Q151" s="383"/>
      <c r="R151" s="376" t="s">
        <v>1193</v>
      </c>
      <c r="S151" s="378"/>
      <c r="T151" s="157">
        <v>0</v>
      </c>
      <c r="W151" s="106" t="s">
        <v>1521</v>
      </c>
      <c r="X151" s="61"/>
      <c r="Y151" s="243">
        <v>6000</v>
      </c>
      <c r="Z151" s="243">
        <f t="shared" si="27"/>
        <v>6000</v>
      </c>
      <c r="AB151" s="196"/>
      <c r="AC151" s="199"/>
    </row>
    <row r="152" spans="1:29" ht="20.100000000000001" customHeight="1" x14ac:dyDescent="0.25">
      <c r="A152" s="36"/>
      <c r="B152" s="128">
        <f t="shared" si="26"/>
        <v>125</v>
      </c>
      <c r="C152" s="68">
        <v>326</v>
      </c>
      <c r="D152" s="64" t="str">
        <f>HYPERLINK("https://sites.wustl.edu/meteoritesite/items/lm_errachidia/",W152)</f>
        <v>Errachidia</v>
      </c>
      <c r="E152" s="376" t="s">
        <v>532</v>
      </c>
      <c r="F152" s="377"/>
      <c r="G152" s="377"/>
      <c r="H152" s="378"/>
      <c r="I152" s="412"/>
      <c r="J152" s="413"/>
      <c r="K152" s="413"/>
      <c r="L152" s="414"/>
      <c r="M152" s="379">
        <v>156</v>
      </c>
      <c r="N152" s="400"/>
      <c r="O152" s="381" t="s">
        <v>759</v>
      </c>
      <c r="P152" s="382"/>
      <c r="Q152" s="383"/>
      <c r="R152" s="376" t="s">
        <v>6</v>
      </c>
      <c r="S152" s="378"/>
      <c r="T152" s="157">
        <v>0</v>
      </c>
      <c r="W152" s="106" t="s">
        <v>578</v>
      </c>
      <c r="X152" s="61"/>
      <c r="Y152" s="243">
        <v>156</v>
      </c>
      <c r="Z152" s="243">
        <f t="shared" si="25"/>
        <v>156</v>
      </c>
      <c r="AB152" s="196"/>
      <c r="AC152" s="199"/>
    </row>
    <row r="153" spans="1:29" ht="20.100000000000001" customHeight="1" x14ac:dyDescent="0.25">
      <c r="A153" s="36"/>
      <c r="B153" s="128">
        <f t="shared" si="26"/>
        <v>126</v>
      </c>
      <c r="C153" s="68">
        <v>453</v>
      </c>
      <c r="D153" s="64" t="str">
        <f t="shared" ref="D153:D158" si="29">HYPERLINK("https://sites.wustl.edu/meteoritesite/items/lm_gadamis_002/",W153)</f>
        <v>Gadamis 002</v>
      </c>
      <c r="E153" s="376" t="s">
        <v>1395</v>
      </c>
      <c r="F153" s="377"/>
      <c r="G153" s="377"/>
      <c r="H153" s="378"/>
      <c r="I153" s="459"/>
      <c r="J153" s="460"/>
      <c r="K153" s="460"/>
      <c r="L153" s="461"/>
      <c r="M153" s="407" t="s">
        <v>1106</v>
      </c>
      <c r="N153" s="408"/>
      <c r="O153" s="409" t="s">
        <v>1046</v>
      </c>
      <c r="P153" s="410"/>
      <c r="Q153" s="411"/>
      <c r="R153" s="404" t="s">
        <v>1410</v>
      </c>
      <c r="S153" s="406"/>
      <c r="T153" s="157">
        <v>0</v>
      </c>
      <c r="W153" s="106" t="s">
        <v>1113</v>
      </c>
      <c r="X153" s="61"/>
      <c r="Y153" s="243">
        <v>712</v>
      </c>
      <c r="Z153" s="243">
        <f t="shared" si="25"/>
        <v>712</v>
      </c>
      <c r="AB153" s="196"/>
      <c r="AC153" s="199"/>
    </row>
    <row r="154" spans="1:29" ht="20.100000000000001" customHeight="1" x14ac:dyDescent="0.25">
      <c r="A154" s="36"/>
      <c r="B154" s="128">
        <f t="shared" si="26"/>
        <v>127</v>
      </c>
      <c r="C154" s="68">
        <v>497</v>
      </c>
      <c r="D154" s="64" t="str">
        <f t="shared" si="29"/>
        <v>Gadamis 003</v>
      </c>
      <c r="E154" s="376" t="s">
        <v>1238</v>
      </c>
      <c r="F154" s="377"/>
      <c r="G154" s="377"/>
      <c r="H154" s="378"/>
      <c r="I154" s="459"/>
      <c r="J154" s="460"/>
      <c r="K154" s="460"/>
      <c r="L154" s="461"/>
      <c r="M154" s="407" t="s">
        <v>1198</v>
      </c>
      <c r="N154" s="408"/>
      <c r="O154" s="409" t="s">
        <v>1130</v>
      </c>
      <c r="P154" s="410"/>
      <c r="Q154" s="411"/>
      <c r="R154" s="404" t="s">
        <v>1410</v>
      </c>
      <c r="S154" s="406"/>
      <c r="T154" s="157">
        <v>0</v>
      </c>
      <c r="W154" s="106" t="s">
        <v>1197</v>
      </c>
      <c r="X154" s="61"/>
      <c r="Y154" s="243">
        <v>1270</v>
      </c>
      <c r="Z154" s="243">
        <f t="shared" ref="Z154" si="30">Y154</f>
        <v>1270</v>
      </c>
      <c r="AB154" s="196"/>
      <c r="AC154" s="199"/>
    </row>
    <row r="155" spans="1:29" ht="20.100000000000001" customHeight="1" x14ac:dyDescent="0.25">
      <c r="A155" s="36"/>
      <c r="B155" s="128">
        <f t="shared" si="26"/>
        <v>128</v>
      </c>
      <c r="C155" s="68">
        <v>511</v>
      </c>
      <c r="D155" s="64" t="str">
        <f t="shared" si="29"/>
        <v>Gadamis 004</v>
      </c>
      <c r="E155" s="376" t="s">
        <v>1238</v>
      </c>
      <c r="F155" s="377"/>
      <c r="G155" s="377"/>
      <c r="H155" s="378"/>
      <c r="I155" s="309"/>
      <c r="J155" s="310"/>
      <c r="K155" s="310"/>
      <c r="L155" s="311"/>
      <c r="M155" s="401">
        <v>12660</v>
      </c>
      <c r="N155" s="462"/>
      <c r="O155" s="409" t="s">
        <v>1237</v>
      </c>
      <c r="P155" s="410"/>
      <c r="Q155" s="411"/>
      <c r="R155" s="404" t="s">
        <v>1410</v>
      </c>
      <c r="S155" s="406"/>
      <c r="T155" s="157">
        <v>0</v>
      </c>
      <c r="W155" s="106" t="s">
        <v>1239</v>
      </c>
      <c r="X155" s="61"/>
      <c r="Y155" s="243">
        <v>12660</v>
      </c>
      <c r="Z155" s="243">
        <v>12660</v>
      </c>
      <c r="AB155" s="196"/>
      <c r="AC155" s="199"/>
    </row>
    <row r="156" spans="1:29" ht="20.100000000000001" customHeight="1" x14ac:dyDescent="0.25">
      <c r="A156" s="36"/>
      <c r="B156" s="128">
        <f t="shared" si="26"/>
        <v>129</v>
      </c>
      <c r="C156" s="68">
        <v>569</v>
      </c>
      <c r="D156" s="64" t="str">
        <f t="shared" si="29"/>
        <v>Gadamis 005</v>
      </c>
      <c r="E156" s="376" t="s">
        <v>1238</v>
      </c>
      <c r="F156" s="377"/>
      <c r="G156" s="377"/>
      <c r="H156" s="378"/>
      <c r="I156" s="309"/>
      <c r="J156" s="310"/>
      <c r="K156" s="310"/>
      <c r="L156" s="311"/>
      <c r="M156" s="401">
        <v>10000</v>
      </c>
      <c r="N156" s="462"/>
      <c r="O156" s="409" t="s">
        <v>1312</v>
      </c>
      <c r="P156" s="410"/>
      <c r="Q156" s="411"/>
      <c r="R156" s="404" t="s">
        <v>1410</v>
      </c>
      <c r="S156" s="406"/>
      <c r="T156" s="157">
        <v>0</v>
      </c>
      <c r="W156" s="106" t="s">
        <v>1362</v>
      </c>
      <c r="X156" s="61"/>
      <c r="Y156" s="243">
        <v>10000</v>
      </c>
      <c r="Z156" s="243">
        <f>Y156</f>
        <v>10000</v>
      </c>
      <c r="AB156" s="196"/>
      <c r="AC156" s="199"/>
    </row>
    <row r="157" spans="1:29" ht="20.100000000000001" customHeight="1" x14ac:dyDescent="0.25">
      <c r="A157" s="36"/>
      <c r="B157" s="128">
        <f t="shared" si="26"/>
        <v>130</v>
      </c>
      <c r="C157" s="68">
        <v>585</v>
      </c>
      <c r="D157" s="64" t="str">
        <f t="shared" si="29"/>
        <v>Gadamis 006</v>
      </c>
      <c r="E157" s="376" t="s">
        <v>1238</v>
      </c>
      <c r="F157" s="377"/>
      <c r="G157" s="377"/>
      <c r="H157" s="378"/>
      <c r="I157" s="309"/>
      <c r="J157" s="310"/>
      <c r="K157" s="310"/>
      <c r="L157" s="311"/>
      <c r="M157" s="379">
        <v>113</v>
      </c>
      <c r="N157" s="400"/>
      <c r="O157" s="409" t="s">
        <v>1312</v>
      </c>
      <c r="P157" s="410"/>
      <c r="Q157" s="411"/>
      <c r="R157" s="404" t="s">
        <v>1410</v>
      </c>
      <c r="S157" s="406"/>
      <c r="T157" s="157">
        <v>0</v>
      </c>
      <c r="W157" s="106" t="s">
        <v>1396</v>
      </c>
      <c r="X157" s="61"/>
      <c r="Y157" s="243">
        <v>113</v>
      </c>
      <c r="Z157" s="243">
        <f>Y157</f>
        <v>113</v>
      </c>
      <c r="AB157" s="196"/>
      <c r="AC157" s="199"/>
    </row>
    <row r="158" spans="1:29" ht="20.100000000000001" customHeight="1" x14ac:dyDescent="0.25">
      <c r="A158" s="36"/>
      <c r="B158" s="128">
        <f t="shared" si="26"/>
        <v>131</v>
      </c>
      <c r="C158" s="68">
        <v>740</v>
      </c>
      <c r="D158" s="64" t="str">
        <f t="shared" si="29"/>
        <v>Gadamis 008</v>
      </c>
      <c r="E158" s="376" t="s">
        <v>1238</v>
      </c>
      <c r="F158" s="377"/>
      <c r="G158" s="377"/>
      <c r="H158" s="378"/>
      <c r="I158" s="309"/>
      <c r="J158" s="310"/>
      <c r="K158" s="310"/>
      <c r="L158" s="311"/>
      <c r="M158" s="379">
        <v>2900</v>
      </c>
      <c r="N158" s="400"/>
      <c r="O158" s="409" t="s">
        <v>1701</v>
      </c>
      <c r="P158" s="410"/>
      <c r="Q158" s="411"/>
      <c r="R158" s="404" t="s">
        <v>1410</v>
      </c>
      <c r="S158" s="406"/>
      <c r="T158" s="157">
        <v>0</v>
      </c>
      <c r="W158" s="106" t="s">
        <v>1786</v>
      </c>
      <c r="X158" s="61"/>
      <c r="Y158" s="243">
        <v>2900</v>
      </c>
      <c r="Z158" s="243">
        <f>Y158</f>
        <v>2900</v>
      </c>
      <c r="AB158" s="196"/>
      <c r="AC158" s="199"/>
    </row>
    <row r="159" spans="1:29" ht="20.100000000000001" customHeight="1" x14ac:dyDescent="0.25">
      <c r="A159" s="36"/>
      <c r="B159" s="128">
        <f>B158+1</f>
        <v>132</v>
      </c>
      <c r="C159" s="68">
        <v>254</v>
      </c>
      <c r="D159" s="64" t="str">
        <f>HYPERLINK("https://sites.wustl.edu/meteoritesite/items/lm_nwa_07834_clan/",W159)</f>
        <v>Galb Inal</v>
      </c>
      <c r="E159" s="404" t="s">
        <v>140</v>
      </c>
      <c r="F159" s="405"/>
      <c r="G159" s="405"/>
      <c r="H159" s="406"/>
      <c r="I159" s="459"/>
      <c r="J159" s="460"/>
      <c r="K159" s="460"/>
      <c r="L159" s="461"/>
      <c r="M159" s="407" t="s">
        <v>538</v>
      </c>
      <c r="N159" s="408"/>
      <c r="O159" s="409" t="s">
        <v>761</v>
      </c>
      <c r="P159" s="410"/>
      <c r="Q159" s="411"/>
      <c r="R159" s="404" t="s">
        <v>1573</v>
      </c>
      <c r="S159" s="406"/>
      <c r="T159" s="157">
        <v>1</v>
      </c>
      <c r="W159" s="106" t="s">
        <v>440</v>
      </c>
      <c r="X159" s="61"/>
      <c r="Y159" s="243">
        <v>4050</v>
      </c>
      <c r="Z159" s="243">
        <f t="shared" si="25"/>
        <v>4050</v>
      </c>
      <c r="AB159" s="196"/>
      <c r="AC159" s="199"/>
    </row>
    <row r="160" spans="1:29" ht="20.100000000000001" customHeight="1" x14ac:dyDescent="0.25">
      <c r="A160" s="36"/>
      <c r="B160" s="128">
        <f t="shared" si="26"/>
        <v>133</v>
      </c>
      <c r="C160" s="68">
        <v>416</v>
      </c>
      <c r="D160" s="64" t="str">
        <f>HYPERLINK("https://sites.wustl.edu/meteoritesite/items/lm_ghadduwah_001",W160)</f>
        <v>Ghadduwah 001</v>
      </c>
      <c r="E160" s="376" t="s">
        <v>532</v>
      </c>
      <c r="F160" s="377"/>
      <c r="G160" s="377"/>
      <c r="H160" s="378"/>
      <c r="I160" s="459"/>
      <c r="J160" s="460"/>
      <c r="K160" s="460"/>
      <c r="L160" s="461"/>
      <c r="M160" s="379">
        <v>265</v>
      </c>
      <c r="N160" s="400"/>
      <c r="O160" s="409" t="s">
        <v>1014</v>
      </c>
      <c r="P160" s="410"/>
      <c r="Q160" s="411"/>
      <c r="R160" s="404" t="s">
        <v>1015</v>
      </c>
      <c r="S160" s="406"/>
      <c r="T160" s="157">
        <v>0</v>
      </c>
      <c r="W160" s="106" t="s">
        <v>1013</v>
      </c>
      <c r="X160" s="61"/>
      <c r="Y160" s="243">
        <v>265</v>
      </c>
      <c r="Z160" s="243">
        <f t="shared" si="25"/>
        <v>265</v>
      </c>
      <c r="AB160" s="196"/>
      <c r="AC160" s="199"/>
    </row>
    <row r="161" spans="1:29" ht="20.100000000000001" customHeight="1" x14ac:dyDescent="0.25">
      <c r="A161" s="36"/>
      <c r="B161" s="128">
        <f t="shared" si="26"/>
        <v>134</v>
      </c>
      <c r="C161" s="68">
        <v>448</v>
      </c>
      <c r="D161" s="64" t="str">
        <f>HYPERLINK("https://sites.wustl.edu/meteoritesite/items/lm_ghardaia_001",W161)</f>
        <v>Ghardaïa 001</v>
      </c>
      <c r="E161" s="376" t="s">
        <v>1603</v>
      </c>
      <c r="F161" s="377"/>
      <c r="G161" s="377"/>
      <c r="H161" s="378"/>
      <c r="I161" s="459"/>
      <c r="J161" s="460"/>
      <c r="K161" s="460"/>
      <c r="L161" s="461"/>
      <c r="M161" s="407" t="s">
        <v>1088</v>
      </c>
      <c r="N161" s="408"/>
      <c r="O161" s="409" t="s">
        <v>1075</v>
      </c>
      <c r="P161" s="410"/>
      <c r="Q161" s="411"/>
      <c r="R161" s="376" t="s">
        <v>6</v>
      </c>
      <c r="S161" s="378"/>
      <c r="T161" s="157">
        <v>0</v>
      </c>
      <c r="W161" s="106" t="s">
        <v>1087</v>
      </c>
      <c r="X161" s="61"/>
      <c r="Y161" s="243">
        <v>760</v>
      </c>
      <c r="Z161" s="243">
        <f t="shared" si="25"/>
        <v>760</v>
      </c>
      <c r="AB161" s="196"/>
      <c r="AC161" s="199"/>
    </row>
    <row r="162" spans="1:29" ht="20.100000000000001" customHeight="1" x14ac:dyDescent="0.25">
      <c r="A162" s="36"/>
      <c r="B162" s="128">
        <f t="shared" si="26"/>
        <v>135</v>
      </c>
      <c r="C162" s="68">
        <v>458</v>
      </c>
      <c r="D162" s="64" t="str">
        <f>HYPERLINK("https://sites.wustl.edu/meteoritesite/items/lm_ghardaia_001",W162)</f>
        <v>Ghardaïa 002</v>
      </c>
      <c r="E162" s="376" t="s">
        <v>1604</v>
      </c>
      <c r="F162" s="377"/>
      <c r="G162" s="377"/>
      <c r="H162" s="378"/>
      <c r="I162" s="459"/>
      <c r="J162" s="460"/>
      <c r="K162" s="460"/>
      <c r="L162" s="461"/>
      <c r="M162" s="407">
        <v>90</v>
      </c>
      <c r="N162" s="408"/>
      <c r="O162" s="409" t="s">
        <v>1046</v>
      </c>
      <c r="P162" s="410"/>
      <c r="Q162" s="411"/>
      <c r="R162" s="376" t="s">
        <v>6</v>
      </c>
      <c r="S162" s="378"/>
      <c r="T162" s="157">
        <v>0</v>
      </c>
      <c r="W162" s="106" t="s">
        <v>1108</v>
      </c>
      <c r="X162" s="61"/>
      <c r="Y162" s="243">
        <v>90</v>
      </c>
      <c r="Z162" s="243">
        <f t="shared" si="25"/>
        <v>90</v>
      </c>
      <c r="AB162" s="196"/>
      <c r="AC162" s="199"/>
    </row>
    <row r="163" spans="1:29" ht="20.100000000000001" customHeight="1" x14ac:dyDescent="0.25">
      <c r="A163" s="36"/>
      <c r="B163" s="234">
        <f t="shared" ref="B163:B175" si="31">B162+1</f>
        <v>136</v>
      </c>
      <c r="C163" s="233">
        <v>100</v>
      </c>
      <c r="D163" s="172" t="str">
        <f>HYPERLINK("https://sites.wustl.edu/meteoritesite/items/lm_gra_06157/",W163)</f>
        <v>Graves Nunataks 06157</v>
      </c>
      <c r="E163" s="711"/>
      <c r="F163" s="712"/>
      <c r="G163" s="712"/>
      <c r="H163" s="713"/>
      <c r="I163" s="698"/>
      <c r="J163" s="699"/>
      <c r="K163" s="699"/>
      <c r="L163" s="700"/>
      <c r="M163" s="701">
        <v>0.78800000000000003</v>
      </c>
      <c r="N163" s="702"/>
      <c r="O163" s="708" t="s">
        <v>762</v>
      </c>
      <c r="P163" s="709"/>
      <c r="Q163" s="710"/>
      <c r="R163" s="711" t="s">
        <v>6</v>
      </c>
      <c r="S163" s="713"/>
      <c r="T163" s="312">
        <v>1</v>
      </c>
      <c r="W163" s="107" t="s">
        <v>401</v>
      </c>
      <c r="X163" s="61"/>
      <c r="Y163" s="243">
        <v>0.78800000000000003</v>
      </c>
      <c r="AB163" s="196">
        <f>Y163</f>
        <v>0.78800000000000003</v>
      </c>
      <c r="AC163" s="199"/>
    </row>
    <row r="164" spans="1:29" ht="20.100000000000001" customHeight="1" x14ac:dyDescent="0.25">
      <c r="A164" s="36"/>
      <c r="B164" s="128">
        <f>B163+1</f>
        <v>137</v>
      </c>
      <c r="C164" s="68">
        <v>587</v>
      </c>
      <c r="D164" s="64" t="str">
        <f>HYPERLINK("https://sites.wustl.edu/meteoritesite/items/lm_grizim_002/",W164)</f>
        <v>Grizim 002</v>
      </c>
      <c r="E164" s="376" t="s">
        <v>532</v>
      </c>
      <c r="F164" s="377"/>
      <c r="G164" s="377"/>
      <c r="H164" s="378"/>
      <c r="I164" s="459"/>
      <c r="J164" s="460"/>
      <c r="K164" s="460"/>
      <c r="L164" s="461"/>
      <c r="M164" s="407" t="s">
        <v>1400</v>
      </c>
      <c r="N164" s="408"/>
      <c r="O164" s="409" t="s">
        <v>1237</v>
      </c>
      <c r="P164" s="410"/>
      <c r="Q164" s="411"/>
      <c r="R164" s="376" t="s">
        <v>6</v>
      </c>
      <c r="S164" s="378"/>
      <c r="T164" s="157">
        <v>0</v>
      </c>
      <c r="W164" s="106" t="s">
        <v>1401</v>
      </c>
      <c r="X164" s="61"/>
      <c r="Y164" s="243">
        <v>79.56</v>
      </c>
      <c r="Z164" s="243">
        <f t="shared" si="25"/>
        <v>79.56</v>
      </c>
      <c r="AB164" s="196"/>
      <c r="AC164" s="199"/>
    </row>
    <row r="165" spans="1:29" ht="20.100000000000001" customHeight="1" x14ac:dyDescent="0.25">
      <c r="A165" s="36"/>
      <c r="B165" s="234">
        <f>B164+1</f>
        <v>138</v>
      </c>
      <c r="C165" s="233">
        <v>570</v>
      </c>
      <c r="D165" s="172" t="str">
        <f>HYPERLINK("https://sites.wustl.edu/meteoritesite/items/lm_grv_150357/",W165)</f>
        <v>Grove Mountains 150357</v>
      </c>
      <c r="E165" s="711"/>
      <c r="F165" s="712"/>
      <c r="G165" s="712"/>
      <c r="H165" s="713"/>
      <c r="I165" s="698"/>
      <c r="J165" s="699"/>
      <c r="K165" s="699"/>
      <c r="L165" s="700"/>
      <c r="M165" s="701">
        <v>11.73</v>
      </c>
      <c r="N165" s="702"/>
      <c r="O165" s="708" t="s">
        <v>1364</v>
      </c>
      <c r="P165" s="709"/>
      <c r="Q165" s="710"/>
      <c r="R165" s="711" t="s">
        <v>1259</v>
      </c>
      <c r="S165" s="713"/>
      <c r="T165" s="312">
        <v>0</v>
      </c>
      <c r="W165" s="107" t="s">
        <v>1363</v>
      </c>
      <c r="X165" s="61"/>
      <c r="Y165" s="243">
        <v>11.73</v>
      </c>
      <c r="AB165" s="196">
        <f>Y165</f>
        <v>11.73</v>
      </c>
      <c r="AC165" s="199"/>
    </row>
    <row r="166" spans="1:29" ht="20.100000000000001" customHeight="1" x14ac:dyDescent="0.25">
      <c r="A166" s="36"/>
      <c r="B166" s="229">
        <f>B165+1</f>
        <v>139</v>
      </c>
      <c r="C166" s="230">
        <v>748</v>
      </c>
      <c r="D166" s="64" t="str">
        <f>HYPERLINK("https://sites.wustl.edu/meteoritesite/items/lm_guemar_002",W166)</f>
        <v>Guemar 002</v>
      </c>
      <c r="E166" s="404" t="s">
        <v>532</v>
      </c>
      <c r="F166" s="405"/>
      <c r="G166" s="405"/>
      <c r="H166" s="406"/>
      <c r="I166" s="313"/>
      <c r="J166" s="314"/>
      <c r="K166" s="314"/>
      <c r="L166" s="315"/>
      <c r="M166" s="407" t="s">
        <v>1805</v>
      </c>
      <c r="N166" s="408"/>
      <c r="O166" s="409" t="s">
        <v>1804</v>
      </c>
      <c r="P166" s="410"/>
      <c r="Q166" s="411"/>
      <c r="R166" s="404" t="s">
        <v>1145</v>
      </c>
      <c r="S166" s="406"/>
      <c r="T166" s="231">
        <v>0</v>
      </c>
      <c r="W166" s="106" t="s">
        <v>1803</v>
      </c>
      <c r="X166" s="61"/>
      <c r="Y166" s="243">
        <v>195.61</v>
      </c>
      <c r="Z166" s="243">
        <f t="shared" ref="Z166" si="32">Y166</f>
        <v>195.61</v>
      </c>
      <c r="AB166" s="196"/>
      <c r="AC166" s="199"/>
    </row>
    <row r="167" spans="1:29" ht="20.100000000000001" customHeight="1" x14ac:dyDescent="0.25">
      <c r="A167" s="36"/>
      <c r="B167" s="229">
        <f>B165+1</f>
        <v>139</v>
      </c>
      <c r="C167" s="230">
        <v>484</v>
      </c>
      <c r="D167" s="64" t="str">
        <f>HYPERLINK("https://sites.wustl.edu/meteoritesite/items/lm_hassi_touil_001",W167)</f>
        <v>Hassi Touil 001</v>
      </c>
      <c r="E167" s="404" t="s">
        <v>532</v>
      </c>
      <c r="F167" s="405"/>
      <c r="G167" s="405"/>
      <c r="H167" s="406"/>
      <c r="I167" s="313"/>
      <c r="J167" s="314"/>
      <c r="K167" s="314"/>
      <c r="L167" s="315"/>
      <c r="M167" s="407" t="s">
        <v>1171</v>
      </c>
      <c r="N167" s="408"/>
      <c r="O167" s="409" t="s">
        <v>1170</v>
      </c>
      <c r="P167" s="410"/>
      <c r="Q167" s="411"/>
      <c r="R167" s="404" t="s">
        <v>6</v>
      </c>
      <c r="S167" s="406"/>
      <c r="T167" s="231">
        <v>0</v>
      </c>
      <c r="W167" s="106" t="s">
        <v>1169</v>
      </c>
      <c r="X167" s="61"/>
      <c r="Y167" s="243">
        <v>221</v>
      </c>
      <c r="Z167" s="243">
        <f t="shared" si="25"/>
        <v>221</v>
      </c>
      <c r="AB167" s="196"/>
      <c r="AC167" s="199"/>
    </row>
    <row r="168" spans="1:29" ht="20.100000000000001" customHeight="1" x14ac:dyDescent="0.25">
      <c r="A168" s="36"/>
      <c r="B168" s="229">
        <f t="shared" si="31"/>
        <v>140</v>
      </c>
      <c r="C168" s="230">
        <v>589</v>
      </c>
      <c r="D168" s="64" t="str">
        <f>HYPERLINK("https://sites.wustl.edu/meteoritesite/items/lm_heb_004",W168)</f>
        <v>Hassi el Biod 004</v>
      </c>
      <c r="E168" s="404" t="s">
        <v>1776</v>
      </c>
      <c r="F168" s="405"/>
      <c r="G168" s="405"/>
      <c r="H168" s="406"/>
      <c r="I168" s="313"/>
      <c r="J168" s="314"/>
      <c r="K168" s="314"/>
      <c r="L168" s="315"/>
      <c r="M168" s="407">
        <v>124.3</v>
      </c>
      <c r="N168" s="408"/>
      <c r="O168" s="409" t="s">
        <v>1405</v>
      </c>
      <c r="P168" s="410"/>
      <c r="Q168" s="411"/>
      <c r="R168" s="404" t="s">
        <v>6</v>
      </c>
      <c r="S168" s="406"/>
      <c r="T168" s="231">
        <v>0</v>
      </c>
      <c r="W168" s="106" t="s">
        <v>1404</v>
      </c>
      <c r="X168" s="61"/>
      <c r="Y168" s="243">
        <v>124.3</v>
      </c>
      <c r="Z168" s="243">
        <f t="shared" si="25"/>
        <v>124.3</v>
      </c>
      <c r="AB168" s="196"/>
      <c r="AC168" s="199"/>
    </row>
    <row r="169" spans="1:29" ht="20.100000000000001" customHeight="1" x14ac:dyDescent="0.25">
      <c r="A169" s="36"/>
      <c r="B169" s="229">
        <f t="shared" si="31"/>
        <v>141</v>
      </c>
      <c r="C169" s="230">
        <v>679</v>
      </c>
      <c r="D169" s="64" t="str">
        <f>HYPERLINK("https://sites.wustl.edu/meteoritesite/items/lm_heb_004",W169)</f>
        <v>Hassi el Biod 005</v>
      </c>
      <c r="E169" s="404" t="s">
        <v>1652</v>
      </c>
      <c r="F169" s="405"/>
      <c r="G169" s="405"/>
      <c r="H169" s="406"/>
      <c r="I169" s="313"/>
      <c r="J169" s="314"/>
      <c r="K169" s="314"/>
      <c r="L169" s="315"/>
      <c r="M169" s="407" t="s">
        <v>1654</v>
      </c>
      <c r="N169" s="408"/>
      <c r="O169" s="409" t="s">
        <v>1650</v>
      </c>
      <c r="P169" s="410"/>
      <c r="Q169" s="411"/>
      <c r="R169" s="404" t="s">
        <v>6</v>
      </c>
      <c r="S169" s="406"/>
      <c r="T169" s="231">
        <v>0</v>
      </c>
      <c r="W169" s="106" t="s">
        <v>1653</v>
      </c>
      <c r="X169" s="61"/>
      <c r="Y169" s="243">
        <v>1351</v>
      </c>
      <c r="Z169" s="243">
        <f t="shared" ref="Z169:Z171" si="33">Y169</f>
        <v>1351</v>
      </c>
      <c r="AB169" s="196"/>
      <c r="AC169" s="199"/>
    </row>
    <row r="170" spans="1:29" ht="20.100000000000001" customHeight="1" x14ac:dyDescent="0.25">
      <c r="A170" s="36"/>
      <c r="B170" s="229">
        <f t="shared" si="31"/>
        <v>142</v>
      </c>
      <c r="C170" s="230">
        <v>734</v>
      </c>
      <c r="D170" s="64" t="str">
        <f>HYPERLINK("https://sites.wustl.edu/meteoritesite/items/lm_heb_004",W170)</f>
        <v>Hassi el Biod 006</v>
      </c>
      <c r="E170" s="376" t="s">
        <v>532</v>
      </c>
      <c r="F170" s="377"/>
      <c r="G170" s="377"/>
      <c r="H170" s="378"/>
      <c r="I170" s="313"/>
      <c r="J170" s="314"/>
      <c r="K170" s="314"/>
      <c r="L170" s="315"/>
      <c r="M170" s="476">
        <v>90</v>
      </c>
      <c r="N170" s="477"/>
      <c r="O170" s="409" t="s">
        <v>1750</v>
      </c>
      <c r="P170" s="410"/>
      <c r="Q170" s="411"/>
      <c r="R170" s="404" t="s">
        <v>1193</v>
      </c>
      <c r="S170" s="406"/>
      <c r="T170" s="231">
        <v>0</v>
      </c>
      <c r="W170" s="106" t="s">
        <v>1777</v>
      </c>
      <c r="X170" s="61"/>
      <c r="Y170" s="243">
        <v>90</v>
      </c>
      <c r="Z170" s="243">
        <f t="shared" si="33"/>
        <v>90</v>
      </c>
      <c r="AB170" s="196"/>
      <c r="AC170" s="199"/>
    </row>
    <row r="171" spans="1:29" ht="20.100000000000001" customHeight="1" x14ac:dyDescent="0.25">
      <c r="A171" s="36"/>
      <c r="B171" s="229">
        <f>B170+1</f>
        <v>143</v>
      </c>
      <c r="C171" s="230">
        <v>689</v>
      </c>
      <c r="D171" s="64" t="str">
        <f>HYPERLINK("https://sites.wustl.edu/meteoritesite/items/lm_hzr_001",W171)</f>
        <v>Hassi Zerara 001</v>
      </c>
      <c r="E171" s="404" t="s">
        <v>532</v>
      </c>
      <c r="F171" s="405"/>
      <c r="G171" s="405"/>
      <c r="H171" s="406"/>
      <c r="I171" s="313"/>
      <c r="J171" s="314"/>
      <c r="K171" s="314"/>
      <c r="L171" s="315"/>
      <c r="M171" s="407">
        <v>330</v>
      </c>
      <c r="N171" s="408"/>
      <c r="O171" s="409" t="s">
        <v>1669</v>
      </c>
      <c r="P171" s="410"/>
      <c r="Q171" s="411"/>
      <c r="R171" s="404" t="s">
        <v>1145</v>
      </c>
      <c r="S171" s="406"/>
      <c r="T171" s="231">
        <v>0</v>
      </c>
      <c r="W171" s="106" t="s">
        <v>1668</v>
      </c>
      <c r="X171" s="61"/>
      <c r="Y171" s="243">
        <v>330</v>
      </c>
      <c r="Z171" s="243">
        <f t="shared" si="33"/>
        <v>330</v>
      </c>
      <c r="AB171" s="196"/>
      <c r="AC171" s="199"/>
    </row>
    <row r="172" spans="1:29" ht="20.100000000000001" customHeight="1" x14ac:dyDescent="0.25">
      <c r="A172" s="36"/>
      <c r="B172" s="229">
        <f>B171+1</f>
        <v>144</v>
      </c>
      <c r="C172" s="230">
        <v>741</v>
      </c>
      <c r="D172" s="64" t="str">
        <f>HYPERLINK("https://sites.wustl.edu/meteoritesite/items/lm_hzr_004",W172)</f>
        <v>Hassi Zerara 004</v>
      </c>
      <c r="E172" s="404" t="s">
        <v>532</v>
      </c>
      <c r="F172" s="405"/>
      <c r="G172" s="405"/>
      <c r="H172" s="406"/>
      <c r="I172" s="313"/>
      <c r="J172" s="314"/>
      <c r="K172" s="314"/>
      <c r="L172" s="315"/>
      <c r="M172" s="407">
        <v>228</v>
      </c>
      <c r="N172" s="408"/>
      <c r="O172" s="409" t="s">
        <v>1719</v>
      </c>
      <c r="P172" s="410"/>
      <c r="Q172" s="411"/>
      <c r="R172" s="404" t="s">
        <v>1259</v>
      </c>
      <c r="S172" s="406"/>
      <c r="T172" s="231">
        <v>0</v>
      </c>
      <c r="W172" s="106" t="s">
        <v>1787</v>
      </c>
      <c r="X172" s="61"/>
      <c r="Y172" s="243">
        <v>228</v>
      </c>
      <c r="Z172" s="243">
        <f t="shared" ref="Z172" si="34">Y172</f>
        <v>228</v>
      </c>
      <c r="AB172" s="196"/>
      <c r="AC172" s="199"/>
    </row>
    <row r="173" spans="1:29" ht="20.100000000000001" customHeight="1" x14ac:dyDescent="0.25">
      <c r="A173" s="36"/>
      <c r="B173" s="229">
        <f>B172+1</f>
        <v>145</v>
      </c>
      <c r="C173" s="232">
        <v>503</v>
      </c>
      <c r="D173" s="64" t="str">
        <f>HYPERLINK("https://sites.wustl.edu/meteoritesite/items/lm_ini_001",W173)</f>
        <v>Issaouane-n-Irrararene 001</v>
      </c>
      <c r="E173" s="404" t="s">
        <v>532</v>
      </c>
      <c r="F173" s="405"/>
      <c r="G173" s="405"/>
      <c r="H173" s="406"/>
      <c r="I173" s="459"/>
      <c r="J173" s="460"/>
      <c r="K173" s="460"/>
      <c r="L173" s="461"/>
      <c r="M173" s="725">
        <v>161.19999999999999</v>
      </c>
      <c r="N173" s="726"/>
      <c r="O173" s="409" t="s">
        <v>1210</v>
      </c>
      <c r="P173" s="410"/>
      <c r="Q173" s="411"/>
      <c r="R173" s="888" t="s">
        <v>1211</v>
      </c>
      <c r="S173" s="889"/>
      <c r="T173" s="235">
        <v>0</v>
      </c>
      <c r="W173" s="106" t="s">
        <v>1209</v>
      </c>
      <c r="X173" s="61"/>
      <c r="Y173" s="243">
        <v>161.19999999999999</v>
      </c>
      <c r="Z173" s="243">
        <f t="shared" si="25"/>
        <v>161.19999999999999</v>
      </c>
      <c r="AB173" s="196"/>
      <c r="AC173" s="199"/>
    </row>
    <row r="174" spans="1:29" ht="20.100000000000001" customHeight="1" x14ac:dyDescent="0.25">
      <c r="A174" s="36"/>
      <c r="B174" s="228">
        <f t="shared" si="31"/>
        <v>146</v>
      </c>
      <c r="C174" s="232">
        <v>530</v>
      </c>
      <c r="D174" s="275" t="str">
        <f>HYPERLINK("https://sites.wustl.edu/meteoritesite/items/lm_istifane",W174)</f>
        <v>Istifane 007</v>
      </c>
      <c r="E174" s="404" t="s">
        <v>532</v>
      </c>
      <c r="F174" s="405"/>
      <c r="G174" s="405"/>
      <c r="H174" s="406"/>
      <c r="I174" s="313"/>
      <c r="J174" s="314"/>
      <c r="K174" s="314"/>
      <c r="L174" s="315"/>
      <c r="M174" s="407" t="s">
        <v>1277</v>
      </c>
      <c r="N174" s="408"/>
      <c r="O174" s="409" t="s">
        <v>1076</v>
      </c>
      <c r="P174" s="410"/>
      <c r="Q174" s="411"/>
      <c r="R174" s="404" t="s">
        <v>6</v>
      </c>
      <c r="S174" s="406"/>
      <c r="T174" s="235">
        <v>0</v>
      </c>
      <c r="W174" s="106" t="s">
        <v>1276</v>
      </c>
      <c r="X174" s="61"/>
      <c r="Y174" s="243">
        <v>512</v>
      </c>
      <c r="Z174" s="243">
        <f t="shared" si="25"/>
        <v>512</v>
      </c>
      <c r="AB174" s="196"/>
      <c r="AC174" s="199"/>
    </row>
    <row r="175" spans="1:29" ht="20.100000000000001" customHeight="1" x14ac:dyDescent="0.25">
      <c r="A175" s="36"/>
      <c r="B175" s="136">
        <f t="shared" si="31"/>
        <v>147</v>
      </c>
      <c r="C175" s="75">
        <v>127</v>
      </c>
      <c r="D175" s="369" t="str">
        <f>HYPERLINK("https://sites.wustl.edu/meteoritesite/items/lm_jah_348/",W175)</f>
        <v>Jiddat al Harasis 348</v>
      </c>
      <c r="E175" s="714"/>
      <c r="F175" s="715"/>
      <c r="G175" s="715"/>
      <c r="H175" s="716"/>
      <c r="I175" s="717" t="s">
        <v>20</v>
      </c>
      <c r="J175" s="718"/>
      <c r="K175" s="718"/>
      <c r="L175" s="719"/>
      <c r="M175" s="720">
        <v>18.399999999999999</v>
      </c>
      <c r="N175" s="721"/>
      <c r="O175" s="722" t="s">
        <v>763</v>
      </c>
      <c r="P175" s="723"/>
      <c r="Q175" s="724"/>
      <c r="R175" s="717" t="s">
        <v>6</v>
      </c>
      <c r="S175" s="719"/>
      <c r="T175" s="316">
        <v>1</v>
      </c>
      <c r="W175" s="208" t="s">
        <v>229</v>
      </c>
      <c r="X175" s="61"/>
      <c r="Y175" s="243">
        <v>18.399999999999999</v>
      </c>
      <c r="AA175" s="202">
        <f>Y175</f>
        <v>18.399999999999999</v>
      </c>
      <c r="AB175" s="196"/>
      <c r="AC175" s="199"/>
    </row>
    <row r="176" spans="1:29" ht="20.100000000000001" customHeight="1" x14ac:dyDescent="0.25">
      <c r="A176" s="36"/>
      <c r="B176" s="137">
        <f t="shared" si="17"/>
        <v>148</v>
      </c>
      <c r="C176" s="76">
        <v>228</v>
      </c>
      <c r="D176" s="369" t="str">
        <f>HYPERLINK("https://sites.wustl.edu/meteoritesite/items/lm_jah_838/",W176)</f>
        <v>Jiddat al Harasis 838</v>
      </c>
      <c r="E176" s="554"/>
      <c r="F176" s="555"/>
      <c r="G176" s="555"/>
      <c r="H176" s="556"/>
      <c r="I176" s="554"/>
      <c r="J176" s="555"/>
      <c r="K176" s="555"/>
      <c r="L176" s="556"/>
      <c r="M176" s="557">
        <v>34.36</v>
      </c>
      <c r="N176" s="558"/>
      <c r="O176" s="559" t="s">
        <v>764</v>
      </c>
      <c r="P176" s="560"/>
      <c r="Q176" s="561"/>
      <c r="R176" s="562" t="s">
        <v>6</v>
      </c>
      <c r="S176" s="563"/>
      <c r="T176" s="317">
        <v>1</v>
      </c>
      <c r="W176" s="209" t="s">
        <v>230</v>
      </c>
      <c r="X176" s="61"/>
      <c r="Y176" s="243">
        <v>34.36</v>
      </c>
      <c r="AA176" s="202">
        <f>Y176</f>
        <v>34.36</v>
      </c>
      <c r="AB176" s="196"/>
      <c r="AC176" s="199"/>
    </row>
    <row r="177" spans="1:30" ht="20.100000000000001" customHeight="1" x14ac:dyDescent="0.25">
      <c r="A177" s="36"/>
      <c r="B177" s="137">
        <f t="shared" si="17"/>
        <v>149</v>
      </c>
      <c r="C177" s="76">
        <v>628</v>
      </c>
      <c r="D177" s="369" t="str">
        <f>HYPERLINK("https://sites.wustl.edu/meteoritesite/items/lm_jah_1118/",W177)</f>
        <v>Jiddat al Harasis 1118</v>
      </c>
      <c r="E177" s="554"/>
      <c r="F177" s="555"/>
      <c r="G177" s="555"/>
      <c r="H177" s="556"/>
      <c r="I177" s="554"/>
      <c r="J177" s="555"/>
      <c r="K177" s="555"/>
      <c r="L177" s="556"/>
      <c r="M177" s="557">
        <v>616</v>
      </c>
      <c r="N177" s="558"/>
      <c r="O177" s="559" t="s">
        <v>1511</v>
      </c>
      <c r="P177" s="560"/>
      <c r="Q177" s="561"/>
      <c r="R177" s="562" t="s">
        <v>6</v>
      </c>
      <c r="S177" s="563"/>
      <c r="T177" s="317">
        <v>0</v>
      </c>
      <c r="W177" s="209" t="s">
        <v>1510</v>
      </c>
      <c r="X177" s="61"/>
      <c r="Y177" s="243">
        <v>616</v>
      </c>
      <c r="AA177" s="276">
        <f>Y177</f>
        <v>616</v>
      </c>
      <c r="AB177" s="196"/>
      <c r="AC177" s="199"/>
    </row>
    <row r="178" spans="1:30" ht="20.100000000000001" customHeight="1" x14ac:dyDescent="0.25">
      <c r="A178" s="36"/>
      <c r="B178" s="287">
        <f>B177+1</f>
        <v>150</v>
      </c>
      <c r="C178" s="288">
        <v>80</v>
      </c>
      <c r="D178" s="293" t="str">
        <f>HYPERLINK("https://sites.wustl.edu/meteoritesite/items/lm_kal_8-9/",W178)</f>
        <v>Kalahari 008</v>
      </c>
      <c r="E178" s="564" t="s">
        <v>84</v>
      </c>
      <c r="F178" s="565"/>
      <c r="G178" s="565"/>
      <c r="H178" s="566"/>
      <c r="I178" s="544"/>
      <c r="J178" s="545"/>
      <c r="K178" s="545"/>
      <c r="L178" s="546"/>
      <c r="M178" s="547">
        <v>585</v>
      </c>
      <c r="N178" s="548"/>
      <c r="O178" s="549" t="s">
        <v>765</v>
      </c>
      <c r="P178" s="550"/>
      <c r="Q178" s="551"/>
      <c r="R178" s="552" t="s">
        <v>6</v>
      </c>
      <c r="S178" s="553"/>
      <c r="T178" s="318">
        <v>1</v>
      </c>
      <c r="U178" s="289"/>
      <c r="V178" s="289"/>
      <c r="W178" s="290" t="s">
        <v>231</v>
      </c>
      <c r="X178" s="61"/>
      <c r="Y178" s="243">
        <v>585</v>
      </c>
      <c r="AB178" s="196"/>
      <c r="AC178" s="199"/>
      <c r="AD178" s="199">
        <f>Y178</f>
        <v>585</v>
      </c>
    </row>
    <row r="179" spans="1:30" ht="20.100000000000001" customHeight="1" x14ac:dyDescent="0.25">
      <c r="A179" s="36"/>
      <c r="B179" s="291">
        <f t="shared" si="17"/>
        <v>151</v>
      </c>
      <c r="C179" s="292">
        <v>81</v>
      </c>
      <c r="D179" s="293" t="str">
        <f>HYPERLINK("https://sites.wustl.edu/meteoritesite/items/lm_kal_8-9/",W179)</f>
        <v>Kalahari 009</v>
      </c>
      <c r="E179" s="703" t="s">
        <v>85</v>
      </c>
      <c r="F179" s="704"/>
      <c r="G179" s="704"/>
      <c r="H179" s="705"/>
      <c r="I179" s="544"/>
      <c r="J179" s="545"/>
      <c r="K179" s="545"/>
      <c r="L179" s="546"/>
      <c r="M179" s="706">
        <v>13500</v>
      </c>
      <c r="N179" s="707"/>
      <c r="O179" s="549" t="s">
        <v>765</v>
      </c>
      <c r="P179" s="550"/>
      <c r="Q179" s="551"/>
      <c r="R179" s="552" t="s">
        <v>151</v>
      </c>
      <c r="S179" s="553"/>
      <c r="T179" s="319">
        <v>1</v>
      </c>
      <c r="U179" s="289"/>
      <c r="V179" s="289"/>
      <c r="W179" s="290" t="s">
        <v>232</v>
      </c>
      <c r="X179" s="61"/>
      <c r="Y179" s="243">
        <v>13500</v>
      </c>
      <c r="AB179" s="196"/>
      <c r="AC179" s="199"/>
      <c r="AD179" s="199">
        <f>Y179</f>
        <v>13500</v>
      </c>
    </row>
    <row r="180" spans="1:30" ht="36" customHeight="1" x14ac:dyDescent="0.25">
      <c r="A180" s="36"/>
      <c r="B180" s="125" t="s">
        <v>402</v>
      </c>
      <c r="C180" s="30" t="s">
        <v>1034</v>
      </c>
      <c r="D180" s="33" t="s">
        <v>915</v>
      </c>
      <c r="E180" s="420" t="s">
        <v>916</v>
      </c>
      <c r="F180" s="421"/>
      <c r="G180" s="421"/>
      <c r="H180" s="422"/>
      <c r="I180" s="423" t="s">
        <v>917</v>
      </c>
      <c r="J180" s="424"/>
      <c r="K180" s="424"/>
      <c r="L180" s="425"/>
      <c r="M180" s="430" t="s">
        <v>918</v>
      </c>
      <c r="N180" s="431"/>
      <c r="O180" s="426" t="s">
        <v>919</v>
      </c>
      <c r="P180" s="427"/>
      <c r="Q180" s="428"/>
      <c r="R180" s="423" t="s">
        <v>920</v>
      </c>
      <c r="S180" s="425"/>
      <c r="T180" s="5" t="s">
        <v>5</v>
      </c>
      <c r="Y180" s="243"/>
      <c r="AB180" s="196"/>
      <c r="AC180" s="199"/>
    </row>
    <row r="181" spans="1:30" ht="20.100000000000001" customHeight="1" x14ac:dyDescent="0.25">
      <c r="A181" s="36"/>
      <c r="B181" s="128">
        <f>B179+1</f>
        <v>152</v>
      </c>
      <c r="C181" s="68">
        <v>512</v>
      </c>
      <c r="D181" s="23" t="str">
        <f>HYPERLINK("https://sites.wustl.edu/meteoritesite/items/lm_laayoune_002/",W181)</f>
        <v>Laâyoune 002</v>
      </c>
      <c r="E181" s="404" t="s">
        <v>1523</v>
      </c>
      <c r="F181" s="405"/>
      <c r="G181" s="405"/>
      <c r="H181" s="406"/>
      <c r="I181" s="412"/>
      <c r="J181" s="413"/>
      <c r="K181" s="413"/>
      <c r="L181" s="414"/>
      <c r="M181" s="407" t="s">
        <v>1235</v>
      </c>
      <c r="N181" s="408"/>
      <c r="O181" s="381" t="s">
        <v>1236</v>
      </c>
      <c r="P181" s="382"/>
      <c r="Q181" s="383"/>
      <c r="R181" s="404" t="s">
        <v>6</v>
      </c>
      <c r="S181" s="406"/>
      <c r="T181" s="231">
        <v>0</v>
      </c>
      <c r="W181" s="106" t="s">
        <v>1234</v>
      </c>
      <c r="X181" s="61"/>
      <c r="Y181" s="243">
        <v>5148</v>
      </c>
      <c r="Z181" s="243">
        <f t="shared" ref="Z181:Z182" si="35">Y181</f>
        <v>5148</v>
      </c>
      <c r="AB181" s="196"/>
      <c r="AC181" s="199"/>
    </row>
    <row r="182" spans="1:30" ht="20.100000000000001" customHeight="1" x14ac:dyDescent="0.25">
      <c r="A182" s="36"/>
      <c r="B182" s="128">
        <f>B181+1</f>
        <v>153</v>
      </c>
      <c r="C182" s="68">
        <v>638</v>
      </c>
      <c r="D182" s="23" t="str">
        <f>HYPERLINK("https://sites.wustl.edu/meteoritesite/items/lm_laayoune_002/",W182)</f>
        <v>Laâyoune 003</v>
      </c>
      <c r="E182" s="404" t="s">
        <v>1524</v>
      </c>
      <c r="F182" s="405"/>
      <c r="G182" s="405"/>
      <c r="H182" s="406"/>
      <c r="I182" s="412"/>
      <c r="J182" s="413"/>
      <c r="K182" s="413"/>
      <c r="L182" s="414"/>
      <c r="M182" s="407" t="s">
        <v>1526</v>
      </c>
      <c r="N182" s="408"/>
      <c r="O182" s="381" t="s">
        <v>1525</v>
      </c>
      <c r="P182" s="382"/>
      <c r="Q182" s="383"/>
      <c r="R182" s="404" t="s">
        <v>6</v>
      </c>
      <c r="S182" s="406"/>
      <c r="T182" s="231">
        <v>0</v>
      </c>
      <c r="W182" s="106" t="s">
        <v>1522</v>
      </c>
      <c r="X182" s="61"/>
      <c r="Y182" s="243">
        <v>340.38</v>
      </c>
      <c r="Z182" s="243">
        <f t="shared" si="35"/>
        <v>340.38</v>
      </c>
      <c r="AB182" s="196"/>
      <c r="AC182" s="199"/>
    </row>
    <row r="183" spans="1:30" ht="20.100000000000001" customHeight="1" x14ac:dyDescent="0.25">
      <c r="A183" s="36"/>
      <c r="B183" s="128">
        <f t="shared" ref="B183:B186" si="36">B182+1</f>
        <v>154</v>
      </c>
      <c r="C183" s="68">
        <v>253</v>
      </c>
      <c r="D183" s="110" t="str">
        <f>HYPERLINK("https://sites.wustl.edu/meteoritesite/items/lm_nwa_08455_clan/",W183)</f>
        <v>La'gad</v>
      </c>
      <c r="E183" s="539" t="s">
        <v>454</v>
      </c>
      <c r="F183" s="540"/>
      <c r="G183" s="540"/>
      <c r="H183" s="541"/>
      <c r="I183" s="412"/>
      <c r="J183" s="413"/>
      <c r="K183" s="413"/>
      <c r="L183" s="414"/>
      <c r="M183" s="379" t="s">
        <v>439</v>
      </c>
      <c r="N183" s="400"/>
      <c r="O183" s="381" t="s">
        <v>766</v>
      </c>
      <c r="P183" s="382"/>
      <c r="Q183" s="383"/>
      <c r="R183" s="404" t="s">
        <v>6</v>
      </c>
      <c r="S183" s="406"/>
      <c r="T183" s="157">
        <v>1</v>
      </c>
      <c r="W183" s="106" t="s">
        <v>437</v>
      </c>
      <c r="X183" s="61"/>
      <c r="Y183" s="243">
        <v>337.74</v>
      </c>
      <c r="Z183" s="243">
        <f>Y183</f>
        <v>337.74</v>
      </c>
      <c r="AB183" s="196"/>
      <c r="AC183" s="199"/>
    </row>
    <row r="184" spans="1:30" ht="20.100000000000001" customHeight="1" x14ac:dyDescent="0.25">
      <c r="A184" s="36"/>
      <c r="B184" s="128">
        <f t="shared" si="36"/>
        <v>155</v>
      </c>
      <c r="C184" s="68">
        <v>362</v>
      </c>
      <c r="D184" s="23" t="str">
        <f>HYPERLINK("https://sites.wustl.edu/meteoritesite/items/lm_nwa_10509_clan/",W184)</f>
        <v>La'gad 003</v>
      </c>
      <c r="E184" s="376" t="s">
        <v>653</v>
      </c>
      <c r="F184" s="377"/>
      <c r="G184" s="377"/>
      <c r="H184" s="378"/>
      <c r="I184" s="286"/>
      <c r="J184" s="155"/>
      <c r="K184" s="155"/>
      <c r="L184" s="156"/>
      <c r="M184" s="379" t="s">
        <v>652</v>
      </c>
      <c r="N184" s="400"/>
      <c r="O184" s="381" t="s">
        <v>861</v>
      </c>
      <c r="P184" s="382"/>
      <c r="Q184" s="383"/>
      <c r="R184" s="404" t="s">
        <v>6</v>
      </c>
      <c r="S184" s="406"/>
      <c r="T184" s="157">
        <v>1</v>
      </c>
      <c r="W184" s="106" t="s">
        <v>651</v>
      </c>
      <c r="X184" s="61"/>
      <c r="Y184" s="243">
        <v>27249</v>
      </c>
      <c r="Z184" s="243">
        <f t="shared" ref="Z184:Z188" si="37">Y184</f>
        <v>27249</v>
      </c>
      <c r="AB184" s="196"/>
      <c r="AC184" s="199"/>
    </row>
    <row r="185" spans="1:30" ht="20.100000000000001" customHeight="1" x14ac:dyDescent="0.25">
      <c r="A185" s="36"/>
      <c r="B185" s="128">
        <f t="shared" si="36"/>
        <v>156</v>
      </c>
      <c r="C185" s="68">
        <v>356</v>
      </c>
      <c r="D185" s="23" t="str">
        <f>HYPERLINK("https://sites.wustl.edu/meteoritesite/items/lm_lahmada_020/",W185)</f>
        <v>Lahmada 020</v>
      </c>
      <c r="E185" s="376" t="s">
        <v>1736</v>
      </c>
      <c r="F185" s="377"/>
      <c r="G185" s="377"/>
      <c r="H185" s="378"/>
      <c r="I185" s="412"/>
      <c r="J185" s="413"/>
      <c r="K185" s="413"/>
      <c r="L185" s="414"/>
      <c r="M185" s="379" t="s">
        <v>636</v>
      </c>
      <c r="N185" s="400"/>
      <c r="O185" s="381" t="s">
        <v>767</v>
      </c>
      <c r="P185" s="382"/>
      <c r="Q185" s="383"/>
      <c r="R185" s="404" t="s">
        <v>6</v>
      </c>
      <c r="S185" s="406"/>
      <c r="T185" s="157">
        <v>0</v>
      </c>
      <c r="W185" s="106" t="s">
        <v>924</v>
      </c>
      <c r="X185" s="61"/>
      <c r="Y185" s="243">
        <v>12168</v>
      </c>
      <c r="Z185" s="243">
        <f t="shared" si="37"/>
        <v>12168</v>
      </c>
      <c r="AB185" s="196"/>
      <c r="AC185" s="199"/>
    </row>
    <row r="186" spans="1:30" ht="20.100000000000001" customHeight="1" x14ac:dyDescent="0.25">
      <c r="A186" s="36"/>
      <c r="B186" s="128">
        <f t="shared" si="36"/>
        <v>157</v>
      </c>
      <c r="C186" s="68">
        <v>370</v>
      </c>
      <c r="D186" s="23" t="str">
        <f>HYPERLINK("https://sites.wustl.edu/meteoritesite/items/lm_lahmada_020/",W186)</f>
        <v>Lahmada 046</v>
      </c>
      <c r="E186" s="376" t="s">
        <v>1734</v>
      </c>
      <c r="F186" s="377"/>
      <c r="G186" s="377"/>
      <c r="H186" s="378"/>
      <c r="I186" s="412"/>
      <c r="J186" s="413"/>
      <c r="K186" s="413"/>
      <c r="L186" s="414"/>
      <c r="M186" s="379">
        <v>71.239999999999995</v>
      </c>
      <c r="N186" s="400"/>
      <c r="O186" s="381" t="s">
        <v>768</v>
      </c>
      <c r="P186" s="382"/>
      <c r="Q186" s="383"/>
      <c r="R186" s="404" t="s">
        <v>6</v>
      </c>
      <c r="S186" s="406"/>
      <c r="T186" s="157">
        <v>0</v>
      </c>
      <c r="W186" s="106" t="s">
        <v>665</v>
      </c>
      <c r="X186" s="61"/>
      <c r="Y186" s="243">
        <v>71.239999999999995</v>
      </c>
      <c r="Z186" s="243">
        <f t="shared" si="37"/>
        <v>71.239999999999995</v>
      </c>
      <c r="AB186" s="196"/>
      <c r="AC186" s="199"/>
    </row>
    <row r="187" spans="1:30" ht="20.100000000000001" customHeight="1" x14ac:dyDescent="0.25">
      <c r="A187" s="36"/>
      <c r="B187" s="128">
        <f>B186+1</f>
        <v>158</v>
      </c>
      <c r="C187" s="68">
        <v>393</v>
      </c>
      <c r="D187" s="23" t="str">
        <f>HYPERLINK("https://sites.wustl.edu/meteoritesite/items/lm_lahmada_020/",W187)</f>
        <v>Lahmada 047</v>
      </c>
      <c r="E187" s="376" t="s">
        <v>1734</v>
      </c>
      <c r="F187" s="377"/>
      <c r="G187" s="377"/>
      <c r="H187" s="378"/>
      <c r="I187" s="459"/>
      <c r="J187" s="460"/>
      <c r="K187" s="460"/>
      <c r="L187" s="461"/>
      <c r="M187" s="407">
        <v>182</v>
      </c>
      <c r="N187" s="408"/>
      <c r="O187" s="409" t="s">
        <v>907</v>
      </c>
      <c r="P187" s="410"/>
      <c r="Q187" s="411"/>
      <c r="R187" s="404" t="s">
        <v>6</v>
      </c>
      <c r="S187" s="406"/>
      <c r="T187" s="157">
        <v>0</v>
      </c>
      <c r="W187" s="106" t="s">
        <v>955</v>
      </c>
      <c r="X187" s="61"/>
      <c r="Y187" s="243">
        <v>182</v>
      </c>
      <c r="Z187" s="243">
        <f t="shared" ref="Z187" si="38">Y187</f>
        <v>182</v>
      </c>
      <c r="AB187" s="196"/>
      <c r="AC187" s="199"/>
    </row>
    <row r="188" spans="1:30" ht="20.100000000000001" customHeight="1" x14ac:dyDescent="0.25">
      <c r="A188" s="36"/>
      <c r="B188" s="128">
        <f>B187+1</f>
        <v>159</v>
      </c>
      <c r="C188" s="68">
        <v>712</v>
      </c>
      <c r="D188" s="23" t="str">
        <f>HYPERLINK("https://sites.wustl.edu/meteoritesite/items/lm_lahmada_020/",W188)</f>
        <v>Lahmada 051</v>
      </c>
      <c r="E188" s="376" t="s">
        <v>1734</v>
      </c>
      <c r="F188" s="377"/>
      <c r="G188" s="377"/>
      <c r="H188" s="378"/>
      <c r="I188" s="459"/>
      <c r="J188" s="460"/>
      <c r="K188" s="460"/>
      <c r="L188" s="461"/>
      <c r="M188" s="407" t="s">
        <v>1733</v>
      </c>
      <c r="N188" s="408"/>
      <c r="O188" s="381" t="s">
        <v>1732</v>
      </c>
      <c r="P188" s="382"/>
      <c r="Q188" s="383"/>
      <c r="R188" s="404" t="s">
        <v>6</v>
      </c>
      <c r="S188" s="406"/>
      <c r="T188" s="157">
        <v>0</v>
      </c>
      <c r="W188" s="106" t="s">
        <v>1735</v>
      </c>
      <c r="X188" s="61"/>
      <c r="Y188" s="243">
        <v>2631.53</v>
      </c>
      <c r="Z188" s="243">
        <f t="shared" si="37"/>
        <v>2631.53</v>
      </c>
      <c r="AB188" s="196"/>
      <c r="AC188" s="199"/>
    </row>
    <row r="189" spans="1:30" ht="20.100000000000001" customHeight="1" x14ac:dyDescent="0.25">
      <c r="A189" s="36"/>
      <c r="B189" s="135">
        <f>B188+1</f>
        <v>160</v>
      </c>
      <c r="C189" s="74">
        <v>48</v>
      </c>
      <c r="D189" s="24" t="str">
        <f t="shared" ref="D189:D194" si="39">HYPERLINK("https://sites.wustl.edu/meteoritesite/items/lap_02205/",W189)</f>
        <v>LaPaz Icefield 02205</v>
      </c>
      <c r="E189" s="525" t="s">
        <v>22</v>
      </c>
      <c r="F189" s="527"/>
      <c r="G189" s="527"/>
      <c r="H189" s="526"/>
      <c r="I189" s="525" t="s">
        <v>83</v>
      </c>
      <c r="J189" s="527"/>
      <c r="K189" s="527"/>
      <c r="L189" s="526"/>
      <c r="M189" s="542">
        <v>1226.3</v>
      </c>
      <c r="N189" s="543"/>
      <c r="O189" s="522" t="s">
        <v>769</v>
      </c>
      <c r="P189" s="523"/>
      <c r="Q189" s="524"/>
      <c r="R189" s="525" t="s">
        <v>8</v>
      </c>
      <c r="S189" s="526"/>
      <c r="T189" s="320">
        <v>1</v>
      </c>
      <c r="W189" s="107" t="s">
        <v>21</v>
      </c>
      <c r="X189" s="61"/>
      <c r="Y189" s="243">
        <v>1226.3</v>
      </c>
      <c r="Z189" s="245"/>
      <c r="AB189" s="201">
        <f>Y189</f>
        <v>1226.3</v>
      </c>
      <c r="AC189" s="199"/>
    </row>
    <row r="190" spans="1:30" ht="20.100000000000001" customHeight="1" x14ac:dyDescent="0.25">
      <c r="A190" s="36"/>
      <c r="B190" s="135">
        <f t="shared" ref="B190:B194" si="40">B189+1</f>
        <v>161</v>
      </c>
      <c r="C190" s="74">
        <v>51</v>
      </c>
      <c r="D190" s="24" t="str">
        <f t="shared" si="39"/>
        <v>LaPaz Icefield 02224</v>
      </c>
      <c r="E190" s="517"/>
      <c r="F190" s="518"/>
      <c r="G190" s="518"/>
      <c r="H190" s="519"/>
      <c r="I190" s="517"/>
      <c r="J190" s="518"/>
      <c r="K190" s="518"/>
      <c r="L190" s="519"/>
      <c r="M190" s="520">
        <v>252.5</v>
      </c>
      <c r="N190" s="521"/>
      <c r="O190" s="522" t="s">
        <v>770</v>
      </c>
      <c r="P190" s="523"/>
      <c r="Q190" s="524"/>
      <c r="R190" s="525" t="s">
        <v>8</v>
      </c>
      <c r="S190" s="526"/>
      <c r="T190" s="320">
        <v>1</v>
      </c>
      <c r="W190" s="107" t="s">
        <v>234</v>
      </c>
      <c r="X190" s="61"/>
      <c r="Y190" s="243">
        <v>252.5</v>
      </c>
      <c r="AB190" s="201">
        <f t="shared" ref="AB190:AB207" si="41">Y190</f>
        <v>252.5</v>
      </c>
      <c r="AC190" s="199"/>
    </row>
    <row r="191" spans="1:30" ht="20.100000000000001" customHeight="1" x14ac:dyDescent="0.25">
      <c r="A191" s="36"/>
      <c r="B191" s="135">
        <f t="shared" si="40"/>
        <v>162</v>
      </c>
      <c r="C191" s="74">
        <v>52</v>
      </c>
      <c r="D191" s="24" t="str">
        <f t="shared" si="39"/>
        <v>LaPaz Icefield 02226</v>
      </c>
      <c r="E191" s="525" t="s">
        <v>233</v>
      </c>
      <c r="F191" s="527"/>
      <c r="G191" s="527"/>
      <c r="H191" s="526"/>
      <c r="I191" s="517"/>
      <c r="J191" s="518"/>
      <c r="K191" s="518"/>
      <c r="L191" s="519"/>
      <c r="M191" s="520">
        <v>244.1</v>
      </c>
      <c r="N191" s="521"/>
      <c r="O191" s="522" t="s">
        <v>771</v>
      </c>
      <c r="P191" s="523"/>
      <c r="Q191" s="524"/>
      <c r="R191" s="525" t="s">
        <v>8</v>
      </c>
      <c r="S191" s="526"/>
      <c r="T191" s="320">
        <v>1</v>
      </c>
      <c r="W191" s="107" t="s">
        <v>235</v>
      </c>
      <c r="X191" s="61"/>
      <c r="Y191" s="243">
        <v>244.1</v>
      </c>
      <c r="AB191" s="201">
        <f t="shared" si="41"/>
        <v>244.1</v>
      </c>
      <c r="AC191" s="199"/>
    </row>
    <row r="192" spans="1:30" ht="20.100000000000001" customHeight="1" x14ac:dyDescent="0.25">
      <c r="A192" s="36"/>
      <c r="B192" s="135">
        <f t="shared" si="40"/>
        <v>163</v>
      </c>
      <c r="C192" s="74">
        <v>53</v>
      </c>
      <c r="D192" s="24" t="str">
        <f t="shared" si="39"/>
        <v>LaPaz Icefield 02436</v>
      </c>
      <c r="E192" s="525" t="s">
        <v>233</v>
      </c>
      <c r="F192" s="527"/>
      <c r="G192" s="527"/>
      <c r="H192" s="526"/>
      <c r="I192" s="517"/>
      <c r="J192" s="518"/>
      <c r="K192" s="518"/>
      <c r="L192" s="519"/>
      <c r="M192" s="520">
        <v>58.97</v>
      </c>
      <c r="N192" s="521"/>
      <c r="O192" s="522" t="s">
        <v>770</v>
      </c>
      <c r="P192" s="523"/>
      <c r="Q192" s="524"/>
      <c r="R192" s="525" t="s">
        <v>8</v>
      </c>
      <c r="S192" s="526"/>
      <c r="T192" s="320">
        <v>1</v>
      </c>
      <c r="W192" s="107" t="s">
        <v>236</v>
      </c>
      <c r="X192" s="61"/>
      <c r="Y192" s="243">
        <v>58.97</v>
      </c>
      <c r="AB192" s="201">
        <f t="shared" si="41"/>
        <v>58.97</v>
      </c>
      <c r="AC192" s="199"/>
    </row>
    <row r="193" spans="1:29" ht="20.100000000000001" customHeight="1" x14ac:dyDescent="0.25">
      <c r="A193" s="36"/>
      <c r="B193" s="135">
        <f t="shared" si="40"/>
        <v>164</v>
      </c>
      <c r="C193" s="74">
        <v>61</v>
      </c>
      <c r="D193" s="24" t="str">
        <f t="shared" si="39"/>
        <v>LaPaz Icefield 03632</v>
      </c>
      <c r="E193" s="525" t="s">
        <v>233</v>
      </c>
      <c r="F193" s="527"/>
      <c r="G193" s="527"/>
      <c r="H193" s="526"/>
      <c r="I193" s="517"/>
      <c r="J193" s="518"/>
      <c r="K193" s="518"/>
      <c r="L193" s="519"/>
      <c r="M193" s="520">
        <v>92.566000000000003</v>
      </c>
      <c r="N193" s="521"/>
      <c r="O193" s="522" t="s">
        <v>772</v>
      </c>
      <c r="P193" s="523"/>
      <c r="Q193" s="524"/>
      <c r="R193" s="525" t="s">
        <v>8</v>
      </c>
      <c r="S193" s="526"/>
      <c r="T193" s="320">
        <v>1</v>
      </c>
      <c r="W193" s="107" t="s">
        <v>237</v>
      </c>
      <c r="X193" s="61"/>
      <c r="Y193" s="243">
        <v>92.566000000000003</v>
      </c>
      <c r="AB193" s="201">
        <f t="shared" si="41"/>
        <v>92.566000000000003</v>
      </c>
      <c r="AC193" s="199"/>
    </row>
    <row r="194" spans="1:29" ht="20.100000000000001" customHeight="1" x14ac:dyDescent="0.25">
      <c r="A194" s="36"/>
      <c r="B194" s="135">
        <f t="shared" si="40"/>
        <v>165</v>
      </c>
      <c r="C194" s="74">
        <v>92</v>
      </c>
      <c r="D194" s="24" t="str">
        <f t="shared" si="39"/>
        <v>LaPaz Icefield 04841</v>
      </c>
      <c r="E194" s="525" t="s">
        <v>233</v>
      </c>
      <c r="F194" s="527"/>
      <c r="G194" s="527"/>
      <c r="H194" s="526"/>
      <c r="I194" s="517"/>
      <c r="J194" s="518"/>
      <c r="K194" s="518"/>
      <c r="L194" s="519"/>
      <c r="M194" s="520">
        <v>55.991999999999997</v>
      </c>
      <c r="N194" s="521"/>
      <c r="O194" s="522" t="s">
        <v>773</v>
      </c>
      <c r="P194" s="523"/>
      <c r="Q194" s="524"/>
      <c r="R194" s="525" t="s">
        <v>8</v>
      </c>
      <c r="S194" s="526"/>
      <c r="T194" s="320">
        <v>1</v>
      </c>
      <c r="W194" s="107" t="s">
        <v>238</v>
      </c>
      <c r="X194" s="61"/>
      <c r="Y194" s="243">
        <v>55.991999999999997</v>
      </c>
      <c r="AB194" s="201">
        <f t="shared" si="41"/>
        <v>55.991999999999997</v>
      </c>
      <c r="AC194" s="199"/>
    </row>
    <row r="195" spans="1:29" ht="20.100000000000001" customHeight="1" x14ac:dyDescent="0.25">
      <c r="A195" s="36"/>
      <c r="B195" s="354">
        <f t="shared" si="17"/>
        <v>166</v>
      </c>
      <c r="C195" s="77">
        <v>101</v>
      </c>
      <c r="D195" s="364" t="str">
        <f>HYPERLINK("https://sites.wustl.edu/meteoritesite/items/lm_lar_06638/",W195)</f>
        <v>Larkman Nunatak 06638</v>
      </c>
      <c r="E195" s="496"/>
      <c r="F195" s="497"/>
      <c r="G195" s="497"/>
      <c r="H195" s="498"/>
      <c r="I195" s="496"/>
      <c r="J195" s="497"/>
      <c r="K195" s="497"/>
      <c r="L195" s="498"/>
      <c r="M195" s="499">
        <v>5.2930000000000001</v>
      </c>
      <c r="N195" s="500"/>
      <c r="O195" s="757" t="s">
        <v>774</v>
      </c>
      <c r="P195" s="758"/>
      <c r="Q195" s="759"/>
      <c r="R195" s="760" t="s">
        <v>6</v>
      </c>
      <c r="S195" s="761"/>
      <c r="T195" s="321">
        <v>1</v>
      </c>
      <c r="W195" s="210" t="s">
        <v>417</v>
      </c>
      <c r="X195" s="61"/>
      <c r="Y195" s="243">
        <v>5.2930000000000001</v>
      </c>
      <c r="AB195" s="201">
        <f t="shared" si="41"/>
        <v>5.2930000000000001</v>
      </c>
      <c r="AC195" s="199"/>
    </row>
    <row r="196" spans="1:29" ht="20.100000000000001" customHeight="1" x14ac:dyDescent="0.25">
      <c r="A196" s="36"/>
      <c r="B196" s="78">
        <f t="shared" si="17"/>
        <v>167</v>
      </c>
      <c r="C196" s="78">
        <v>155</v>
      </c>
      <c r="D196" s="365" t="str">
        <f>HYPERLINK("https://sites.wustl.edu/meteoritesite/items/lm_lynch_002/",W196)</f>
        <v>Lynch 002</v>
      </c>
      <c r="E196" s="727"/>
      <c r="F196" s="728"/>
      <c r="G196" s="728"/>
      <c r="H196" s="729"/>
      <c r="I196" s="727"/>
      <c r="J196" s="728"/>
      <c r="K196" s="728"/>
      <c r="L196" s="729"/>
      <c r="M196" s="730">
        <v>36.54</v>
      </c>
      <c r="N196" s="731"/>
      <c r="O196" s="732" t="s">
        <v>775</v>
      </c>
      <c r="P196" s="733"/>
      <c r="Q196" s="734"/>
      <c r="R196" s="735" t="s">
        <v>1576</v>
      </c>
      <c r="S196" s="736"/>
      <c r="T196" s="322">
        <v>1</v>
      </c>
      <c r="W196" s="211" t="s">
        <v>239</v>
      </c>
      <c r="X196" s="61"/>
      <c r="Y196" s="243">
        <v>36.54</v>
      </c>
      <c r="AB196" s="196"/>
      <c r="AC196" s="199">
        <f>Y196</f>
        <v>36.54</v>
      </c>
    </row>
    <row r="197" spans="1:29" ht="20.100000000000001" customHeight="1" x14ac:dyDescent="0.25">
      <c r="A197" s="36"/>
      <c r="B197" s="79">
        <f t="shared" si="17"/>
        <v>168</v>
      </c>
      <c r="C197" s="79">
        <v>8</v>
      </c>
      <c r="D197" s="178" t="str">
        <f>HYPERLINK("https://sites.wustl.edu/meteoritesite/items/lm_mac_88104/",W197)</f>
        <v>MacAlpine Hills 88104</v>
      </c>
      <c r="E197" s="737">
        <v>88105</v>
      </c>
      <c r="F197" s="738"/>
      <c r="G197" s="738"/>
      <c r="H197" s="739"/>
      <c r="I197" s="737" t="s">
        <v>71</v>
      </c>
      <c r="J197" s="738"/>
      <c r="K197" s="738"/>
      <c r="L197" s="739"/>
      <c r="M197" s="740">
        <v>61.2</v>
      </c>
      <c r="N197" s="741"/>
      <c r="O197" s="742" t="s">
        <v>776</v>
      </c>
      <c r="P197" s="743"/>
      <c r="Q197" s="744"/>
      <c r="R197" s="737" t="s">
        <v>6</v>
      </c>
      <c r="S197" s="739"/>
      <c r="T197" s="323">
        <v>1</v>
      </c>
      <c r="W197" s="212" t="s">
        <v>240</v>
      </c>
      <c r="X197" s="61"/>
      <c r="Y197" s="243">
        <v>61.2</v>
      </c>
      <c r="AB197" s="201">
        <f t="shared" si="41"/>
        <v>61.2</v>
      </c>
      <c r="AC197" s="199"/>
    </row>
    <row r="198" spans="1:29" ht="20.100000000000001" customHeight="1" x14ac:dyDescent="0.25">
      <c r="A198" s="36"/>
      <c r="B198" s="79">
        <f t="shared" si="17"/>
        <v>169</v>
      </c>
      <c r="C198" s="79">
        <v>9</v>
      </c>
      <c r="D198" s="178" t="str">
        <f>HYPERLINK("https://sites.wustl.edu/meteoritesite/items/lm_mac_88104/",W198)</f>
        <v>MacAlpine Hills 88105</v>
      </c>
      <c r="E198" s="737">
        <v>88104</v>
      </c>
      <c r="F198" s="738"/>
      <c r="G198" s="738"/>
      <c r="H198" s="739"/>
      <c r="I198" s="745"/>
      <c r="J198" s="746"/>
      <c r="K198" s="746"/>
      <c r="L198" s="747"/>
      <c r="M198" s="740">
        <v>662.5</v>
      </c>
      <c r="N198" s="741"/>
      <c r="O198" s="742" t="s">
        <v>776</v>
      </c>
      <c r="P198" s="743"/>
      <c r="Q198" s="744"/>
      <c r="R198" s="737" t="s">
        <v>6</v>
      </c>
      <c r="S198" s="739"/>
      <c r="T198" s="323">
        <v>1</v>
      </c>
      <c r="W198" s="108" t="s">
        <v>241</v>
      </c>
      <c r="X198" s="61"/>
      <c r="Y198" s="243">
        <v>662.5</v>
      </c>
      <c r="AB198" s="201">
        <f t="shared" si="41"/>
        <v>662.5</v>
      </c>
      <c r="AC198" s="199"/>
    </row>
    <row r="199" spans="1:29" ht="20.100000000000001" customHeight="1" x14ac:dyDescent="0.25">
      <c r="A199" s="36"/>
      <c r="B199" s="80">
        <f t="shared" si="17"/>
        <v>170</v>
      </c>
      <c r="C199" s="80">
        <v>50</v>
      </c>
      <c r="D199" s="366" t="str">
        <f>HYPERLINK("https://sites.wustl.edu/meteoritesite/items/lm_met_01210/",W199)</f>
        <v>Meteorite Hills 01210</v>
      </c>
      <c r="E199" s="754"/>
      <c r="F199" s="755"/>
      <c r="G199" s="755"/>
      <c r="H199" s="756"/>
      <c r="I199" s="483" t="s">
        <v>137</v>
      </c>
      <c r="J199" s="748"/>
      <c r="K199" s="748"/>
      <c r="L199" s="484"/>
      <c r="M199" s="749">
        <v>22.83</v>
      </c>
      <c r="N199" s="750"/>
      <c r="O199" s="751" t="s">
        <v>777</v>
      </c>
      <c r="P199" s="752"/>
      <c r="Q199" s="753"/>
      <c r="R199" s="483" t="s">
        <v>1577</v>
      </c>
      <c r="S199" s="484"/>
      <c r="T199" s="324">
        <v>1</v>
      </c>
      <c r="W199" s="213" t="s">
        <v>242</v>
      </c>
      <c r="X199" s="61"/>
      <c r="Y199" s="243">
        <v>22.83</v>
      </c>
      <c r="AB199" s="201">
        <f t="shared" si="41"/>
        <v>22.83</v>
      </c>
      <c r="AC199" s="199"/>
    </row>
    <row r="200" spans="1:29" ht="20.100000000000001" customHeight="1" x14ac:dyDescent="0.25">
      <c r="A200" s="36"/>
      <c r="B200" s="81">
        <f t="shared" si="17"/>
        <v>171</v>
      </c>
      <c r="C200" s="81">
        <v>93</v>
      </c>
      <c r="D200" s="367" t="str">
        <f>HYPERLINK("https://sites.wustl.edu/meteoritesite/items/lm_mil_05035",W200)</f>
        <v>Miller Range 05035</v>
      </c>
      <c r="E200" s="485"/>
      <c r="F200" s="486"/>
      <c r="G200" s="486"/>
      <c r="H200" s="487"/>
      <c r="I200" s="488" t="s">
        <v>1666</v>
      </c>
      <c r="J200" s="489"/>
      <c r="K200" s="489"/>
      <c r="L200" s="490"/>
      <c r="M200" s="491">
        <v>142.21600000000001</v>
      </c>
      <c r="N200" s="492"/>
      <c r="O200" s="493" t="s">
        <v>778</v>
      </c>
      <c r="P200" s="494"/>
      <c r="Q200" s="495"/>
      <c r="R200" s="488" t="s">
        <v>8</v>
      </c>
      <c r="S200" s="490"/>
      <c r="T200" s="325">
        <v>1</v>
      </c>
      <c r="W200" s="214" t="s">
        <v>243</v>
      </c>
      <c r="X200" s="61"/>
      <c r="Y200" s="243">
        <v>142.21600000000001</v>
      </c>
      <c r="AB200" s="201">
        <f t="shared" si="41"/>
        <v>142.21600000000001</v>
      </c>
      <c r="AC200" s="199"/>
    </row>
    <row r="201" spans="1:29" ht="20.100000000000001" customHeight="1" x14ac:dyDescent="0.25">
      <c r="A201" s="36"/>
      <c r="B201" s="81">
        <f t="shared" si="17"/>
        <v>172</v>
      </c>
      <c r="C201" s="82">
        <v>122</v>
      </c>
      <c r="D201" s="367" t="str">
        <f>HYPERLINK("https://sites.wustl.edu/meteoritesite/items/lm_mil_07006/",W201)</f>
        <v>Miller Range 07006</v>
      </c>
      <c r="E201" s="485"/>
      <c r="F201" s="486"/>
      <c r="G201" s="486"/>
      <c r="H201" s="487"/>
      <c r="I201" s="488" t="s">
        <v>135</v>
      </c>
      <c r="J201" s="489"/>
      <c r="K201" s="489"/>
      <c r="L201" s="490"/>
      <c r="M201" s="491">
        <v>1.3680000000000001</v>
      </c>
      <c r="N201" s="492"/>
      <c r="O201" s="493" t="s">
        <v>779</v>
      </c>
      <c r="P201" s="494"/>
      <c r="Q201" s="495"/>
      <c r="R201" s="488" t="s">
        <v>6</v>
      </c>
      <c r="S201" s="490"/>
      <c r="T201" s="326">
        <v>1</v>
      </c>
      <c r="W201" s="109" t="s">
        <v>244</v>
      </c>
      <c r="X201" s="61"/>
      <c r="Y201" s="243">
        <v>1.3680000000000001</v>
      </c>
      <c r="AB201" s="201">
        <f t="shared" si="41"/>
        <v>1.3680000000000001</v>
      </c>
      <c r="AC201" s="199"/>
    </row>
    <row r="202" spans="1:29" ht="20.100000000000001" customHeight="1" x14ac:dyDescent="0.25">
      <c r="A202" s="36"/>
      <c r="B202" s="81">
        <f t="shared" si="17"/>
        <v>173</v>
      </c>
      <c r="C202" s="82">
        <v>131</v>
      </c>
      <c r="D202" s="25" t="str">
        <f>HYPERLINK("https://sites.wustl.edu/meteoritesite/items/lm_mil_090034/",W202)</f>
        <v>Miller Range 090034</v>
      </c>
      <c r="E202" s="488" t="s">
        <v>967</v>
      </c>
      <c r="F202" s="489"/>
      <c r="G202" s="489"/>
      <c r="H202" s="490"/>
      <c r="I202" s="485"/>
      <c r="J202" s="486"/>
      <c r="K202" s="486"/>
      <c r="L202" s="487"/>
      <c r="M202" s="491">
        <v>195.565</v>
      </c>
      <c r="N202" s="492"/>
      <c r="O202" s="493" t="s">
        <v>780</v>
      </c>
      <c r="P202" s="494"/>
      <c r="Q202" s="495"/>
      <c r="R202" s="488" t="s">
        <v>6</v>
      </c>
      <c r="S202" s="490"/>
      <c r="T202" s="326">
        <v>1</v>
      </c>
      <c r="W202" s="109" t="s">
        <v>23</v>
      </c>
      <c r="X202" s="61"/>
      <c r="Y202" s="243">
        <v>195.565</v>
      </c>
      <c r="AB202" s="201">
        <f t="shared" si="41"/>
        <v>195.565</v>
      </c>
      <c r="AC202" s="199"/>
    </row>
    <row r="203" spans="1:29" ht="20.100000000000001" customHeight="1" x14ac:dyDescent="0.25">
      <c r="A203" s="36"/>
      <c r="B203" s="81">
        <f t="shared" si="17"/>
        <v>174</v>
      </c>
      <c r="C203" s="82">
        <v>132</v>
      </c>
      <c r="D203" s="25" t="str">
        <f>HYPERLINK("https://sites.wustl.edu/meteoritesite/items/lm_mil_090036/",W203)</f>
        <v>Miller Range 090036</v>
      </c>
      <c r="E203" s="485"/>
      <c r="F203" s="486"/>
      <c r="G203" s="486"/>
      <c r="H203" s="487"/>
      <c r="I203" s="488" t="s">
        <v>24</v>
      </c>
      <c r="J203" s="489"/>
      <c r="K203" s="489"/>
      <c r="L203" s="490"/>
      <c r="M203" s="491">
        <v>244.83</v>
      </c>
      <c r="N203" s="492"/>
      <c r="O203" s="493" t="s">
        <v>781</v>
      </c>
      <c r="P203" s="494"/>
      <c r="Q203" s="495"/>
      <c r="R203" s="488" t="s">
        <v>6</v>
      </c>
      <c r="S203" s="490"/>
      <c r="T203" s="326">
        <v>1</v>
      </c>
      <c r="W203" s="109" t="s">
        <v>245</v>
      </c>
      <c r="X203" s="61"/>
      <c r="Y203" s="243">
        <v>244.83</v>
      </c>
      <c r="AB203" s="201">
        <f t="shared" si="41"/>
        <v>244.83</v>
      </c>
      <c r="AC203" s="199"/>
    </row>
    <row r="204" spans="1:29" ht="20.100000000000001" customHeight="1" x14ac:dyDescent="0.25">
      <c r="A204" s="36"/>
      <c r="B204" s="81">
        <f t="shared" si="17"/>
        <v>175</v>
      </c>
      <c r="C204" s="82">
        <v>133</v>
      </c>
      <c r="D204" s="25" t="str">
        <f>HYPERLINK("https://sites.wustl.edu/meteoritesite/items/lm_mil_090034/",W204)</f>
        <v>Miller Range 090070</v>
      </c>
      <c r="E204" s="488" t="s">
        <v>972</v>
      </c>
      <c r="F204" s="489"/>
      <c r="G204" s="489"/>
      <c r="H204" s="490"/>
      <c r="I204" s="485"/>
      <c r="J204" s="486"/>
      <c r="K204" s="486"/>
      <c r="L204" s="487"/>
      <c r="M204" s="491">
        <v>137.46100000000001</v>
      </c>
      <c r="N204" s="492"/>
      <c r="O204" s="493" t="s">
        <v>782</v>
      </c>
      <c r="P204" s="494"/>
      <c r="Q204" s="495"/>
      <c r="R204" s="488" t="s">
        <v>6</v>
      </c>
      <c r="S204" s="490"/>
      <c r="T204" s="326">
        <v>1</v>
      </c>
      <c r="W204" s="109" t="s">
        <v>246</v>
      </c>
      <c r="X204" s="61"/>
      <c r="Y204" s="243">
        <v>137.46100000000001</v>
      </c>
      <c r="AB204" s="201">
        <f t="shared" si="41"/>
        <v>137.46100000000001</v>
      </c>
      <c r="AC204" s="199"/>
    </row>
    <row r="205" spans="1:29" ht="20.100000000000001" customHeight="1" x14ac:dyDescent="0.25">
      <c r="A205" s="36"/>
      <c r="B205" s="81">
        <f t="shared" si="17"/>
        <v>176</v>
      </c>
      <c r="C205" s="82">
        <v>134</v>
      </c>
      <c r="D205" s="25" t="str">
        <f>HYPERLINK("https://sites.wustl.edu/meteoritesite/items/lm_mil_090034/",W205)</f>
        <v>Miller Range 090075</v>
      </c>
      <c r="E205" s="488" t="s">
        <v>134</v>
      </c>
      <c r="F205" s="489"/>
      <c r="G205" s="489"/>
      <c r="H205" s="490"/>
      <c r="I205" s="485"/>
      <c r="J205" s="486"/>
      <c r="K205" s="486"/>
      <c r="L205" s="487"/>
      <c r="M205" s="491">
        <v>143.523</v>
      </c>
      <c r="N205" s="492"/>
      <c r="O205" s="493" t="s">
        <v>782</v>
      </c>
      <c r="P205" s="494"/>
      <c r="Q205" s="495"/>
      <c r="R205" s="488" t="s">
        <v>6</v>
      </c>
      <c r="S205" s="490"/>
      <c r="T205" s="326">
        <v>1</v>
      </c>
      <c r="W205" s="109" t="s">
        <v>247</v>
      </c>
      <c r="X205" s="61"/>
      <c r="Y205" s="243">
        <v>143.523</v>
      </c>
      <c r="AB205" s="201">
        <f t="shared" si="41"/>
        <v>143.523</v>
      </c>
      <c r="AC205" s="199"/>
    </row>
    <row r="206" spans="1:29" ht="20.100000000000001" customHeight="1" x14ac:dyDescent="0.25">
      <c r="A206" s="36"/>
      <c r="B206" s="81">
        <f t="shared" si="17"/>
        <v>177</v>
      </c>
      <c r="C206" s="82">
        <v>224</v>
      </c>
      <c r="D206" s="25" t="str">
        <f>HYPERLINK("https://sites.wustl.edu/meteoritesite/items/lm_mil_13317/",W206)</f>
        <v>Miller Range 13317</v>
      </c>
      <c r="E206" s="488"/>
      <c r="F206" s="489"/>
      <c r="G206" s="489"/>
      <c r="H206" s="490"/>
      <c r="I206" s="485"/>
      <c r="J206" s="486"/>
      <c r="K206" s="486"/>
      <c r="L206" s="487"/>
      <c r="M206" s="491">
        <v>32.25</v>
      </c>
      <c r="N206" s="492"/>
      <c r="O206" s="493" t="s">
        <v>783</v>
      </c>
      <c r="P206" s="494"/>
      <c r="Q206" s="495"/>
      <c r="R206" s="488" t="s">
        <v>6</v>
      </c>
      <c r="S206" s="490"/>
      <c r="T206" s="326">
        <v>1</v>
      </c>
      <c r="W206" s="109" t="s">
        <v>248</v>
      </c>
      <c r="X206" s="61"/>
      <c r="Y206" s="243">
        <v>32.25</v>
      </c>
      <c r="AB206" s="201">
        <f t="shared" si="41"/>
        <v>32.25</v>
      </c>
      <c r="AC206" s="199"/>
    </row>
    <row r="207" spans="1:29" ht="20.100000000000001" customHeight="1" x14ac:dyDescent="0.25">
      <c r="A207" s="36"/>
      <c r="B207" s="138">
        <f t="shared" si="17"/>
        <v>178</v>
      </c>
      <c r="C207" s="83">
        <v>181</v>
      </c>
      <c r="D207" s="368" t="str">
        <f>HYPERLINK("https://sites.wustl.edu/meteoritesite/items/lm_dew_12007/",W207)</f>
        <v>Mount DeWitt 12007</v>
      </c>
      <c r="E207" s="762"/>
      <c r="F207" s="763"/>
      <c r="G207" s="763"/>
      <c r="H207" s="764"/>
      <c r="I207" s="765" t="s">
        <v>629</v>
      </c>
      <c r="J207" s="766"/>
      <c r="K207" s="766"/>
      <c r="L207" s="767"/>
      <c r="M207" s="768">
        <v>94.2</v>
      </c>
      <c r="N207" s="769"/>
      <c r="O207" s="770" t="s">
        <v>784</v>
      </c>
      <c r="P207" s="771"/>
      <c r="Q207" s="772"/>
      <c r="R207" s="765" t="s">
        <v>1577</v>
      </c>
      <c r="S207" s="767"/>
      <c r="T207" s="327">
        <v>1</v>
      </c>
      <c r="W207" s="215" t="s">
        <v>249</v>
      </c>
      <c r="X207" s="61"/>
      <c r="Y207" s="243">
        <v>94.2</v>
      </c>
      <c r="AB207" s="201">
        <f t="shared" si="41"/>
        <v>94.2</v>
      </c>
      <c r="AC207" s="199"/>
    </row>
    <row r="208" spans="1:29" ht="36" customHeight="1" x14ac:dyDescent="0.25">
      <c r="A208" s="36"/>
      <c r="B208" s="125" t="s">
        <v>402</v>
      </c>
      <c r="C208" s="30" t="s">
        <v>1034</v>
      </c>
      <c r="D208" s="33" t="s">
        <v>915</v>
      </c>
      <c r="E208" s="420" t="s">
        <v>916</v>
      </c>
      <c r="F208" s="421"/>
      <c r="G208" s="421"/>
      <c r="H208" s="422"/>
      <c r="I208" s="423" t="s">
        <v>917</v>
      </c>
      <c r="J208" s="424"/>
      <c r="K208" s="424"/>
      <c r="L208" s="425"/>
      <c r="M208" s="430" t="s">
        <v>918</v>
      </c>
      <c r="N208" s="431"/>
      <c r="O208" s="426" t="s">
        <v>919</v>
      </c>
      <c r="P208" s="427"/>
      <c r="Q208" s="428"/>
      <c r="R208" s="423" t="s">
        <v>920</v>
      </c>
      <c r="S208" s="425"/>
      <c r="T208" s="5" t="s">
        <v>5</v>
      </c>
      <c r="Y208" s="243"/>
      <c r="AB208" s="196"/>
      <c r="AC208" s="199"/>
    </row>
    <row r="209" spans="1:29" ht="20.100000000000001" customHeight="1" x14ac:dyDescent="0.25">
      <c r="A209" s="36"/>
      <c r="B209" s="139">
        <f>B207+1</f>
        <v>179</v>
      </c>
      <c r="C209" s="84">
        <v>62</v>
      </c>
      <c r="D209" s="277" t="str">
        <f>HYPERLINK("https://sites.wustl.edu/meteoritesite/items/lm_nea_001/",W209)</f>
        <v>Northeast Africa 001</v>
      </c>
      <c r="E209" s="434"/>
      <c r="F209" s="435"/>
      <c r="G209" s="435"/>
      <c r="H209" s="436"/>
      <c r="I209" s="434"/>
      <c r="J209" s="435"/>
      <c r="K209" s="435"/>
      <c r="L209" s="436"/>
      <c r="M209" s="443">
        <v>262</v>
      </c>
      <c r="N209" s="444"/>
      <c r="O209" s="415" t="s">
        <v>785</v>
      </c>
      <c r="P209" s="416"/>
      <c r="Q209" s="417"/>
      <c r="R209" s="418" t="s">
        <v>6</v>
      </c>
      <c r="S209" s="419"/>
      <c r="T209" s="328">
        <v>1</v>
      </c>
      <c r="W209" s="216" t="s">
        <v>250</v>
      </c>
      <c r="X209" s="61"/>
      <c r="Y209" s="243">
        <v>262</v>
      </c>
      <c r="Z209" s="243">
        <f>Y209</f>
        <v>262</v>
      </c>
      <c r="AB209" s="196"/>
      <c r="AC209" s="199"/>
    </row>
    <row r="210" spans="1:29" ht="20.100000000000001" customHeight="1" x14ac:dyDescent="0.25">
      <c r="A210" s="36"/>
      <c r="B210" s="140">
        <f t="shared" si="17"/>
        <v>180</v>
      </c>
      <c r="C210" s="85">
        <v>83</v>
      </c>
      <c r="D210" s="277" t="str">
        <f>HYPERLINK("https://sites.wustl.edu/meteoritesite/items/lm_nea_003/",W210)</f>
        <v>Northeast Africa 003</v>
      </c>
      <c r="E210" s="434"/>
      <c r="F210" s="435"/>
      <c r="G210" s="435"/>
      <c r="H210" s="436"/>
      <c r="I210" s="434"/>
      <c r="J210" s="435"/>
      <c r="K210" s="435"/>
      <c r="L210" s="436"/>
      <c r="M210" s="443" t="s">
        <v>96</v>
      </c>
      <c r="N210" s="444"/>
      <c r="O210" s="415" t="s">
        <v>786</v>
      </c>
      <c r="P210" s="416"/>
      <c r="Q210" s="417"/>
      <c r="R210" s="418" t="s">
        <v>1578</v>
      </c>
      <c r="S210" s="419"/>
      <c r="T210" s="329">
        <v>1</v>
      </c>
      <c r="W210" s="179" t="s">
        <v>251</v>
      </c>
      <c r="X210" s="61"/>
      <c r="Y210" s="243">
        <v>124</v>
      </c>
      <c r="Z210" s="243">
        <f t="shared" ref="Z210:Z289" si="42">Y210</f>
        <v>124</v>
      </c>
      <c r="AB210" s="196"/>
      <c r="AC210" s="199"/>
    </row>
    <row r="211" spans="1:29" ht="20.100000000000001" customHeight="1" x14ac:dyDescent="0.25">
      <c r="A211" s="36"/>
      <c r="B211" s="140">
        <f t="shared" si="17"/>
        <v>181</v>
      </c>
      <c r="C211" s="85">
        <v>419</v>
      </c>
      <c r="D211" s="277" t="str">
        <f>HYPERLINK("https://sites.wustl.edu/meteoritesite/items/lm_nea_014/",W211)</f>
        <v>Northeast Africa 014</v>
      </c>
      <c r="E211" s="434"/>
      <c r="F211" s="435"/>
      <c r="G211" s="435"/>
      <c r="H211" s="436"/>
      <c r="I211" s="434"/>
      <c r="J211" s="435"/>
      <c r="K211" s="435"/>
      <c r="L211" s="436"/>
      <c r="M211" s="443">
        <v>1601</v>
      </c>
      <c r="N211" s="444"/>
      <c r="O211" s="415" t="s">
        <v>1022</v>
      </c>
      <c r="P211" s="416"/>
      <c r="Q211" s="417"/>
      <c r="R211" s="418" t="s">
        <v>6</v>
      </c>
      <c r="S211" s="419"/>
      <c r="T211" s="329">
        <v>1</v>
      </c>
      <c r="W211" s="179" t="s">
        <v>1021</v>
      </c>
      <c r="X211" s="61"/>
      <c r="Y211" s="243">
        <v>1601</v>
      </c>
      <c r="Z211" s="243">
        <f t="shared" ref="Z211:Z218" si="43">Y211</f>
        <v>1601</v>
      </c>
      <c r="AB211" s="196"/>
      <c r="AC211" s="199"/>
    </row>
    <row r="212" spans="1:29" ht="20.100000000000001" customHeight="1" x14ac:dyDescent="0.25">
      <c r="A212" s="36"/>
      <c r="B212" s="140">
        <f t="shared" si="17"/>
        <v>182</v>
      </c>
      <c r="C212" s="85">
        <v>623</v>
      </c>
      <c r="D212" s="277" t="str">
        <f>HYPERLINK("https://sites.wustl.edu/meteoritesite/items/lm_nea_039/",W212)</f>
        <v>Northeast Africa 039</v>
      </c>
      <c r="E212" s="434"/>
      <c r="F212" s="435"/>
      <c r="G212" s="435"/>
      <c r="H212" s="436"/>
      <c r="I212" s="434" t="s">
        <v>1592</v>
      </c>
      <c r="J212" s="435"/>
      <c r="K212" s="435"/>
      <c r="L212" s="436"/>
      <c r="M212" s="443">
        <v>1536</v>
      </c>
      <c r="N212" s="444"/>
      <c r="O212" s="415" t="s">
        <v>1502</v>
      </c>
      <c r="P212" s="416"/>
      <c r="Q212" s="417"/>
      <c r="R212" s="418" t="s">
        <v>1145</v>
      </c>
      <c r="S212" s="419"/>
      <c r="T212" s="329">
        <v>0</v>
      </c>
      <c r="W212" s="179" t="s">
        <v>1501</v>
      </c>
      <c r="X212" s="61"/>
      <c r="Y212" s="243">
        <v>1536</v>
      </c>
      <c r="Z212" s="243">
        <f t="shared" si="43"/>
        <v>1536</v>
      </c>
      <c r="AB212" s="196"/>
      <c r="AC212" s="199"/>
    </row>
    <row r="213" spans="1:29" ht="20.100000000000001" customHeight="1" x14ac:dyDescent="0.25">
      <c r="A213" s="36"/>
      <c r="B213" s="140">
        <f t="shared" si="17"/>
        <v>183</v>
      </c>
      <c r="C213" s="85">
        <v>642</v>
      </c>
      <c r="D213" s="277" t="str">
        <f>HYPERLINK("https://sites.wustl.edu/meteoritesite/items/lm_nea_042/",W213)</f>
        <v>Northeast Africa 042</v>
      </c>
      <c r="E213" s="434"/>
      <c r="F213" s="435"/>
      <c r="G213" s="435"/>
      <c r="H213" s="436"/>
      <c r="I213" s="434"/>
      <c r="J213" s="435"/>
      <c r="K213" s="435"/>
      <c r="L213" s="436"/>
      <c r="M213" s="443" t="s">
        <v>1544</v>
      </c>
      <c r="N213" s="444"/>
      <c r="O213" s="415" t="s">
        <v>1502</v>
      </c>
      <c r="P213" s="416"/>
      <c r="Q213" s="417"/>
      <c r="R213" s="418" t="s">
        <v>6</v>
      </c>
      <c r="S213" s="419"/>
      <c r="T213" s="329">
        <v>0</v>
      </c>
      <c r="W213" s="179" t="s">
        <v>1543</v>
      </c>
      <c r="X213" s="61"/>
      <c r="Y213" s="243">
        <v>482</v>
      </c>
      <c r="Z213" s="243">
        <f t="shared" si="43"/>
        <v>482</v>
      </c>
      <c r="AB213" s="196"/>
      <c r="AC213" s="199"/>
    </row>
    <row r="214" spans="1:29" ht="20.100000000000001" customHeight="1" x14ac:dyDescent="0.25">
      <c r="A214" s="36"/>
      <c r="B214" s="140">
        <f t="shared" si="17"/>
        <v>184</v>
      </c>
      <c r="C214" s="85">
        <v>692</v>
      </c>
      <c r="D214" s="277" t="str">
        <f>HYPERLINK("https://sites.wustl.edu/meteoritesite/items/lm_nea_063/",W214)</f>
        <v>Northeast Africa 063</v>
      </c>
      <c r="E214" s="434"/>
      <c r="F214" s="435"/>
      <c r="G214" s="435"/>
      <c r="H214" s="436"/>
      <c r="I214" s="434"/>
      <c r="J214" s="435"/>
      <c r="K214" s="435"/>
      <c r="L214" s="436"/>
      <c r="M214" s="437">
        <v>42700</v>
      </c>
      <c r="N214" s="438"/>
      <c r="O214" s="415" t="s">
        <v>1294</v>
      </c>
      <c r="P214" s="416"/>
      <c r="Q214" s="417"/>
      <c r="R214" s="418" t="s">
        <v>1342</v>
      </c>
      <c r="S214" s="419"/>
      <c r="T214" s="329">
        <v>0</v>
      </c>
      <c r="W214" s="179" t="s">
        <v>1682</v>
      </c>
      <c r="X214" s="61"/>
      <c r="Y214" s="243">
        <v>42700</v>
      </c>
      <c r="Z214" s="243">
        <f t="shared" si="43"/>
        <v>42700</v>
      </c>
      <c r="AB214" s="196"/>
      <c r="AC214" s="199"/>
    </row>
    <row r="215" spans="1:29" ht="20.100000000000001" customHeight="1" x14ac:dyDescent="0.25">
      <c r="A215" s="36"/>
      <c r="B215" s="140">
        <f t="shared" si="17"/>
        <v>185</v>
      </c>
      <c r="C215" s="85">
        <v>715</v>
      </c>
      <c r="D215" s="277" t="str">
        <f>HYPERLINK("https://sites.wustl.edu/meteoritesite/items/lm_nea_075/",W215)</f>
        <v>Northeast Africa 075</v>
      </c>
      <c r="E215" s="434"/>
      <c r="F215" s="435"/>
      <c r="G215" s="435"/>
      <c r="H215" s="436"/>
      <c r="I215" s="434"/>
      <c r="J215" s="435"/>
      <c r="K215" s="435"/>
      <c r="L215" s="436"/>
      <c r="M215" s="439">
        <v>38.200000000000003</v>
      </c>
      <c r="N215" s="440"/>
      <c r="O215" s="415" t="s">
        <v>1719</v>
      </c>
      <c r="P215" s="416"/>
      <c r="Q215" s="417"/>
      <c r="R215" s="418" t="s">
        <v>1259</v>
      </c>
      <c r="S215" s="419"/>
      <c r="T215" s="329">
        <v>0</v>
      </c>
      <c r="W215" s="179" t="s">
        <v>1744</v>
      </c>
      <c r="X215" s="61"/>
      <c r="Y215" s="243">
        <v>38.200000000000003</v>
      </c>
      <c r="Z215" s="243">
        <f t="shared" si="43"/>
        <v>38.200000000000003</v>
      </c>
      <c r="AB215" s="196"/>
      <c r="AC215" s="199"/>
    </row>
    <row r="216" spans="1:29" ht="20.100000000000001" customHeight="1" x14ac:dyDescent="0.25">
      <c r="A216" s="36"/>
      <c r="B216" s="140">
        <f t="shared" si="17"/>
        <v>186</v>
      </c>
      <c r="C216" s="85">
        <v>724</v>
      </c>
      <c r="D216" s="277" t="str">
        <f>HYPERLINK("https://sites.wustl.edu/meteoritesite/items/lm_nea_076/",W216)</f>
        <v>Northeast Africa 076</v>
      </c>
      <c r="E216" s="434"/>
      <c r="F216" s="435"/>
      <c r="G216" s="435"/>
      <c r="H216" s="436"/>
      <c r="I216" s="434"/>
      <c r="J216" s="435"/>
      <c r="K216" s="435"/>
      <c r="L216" s="436"/>
      <c r="M216" s="890">
        <v>1763</v>
      </c>
      <c r="N216" s="891"/>
      <c r="O216" s="415" t="s">
        <v>1675</v>
      </c>
      <c r="P216" s="416"/>
      <c r="Q216" s="417"/>
      <c r="R216" s="418" t="s">
        <v>6</v>
      </c>
      <c r="S216" s="419"/>
      <c r="T216" s="329">
        <v>0</v>
      </c>
      <c r="W216" s="179" t="s">
        <v>1758</v>
      </c>
      <c r="X216" s="61"/>
      <c r="Y216" s="243">
        <v>1763</v>
      </c>
      <c r="Z216" s="243">
        <f t="shared" si="43"/>
        <v>1763</v>
      </c>
      <c r="AB216" s="196"/>
      <c r="AC216" s="199"/>
    </row>
    <row r="217" spans="1:29" ht="20.100000000000001" customHeight="1" x14ac:dyDescent="0.25">
      <c r="A217" s="36"/>
      <c r="B217" s="140">
        <f t="shared" si="17"/>
        <v>187</v>
      </c>
      <c r="C217" s="85">
        <v>725</v>
      </c>
      <c r="D217" s="277" t="str">
        <f>HYPERLINK("https://sites.wustl.edu/meteoritesite/items/lm_nea_078/",W217)</f>
        <v>Northeast Africa 078</v>
      </c>
      <c r="E217" s="434"/>
      <c r="F217" s="435"/>
      <c r="G217" s="435"/>
      <c r="H217" s="436"/>
      <c r="I217" s="434"/>
      <c r="J217" s="435"/>
      <c r="K217" s="435"/>
      <c r="L217" s="436"/>
      <c r="M217" s="890">
        <v>539</v>
      </c>
      <c r="N217" s="891"/>
      <c r="O217" s="415" t="s">
        <v>1701</v>
      </c>
      <c r="P217" s="416"/>
      <c r="Q217" s="417"/>
      <c r="R217" s="418" t="s">
        <v>1259</v>
      </c>
      <c r="S217" s="419"/>
      <c r="T217" s="329">
        <v>0</v>
      </c>
      <c r="W217" s="179" t="s">
        <v>1759</v>
      </c>
      <c r="X217" s="61"/>
      <c r="Y217" s="243">
        <v>539</v>
      </c>
      <c r="Z217" s="243">
        <f t="shared" si="43"/>
        <v>539</v>
      </c>
      <c r="AB217" s="196"/>
      <c r="AC217" s="199"/>
    </row>
    <row r="218" spans="1:29" ht="20.100000000000001" customHeight="1" x14ac:dyDescent="0.25">
      <c r="A218" s="36"/>
      <c r="B218" s="140">
        <f t="shared" si="17"/>
        <v>188</v>
      </c>
      <c r="C218" s="85">
        <v>726</v>
      </c>
      <c r="D218" s="277" t="str">
        <f>HYPERLINK("https://sites.wustl.edu/meteoritesite/items/lm_nea_079/",W218)</f>
        <v>Northeast Africa 079</v>
      </c>
      <c r="E218" s="434"/>
      <c r="F218" s="435"/>
      <c r="G218" s="435"/>
      <c r="H218" s="436"/>
      <c r="I218" s="434"/>
      <c r="J218" s="435"/>
      <c r="K218" s="435"/>
      <c r="L218" s="436"/>
      <c r="M218" s="890">
        <v>1657</v>
      </c>
      <c r="N218" s="891"/>
      <c r="O218" s="415" t="s">
        <v>1757</v>
      </c>
      <c r="P218" s="416"/>
      <c r="Q218" s="417"/>
      <c r="R218" s="418" t="s">
        <v>6</v>
      </c>
      <c r="S218" s="419"/>
      <c r="T218" s="329">
        <v>0</v>
      </c>
      <c r="W218" s="179" t="s">
        <v>1760</v>
      </c>
      <c r="X218" s="61"/>
      <c r="Y218" s="243">
        <v>1657</v>
      </c>
      <c r="Z218" s="243">
        <f t="shared" si="43"/>
        <v>1657</v>
      </c>
      <c r="AB218" s="196"/>
      <c r="AC218" s="199"/>
    </row>
    <row r="219" spans="1:29" ht="20.100000000000001" customHeight="1" x14ac:dyDescent="0.25">
      <c r="A219" s="36"/>
      <c r="B219" s="140">
        <f t="shared" si="17"/>
        <v>189</v>
      </c>
      <c r="C219" s="85">
        <v>758</v>
      </c>
      <c r="D219" s="277" t="str">
        <f>HYPERLINK("https://sites.wustl.edu/meteoritesite/items/lm_ashshaqq_002/",W219)</f>
        <v>Northeast Africa 104</v>
      </c>
      <c r="E219" s="434" t="s">
        <v>1839</v>
      </c>
      <c r="F219" s="435"/>
      <c r="G219" s="435"/>
      <c r="H219" s="436"/>
      <c r="I219" s="434"/>
      <c r="J219" s="435"/>
      <c r="K219" s="435"/>
      <c r="L219" s="436"/>
      <c r="M219" s="437" t="s">
        <v>1828</v>
      </c>
      <c r="N219" s="438"/>
      <c r="O219" s="415" t="s">
        <v>1796</v>
      </c>
      <c r="P219" s="416"/>
      <c r="Q219" s="417"/>
      <c r="R219" s="418" t="s">
        <v>1193</v>
      </c>
      <c r="S219" s="419"/>
      <c r="T219" s="329">
        <v>0</v>
      </c>
      <c r="W219" s="179" t="s">
        <v>1827</v>
      </c>
      <c r="X219" s="61"/>
      <c r="Y219" s="243">
        <v>20000</v>
      </c>
      <c r="Z219" s="243">
        <f t="shared" ref="Z219" si="44">Y219</f>
        <v>20000</v>
      </c>
      <c r="AB219" s="196"/>
      <c r="AC219" s="199"/>
    </row>
    <row r="220" spans="1:29" ht="20.100000000000001" customHeight="1" x14ac:dyDescent="0.25">
      <c r="A220" s="36"/>
      <c r="B220" s="128">
        <f>B219+1</f>
        <v>190</v>
      </c>
      <c r="C220" s="68">
        <v>21</v>
      </c>
      <c r="D220" s="64" t="str">
        <f>HYPERLINK("https://sites.wustl.edu/meteoritesite/items/lm_nwa_00032-479",W220)</f>
        <v>Northwest Africa 032</v>
      </c>
      <c r="E220" s="376">
        <v>479</v>
      </c>
      <c r="F220" s="377"/>
      <c r="G220" s="377"/>
      <c r="H220" s="378"/>
      <c r="I220" s="412" t="s">
        <v>627</v>
      </c>
      <c r="J220" s="413"/>
      <c r="K220" s="413"/>
      <c r="L220" s="414"/>
      <c r="M220" s="379">
        <v>300</v>
      </c>
      <c r="N220" s="400"/>
      <c r="O220" s="381" t="s">
        <v>812</v>
      </c>
      <c r="P220" s="382"/>
      <c r="Q220" s="383"/>
      <c r="R220" s="376" t="s">
        <v>8</v>
      </c>
      <c r="S220" s="378"/>
      <c r="T220" s="157">
        <v>1</v>
      </c>
      <c r="U220" s="35">
        <v>1</v>
      </c>
      <c r="W220" s="110" t="s">
        <v>252</v>
      </c>
      <c r="X220" s="61"/>
      <c r="Y220" s="243">
        <v>300</v>
      </c>
      <c r="Z220" s="243">
        <f t="shared" si="42"/>
        <v>300</v>
      </c>
      <c r="AB220" s="196"/>
      <c r="AC220" s="199"/>
    </row>
    <row r="221" spans="1:29" ht="20.100000000000001" customHeight="1" x14ac:dyDescent="0.25">
      <c r="A221" s="36"/>
      <c r="B221" s="128">
        <f t="shared" si="17"/>
        <v>191</v>
      </c>
      <c r="C221" s="68">
        <v>26</v>
      </c>
      <c r="D221" s="64" t="str">
        <f>HYPERLINK("https://sites.wustl.edu/meteoritesite/items/lm_nwa_00032-479",W221)</f>
        <v>Northwest Africa 479</v>
      </c>
      <c r="E221" s="376" t="s">
        <v>136</v>
      </c>
      <c r="F221" s="377"/>
      <c r="G221" s="377"/>
      <c r="H221" s="378"/>
      <c r="I221" s="412"/>
      <c r="J221" s="413"/>
      <c r="K221" s="413"/>
      <c r="L221" s="414"/>
      <c r="M221" s="379">
        <v>156</v>
      </c>
      <c r="N221" s="400"/>
      <c r="O221" s="381" t="s">
        <v>813</v>
      </c>
      <c r="P221" s="382"/>
      <c r="Q221" s="383"/>
      <c r="R221" s="376" t="s">
        <v>8</v>
      </c>
      <c r="S221" s="378"/>
      <c r="T221" s="157">
        <v>1</v>
      </c>
      <c r="U221" s="35">
        <v>1</v>
      </c>
      <c r="W221" s="110" t="s">
        <v>253</v>
      </c>
      <c r="X221" s="61"/>
      <c r="Y221" s="243">
        <v>156</v>
      </c>
      <c r="Z221" s="243">
        <f t="shared" si="42"/>
        <v>156</v>
      </c>
      <c r="AB221" s="196"/>
      <c r="AC221" s="199"/>
    </row>
    <row r="222" spans="1:29" ht="20.100000000000001" customHeight="1" x14ac:dyDescent="0.25">
      <c r="A222" s="36"/>
      <c r="B222" s="128">
        <f t="shared" si="17"/>
        <v>192</v>
      </c>
      <c r="C222" s="68">
        <v>27</v>
      </c>
      <c r="D222" s="64" t="str">
        <f>HYPERLINK("https://sites.wustl.edu/meteoritesite/items/lm_nwa_00482/",W222)</f>
        <v>Northwest Africa 482</v>
      </c>
      <c r="E222" s="376"/>
      <c r="F222" s="377"/>
      <c r="G222" s="377"/>
      <c r="H222" s="378"/>
      <c r="I222" s="412"/>
      <c r="J222" s="413"/>
      <c r="K222" s="413"/>
      <c r="L222" s="414"/>
      <c r="M222" s="379">
        <v>1015</v>
      </c>
      <c r="N222" s="400"/>
      <c r="O222" s="773" t="s">
        <v>814</v>
      </c>
      <c r="P222" s="774"/>
      <c r="Q222" s="775"/>
      <c r="R222" s="376" t="s">
        <v>6</v>
      </c>
      <c r="S222" s="378"/>
      <c r="T222" s="157">
        <v>1</v>
      </c>
      <c r="U222" s="35">
        <v>1</v>
      </c>
      <c r="W222" s="110" t="s">
        <v>254</v>
      </c>
      <c r="X222" s="61"/>
      <c r="Y222" s="243">
        <v>1015</v>
      </c>
      <c r="Z222" s="243">
        <f t="shared" si="42"/>
        <v>1015</v>
      </c>
      <c r="AB222" s="196"/>
      <c r="AC222" s="199"/>
    </row>
    <row r="223" spans="1:29" ht="20.100000000000001" customHeight="1" x14ac:dyDescent="0.25">
      <c r="A223" s="36"/>
      <c r="B223" s="141">
        <f>B222+1</f>
        <v>193</v>
      </c>
      <c r="C223" s="86">
        <v>28</v>
      </c>
      <c r="D223" s="64" t="str">
        <f>HYPERLINK("https://sites.wustl.edu/meteoritesite/items/lm_nwa_00773_clan/",W223)</f>
        <v>Northwest Africa 773</v>
      </c>
      <c r="E223" s="376" t="s">
        <v>1416</v>
      </c>
      <c r="F223" s="377"/>
      <c r="G223" s="377"/>
      <c r="H223" s="378"/>
      <c r="I223" s="412"/>
      <c r="J223" s="413"/>
      <c r="K223" s="413"/>
      <c r="L223" s="414"/>
      <c r="M223" s="379" t="s">
        <v>97</v>
      </c>
      <c r="N223" s="400"/>
      <c r="O223" s="381" t="s">
        <v>813</v>
      </c>
      <c r="P223" s="382"/>
      <c r="Q223" s="383"/>
      <c r="R223" s="376" t="s">
        <v>1579</v>
      </c>
      <c r="S223" s="378"/>
      <c r="T223" s="330">
        <v>1</v>
      </c>
      <c r="U223" s="35">
        <v>1</v>
      </c>
      <c r="W223" s="64" t="s">
        <v>255</v>
      </c>
      <c r="X223" s="61"/>
      <c r="Y223" s="243">
        <v>633</v>
      </c>
      <c r="Z223" s="243">
        <f t="shared" si="42"/>
        <v>633</v>
      </c>
      <c r="AB223" s="196"/>
      <c r="AC223" s="199"/>
    </row>
    <row r="224" spans="1:29" ht="20.100000000000001" customHeight="1" x14ac:dyDescent="0.25">
      <c r="A224" s="36"/>
      <c r="B224" s="128">
        <f t="shared" si="17"/>
        <v>194</v>
      </c>
      <c r="C224" s="68">
        <v>82</v>
      </c>
      <c r="D224" s="64" t="str">
        <f>HYPERLINK("https://sites.wustl.edu/meteoritesite/items/lm_nwa_02200/",W224)</f>
        <v>Northwest Africa 2200</v>
      </c>
      <c r="E224" s="376"/>
      <c r="F224" s="377"/>
      <c r="G224" s="377"/>
      <c r="H224" s="378"/>
      <c r="I224" s="412"/>
      <c r="J224" s="413"/>
      <c r="K224" s="413"/>
      <c r="L224" s="414"/>
      <c r="M224" s="379">
        <v>552</v>
      </c>
      <c r="N224" s="400"/>
      <c r="O224" s="381" t="s">
        <v>925</v>
      </c>
      <c r="P224" s="382"/>
      <c r="Q224" s="383"/>
      <c r="R224" s="376" t="s">
        <v>6</v>
      </c>
      <c r="S224" s="378"/>
      <c r="T224" s="157">
        <v>1</v>
      </c>
      <c r="U224" s="35">
        <v>1</v>
      </c>
      <c r="W224" s="110" t="s">
        <v>256</v>
      </c>
      <c r="X224" s="61"/>
      <c r="Y224" s="243">
        <v>552</v>
      </c>
      <c r="Z224" s="243">
        <f t="shared" si="42"/>
        <v>552</v>
      </c>
      <c r="AB224" s="196"/>
      <c r="AC224" s="199"/>
    </row>
    <row r="225" spans="1:29" ht="20.100000000000001" customHeight="1" x14ac:dyDescent="0.25">
      <c r="A225" s="36"/>
      <c r="B225" s="141">
        <f t="shared" si="17"/>
        <v>195</v>
      </c>
      <c r="C225" s="68">
        <v>388</v>
      </c>
      <c r="D225" s="110" t="str">
        <f>HYPERLINK("https://sites.wustl.edu/meteoritesite/items/lm_nwa_07611_clan/",W225)</f>
        <v>Northwest Africa 2402</v>
      </c>
      <c r="E225" s="376" t="s">
        <v>693</v>
      </c>
      <c r="F225" s="377"/>
      <c r="G225" s="377"/>
      <c r="H225" s="378"/>
      <c r="I225" s="286"/>
      <c r="J225" s="155"/>
      <c r="K225" s="155"/>
      <c r="L225" s="156"/>
      <c r="M225" s="379">
        <v>500</v>
      </c>
      <c r="N225" s="400"/>
      <c r="O225" s="381" t="s">
        <v>815</v>
      </c>
      <c r="P225" s="382"/>
      <c r="Q225" s="383"/>
      <c r="R225" s="376" t="s">
        <v>1573</v>
      </c>
      <c r="S225" s="378"/>
      <c r="T225" s="157">
        <v>0</v>
      </c>
      <c r="U225" s="35">
        <v>1</v>
      </c>
      <c r="W225" s="110" t="s">
        <v>694</v>
      </c>
      <c r="X225" s="61"/>
      <c r="Y225" s="243">
        <v>500</v>
      </c>
      <c r="Z225" s="243">
        <f t="shared" si="42"/>
        <v>500</v>
      </c>
      <c r="AB225" s="196"/>
      <c r="AC225" s="199"/>
    </row>
    <row r="226" spans="1:29" ht="20.100000000000001" customHeight="1" x14ac:dyDescent="0.25">
      <c r="A226" s="36"/>
      <c r="B226" s="141">
        <f t="shared" si="17"/>
        <v>196</v>
      </c>
      <c r="C226" s="68">
        <v>389</v>
      </c>
      <c r="D226" s="110" t="str">
        <f>HYPERLINK("https://sites.wustl.edu/meteoritesite/items/lm_nwa_02420/",W226)</f>
        <v>Northwest Africa 2420</v>
      </c>
      <c r="E226" s="376" t="s">
        <v>603</v>
      </c>
      <c r="F226" s="377"/>
      <c r="G226" s="377"/>
      <c r="H226" s="378"/>
      <c r="I226" s="286"/>
      <c r="J226" s="155"/>
      <c r="K226" s="155"/>
      <c r="L226" s="156"/>
      <c r="M226" s="379">
        <v>395</v>
      </c>
      <c r="N226" s="400"/>
      <c r="O226" s="381" t="s">
        <v>816</v>
      </c>
      <c r="P226" s="382"/>
      <c r="Q226" s="383"/>
      <c r="R226" s="376" t="s">
        <v>6</v>
      </c>
      <c r="S226" s="378"/>
      <c r="T226" s="157">
        <v>0</v>
      </c>
      <c r="U226" s="35">
        <v>1</v>
      </c>
      <c r="W226" s="110" t="s">
        <v>695</v>
      </c>
      <c r="X226" s="61"/>
      <c r="Y226" s="243">
        <v>395</v>
      </c>
      <c r="Z226" s="243">
        <f t="shared" si="42"/>
        <v>395</v>
      </c>
      <c r="AB226" s="196"/>
      <c r="AC226" s="199"/>
    </row>
    <row r="227" spans="1:29" ht="20.100000000000001" customHeight="1" x14ac:dyDescent="0.25">
      <c r="A227" s="36"/>
      <c r="B227" s="128">
        <f>B226+1</f>
        <v>197</v>
      </c>
      <c r="C227" s="68">
        <v>333</v>
      </c>
      <c r="D227" s="110" t="str">
        <f>HYPERLINK("https://sites.wustl.edu/meteoritesite/items/lm_nwa_08046_clan/",W227)</f>
        <v>Northwest Africa 2425</v>
      </c>
      <c r="E227" s="376" t="s">
        <v>571</v>
      </c>
      <c r="F227" s="377"/>
      <c r="G227" s="377"/>
      <c r="H227" s="378"/>
      <c r="I227" s="286"/>
      <c r="J227" s="155"/>
      <c r="K227" s="155"/>
      <c r="L227" s="156"/>
      <c r="M227" s="379">
        <v>810</v>
      </c>
      <c r="N227" s="400"/>
      <c r="O227" s="381" t="s">
        <v>818</v>
      </c>
      <c r="P227" s="382"/>
      <c r="Q227" s="383"/>
      <c r="R227" s="376" t="s">
        <v>6</v>
      </c>
      <c r="S227" s="378"/>
      <c r="T227" s="157">
        <v>0</v>
      </c>
      <c r="U227" s="35">
        <v>1</v>
      </c>
      <c r="W227" s="110" t="s">
        <v>593</v>
      </c>
      <c r="X227" s="61"/>
      <c r="Y227" s="243">
        <v>810</v>
      </c>
      <c r="Z227" s="243">
        <f t="shared" si="42"/>
        <v>810</v>
      </c>
      <c r="AB227" s="196"/>
      <c r="AC227" s="199"/>
    </row>
    <row r="228" spans="1:29" ht="20.100000000000001" customHeight="1" x14ac:dyDescent="0.25">
      <c r="A228" s="36"/>
      <c r="B228" s="128">
        <f>B227+1</f>
        <v>198</v>
      </c>
      <c r="C228" s="68">
        <v>91</v>
      </c>
      <c r="D228" s="64" t="str">
        <f>HYPERLINK("https://sites.wustl.edu/meteoritesite/items/lm_nwa_00773_clan/",W228)</f>
        <v>Northwest Africa 2700</v>
      </c>
      <c r="E228" s="376" t="s">
        <v>76</v>
      </c>
      <c r="F228" s="377"/>
      <c r="G228" s="377"/>
      <c r="H228" s="378"/>
      <c r="I228" s="412"/>
      <c r="J228" s="413"/>
      <c r="K228" s="413"/>
      <c r="L228" s="414"/>
      <c r="M228" s="379">
        <v>31.7</v>
      </c>
      <c r="N228" s="400"/>
      <c r="O228" s="381" t="s">
        <v>817</v>
      </c>
      <c r="P228" s="382"/>
      <c r="Q228" s="383"/>
      <c r="R228" s="376" t="s">
        <v>1580</v>
      </c>
      <c r="S228" s="378"/>
      <c r="T228" s="157" t="s">
        <v>25</v>
      </c>
      <c r="U228" s="35">
        <v>1</v>
      </c>
      <c r="W228" s="110" t="s">
        <v>257</v>
      </c>
      <c r="X228" s="61"/>
      <c r="Y228" s="243">
        <v>31.7</v>
      </c>
      <c r="Z228" s="243">
        <f t="shared" si="42"/>
        <v>31.7</v>
      </c>
      <c r="AB228" s="196"/>
      <c r="AC228" s="199"/>
    </row>
    <row r="229" spans="1:29" ht="20.100000000000001" customHeight="1" x14ac:dyDescent="0.25">
      <c r="A229" s="36"/>
      <c r="B229" s="141">
        <f t="shared" si="17"/>
        <v>199</v>
      </c>
      <c r="C229" s="86">
        <v>84</v>
      </c>
      <c r="D229" s="64" t="str">
        <f>HYPERLINK("https://sites.wustl.edu/meteoritesite/items/lm_nwa_00773_clan/",W229)</f>
        <v>Northwest Africa 2727</v>
      </c>
      <c r="E229" s="376" t="s">
        <v>76</v>
      </c>
      <c r="F229" s="377"/>
      <c r="G229" s="377"/>
      <c r="H229" s="378"/>
      <c r="I229" s="412"/>
      <c r="J229" s="413"/>
      <c r="K229" s="413"/>
      <c r="L229" s="414"/>
      <c r="M229" s="379" t="s">
        <v>98</v>
      </c>
      <c r="N229" s="400"/>
      <c r="O229" s="773" t="s">
        <v>926</v>
      </c>
      <c r="P229" s="774"/>
      <c r="Q229" s="775"/>
      <c r="R229" s="376" t="s">
        <v>1580</v>
      </c>
      <c r="S229" s="378"/>
      <c r="T229" s="330">
        <v>1</v>
      </c>
      <c r="U229" s="35">
        <v>1</v>
      </c>
      <c r="W229" s="64" t="s">
        <v>258</v>
      </c>
      <c r="X229" s="61"/>
      <c r="Y229" s="243">
        <v>191.2</v>
      </c>
      <c r="Z229" s="243">
        <f t="shared" si="42"/>
        <v>191.2</v>
      </c>
      <c r="AB229" s="196"/>
      <c r="AC229" s="199"/>
    </row>
    <row r="230" spans="1:29" ht="20.100000000000001" customHeight="1" x14ac:dyDescent="0.25">
      <c r="A230" s="36"/>
      <c r="B230" s="141">
        <f t="shared" si="17"/>
        <v>200</v>
      </c>
      <c r="C230" s="86">
        <v>85</v>
      </c>
      <c r="D230" s="64" t="str">
        <f>HYPERLINK("https://sites.wustl.edu/meteoritesite/items/lm_nwa_00773_clan/",W230)</f>
        <v>Northwest Africa 2977</v>
      </c>
      <c r="E230" s="376" t="s">
        <v>76</v>
      </c>
      <c r="F230" s="377"/>
      <c r="G230" s="377"/>
      <c r="H230" s="378"/>
      <c r="I230" s="412" t="s">
        <v>4</v>
      </c>
      <c r="J230" s="413"/>
      <c r="K230" s="413"/>
      <c r="L230" s="414"/>
      <c r="M230" s="379">
        <v>233</v>
      </c>
      <c r="N230" s="400"/>
      <c r="O230" s="381" t="s">
        <v>927</v>
      </c>
      <c r="P230" s="382"/>
      <c r="Q230" s="383"/>
      <c r="R230" s="376" t="s">
        <v>396</v>
      </c>
      <c r="S230" s="378"/>
      <c r="T230" s="157">
        <v>1</v>
      </c>
      <c r="U230" s="35">
        <v>1</v>
      </c>
      <c r="W230" s="110" t="s">
        <v>259</v>
      </c>
      <c r="X230" s="61"/>
      <c r="Y230" s="243">
        <v>233</v>
      </c>
      <c r="Z230" s="243">
        <f t="shared" si="42"/>
        <v>233</v>
      </c>
      <c r="AB230" s="196"/>
      <c r="AC230" s="199"/>
    </row>
    <row r="231" spans="1:29" ht="20.100000000000001" customHeight="1" x14ac:dyDescent="0.25">
      <c r="A231" s="36"/>
      <c r="B231" s="128">
        <f t="shared" si="17"/>
        <v>201</v>
      </c>
      <c r="C231" s="68">
        <v>86</v>
      </c>
      <c r="D231" s="64" t="str">
        <f>HYPERLINK("https://sites.wustl.edu/meteoritesite/items/lm_nwa_02995_clan/",W231)</f>
        <v>Northwest Africa 2995</v>
      </c>
      <c r="E231" s="376" t="s">
        <v>416</v>
      </c>
      <c r="F231" s="377"/>
      <c r="G231" s="377"/>
      <c r="H231" s="378"/>
      <c r="I231" s="412"/>
      <c r="J231" s="413"/>
      <c r="K231" s="413"/>
      <c r="L231" s="414"/>
      <c r="M231" s="379">
        <v>538</v>
      </c>
      <c r="N231" s="400"/>
      <c r="O231" s="381" t="s">
        <v>927</v>
      </c>
      <c r="P231" s="382"/>
      <c r="Q231" s="383"/>
      <c r="R231" s="376" t="s">
        <v>1573</v>
      </c>
      <c r="S231" s="378"/>
      <c r="T231" s="157">
        <v>1</v>
      </c>
      <c r="U231" s="35">
        <v>1</v>
      </c>
      <c r="W231" s="110" t="s">
        <v>26</v>
      </c>
      <c r="X231" s="61"/>
      <c r="Y231" s="243">
        <v>538</v>
      </c>
      <c r="Z231" s="243">
        <f t="shared" si="42"/>
        <v>538</v>
      </c>
      <c r="AB231" s="196"/>
      <c r="AC231" s="199"/>
    </row>
    <row r="232" spans="1:29" ht="20.100000000000001" customHeight="1" x14ac:dyDescent="0.25">
      <c r="A232" s="36"/>
      <c r="B232" s="128">
        <f t="shared" si="17"/>
        <v>202</v>
      </c>
      <c r="C232" s="68">
        <v>120</v>
      </c>
      <c r="D232" s="64" t="str">
        <f>HYPERLINK("https://sites.wustl.edu/meteoritesite/items/lm_nwa_02995_clan/",W232)</f>
        <v>Northwest Africa 2996</v>
      </c>
      <c r="E232" s="376" t="s">
        <v>77</v>
      </c>
      <c r="F232" s="377"/>
      <c r="G232" s="377"/>
      <c r="H232" s="378"/>
      <c r="I232" s="412"/>
      <c r="J232" s="413"/>
      <c r="K232" s="413"/>
      <c r="L232" s="414"/>
      <c r="M232" s="379">
        <v>968</v>
      </c>
      <c r="N232" s="400"/>
      <c r="O232" s="381" t="s">
        <v>928</v>
      </c>
      <c r="P232" s="382"/>
      <c r="Q232" s="383"/>
      <c r="R232" s="376" t="s">
        <v>1573</v>
      </c>
      <c r="S232" s="378"/>
      <c r="T232" s="157">
        <v>1</v>
      </c>
      <c r="U232" s="35">
        <v>1</v>
      </c>
      <c r="W232" s="110" t="s">
        <v>260</v>
      </c>
      <c r="X232" s="61"/>
      <c r="Y232" s="243">
        <v>968</v>
      </c>
      <c r="Z232" s="243">
        <f t="shared" si="42"/>
        <v>968</v>
      </c>
      <c r="AB232" s="196"/>
      <c r="AC232" s="199"/>
    </row>
    <row r="233" spans="1:29" ht="20.100000000000001" customHeight="1" x14ac:dyDescent="0.25">
      <c r="A233" s="36"/>
      <c r="B233" s="128">
        <f t="shared" si="17"/>
        <v>203</v>
      </c>
      <c r="C233" s="68">
        <v>97</v>
      </c>
      <c r="D233" s="64" t="str">
        <f>HYPERLINK("https://sites.wustl.edu/meteoritesite/items/lm_nwa_02998/",W233)</f>
        <v>Northwest Africa 2998</v>
      </c>
      <c r="E233" s="376" t="s">
        <v>159</v>
      </c>
      <c r="F233" s="377"/>
      <c r="G233" s="377"/>
      <c r="H233" s="378"/>
      <c r="I233" s="376"/>
      <c r="J233" s="377"/>
      <c r="K233" s="377"/>
      <c r="L233" s="378"/>
      <c r="M233" s="379">
        <v>163</v>
      </c>
      <c r="N233" s="400"/>
      <c r="O233" s="381" t="s">
        <v>929</v>
      </c>
      <c r="P233" s="382"/>
      <c r="Q233" s="383"/>
      <c r="R233" s="376" t="s">
        <v>6</v>
      </c>
      <c r="S233" s="378"/>
      <c r="T233" s="157">
        <v>1</v>
      </c>
      <c r="U233" s="35">
        <v>1</v>
      </c>
      <c r="W233" s="110" t="s">
        <v>261</v>
      </c>
      <c r="X233" s="61"/>
      <c r="Y233" s="243">
        <v>163</v>
      </c>
      <c r="Z233" s="243">
        <f t="shared" si="42"/>
        <v>163</v>
      </c>
      <c r="AB233" s="196"/>
      <c r="AC233" s="199"/>
    </row>
    <row r="234" spans="1:29" ht="36" customHeight="1" x14ac:dyDescent="0.25">
      <c r="A234" s="36"/>
      <c r="B234" s="125" t="s">
        <v>402</v>
      </c>
      <c r="C234" s="30" t="s">
        <v>1034</v>
      </c>
      <c r="D234" s="33" t="s">
        <v>915</v>
      </c>
      <c r="E234" s="420" t="s">
        <v>916</v>
      </c>
      <c r="F234" s="421"/>
      <c r="G234" s="421"/>
      <c r="H234" s="422"/>
      <c r="I234" s="423" t="s">
        <v>917</v>
      </c>
      <c r="J234" s="424"/>
      <c r="K234" s="424"/>
      <c r="L234" s="425"/>
      <c r="M234" s="430" t="s">
        <v>918</v>
      </c>
      <c r="N234" s="431"/>
      <c r="O234" s="426" t="s">
        <v>919</v>
      </c>
      <c r="P234" s="427"/>
      <c r="Q234" s="428"/>
      <c r="R234" s="423" t="s">
        <v>920</v>
      </c>
      <c r="S234" s="425"/>
      <c r="T234" s="5" t="s">
        <v>5</v>
      </c>
      <c r="Y234" s="243"/>
      <c r="AB234" s="196"/>
      <c r="AC234" s="199"/>
    </row>
    <row r="235" spans="1:29" ht="20.100000000000001" customHeight="1" x14ac:dyDescent="0.25">
      <c r="A235" s="36"/>
      <c r="B235" s="141">
        <f>B233+1</f>
        <v>204</v>
      </c>
      <c r="C235" s="86">
        <v>63</v>
      </c>
      <c r="D235" s="64" t="str">
        <f>HYPERLINK("https://sites.wustl.edu/meteoritesite/items/lm_nwa_03136/",W235)</f>
        <v>Northwest Africa 3136</v>
      </c>
      <c r="E235" s="376"/>
      <c r="F235" s="377"/>
      <c r="G235" s="377"/>
      <c r="H235" s="378"/>
      <c r="I235" s="412"/>
      <c r="J235" s="413"/>
      <c r="K235" s="413"/>
      <c r="L235" s="414"/>
      <c r="M235" s="379">
        <v>95.1</v>
      </c>
      <c r="N235" s="400"/>
      <c r="O235" s="381" t="s">
        <v>819</v>
      </c>
      <c r="P235" s="382"/>
      <c r="Q235" s="383"/>
      <c r="R235" s="376" t="s">
        <v>562</v>
      </c>
      <c r="S235" s="378"/>
      <c r="T235" s="330">
        <v>1</v>
      </c>
      <c r="U235" s="35">
        <v>1</v>
      </c>
      <c r="W235" s="64" t="s">
        <v>262</v>
      </c>
      <c r="X235" s="61"/>
      <c r="Y235" s="243">
        <v>95.1</v>
      </c>
      <c r="Z235" s="243">
        <f t="shared" si="42"/>
        <v>95.1</v>
      </c>
      <c r="AB235" s="196"/>
      <c r="AC235" s="199"/>
    </row>
    <row r="236" spans="1:29" ht="20.100000000000001" customHeight="1" x14ac:dyDescent="0.25">
      <c r="A236" s="36"/>
      <c r="B236" s="141">
        <f t="shared" si="17"/>
        <v>205</v>
      </c>
      <c r="C236" s="86">
        <v>87</v>
      </c>
      <c r="D236" s="64" t="str">
        <f>HYPERLINK("https://sites.wustl.edu/meteoritesite/items/lm_nwa_00773_clan/",W236)</f>
        <v>Northwest Africa 3160</v>
      </c>
      <c r="E236" s="376" t="s">
        <v>76</v>
      </c>
      <c r="F236" s="377"/>
      <c r="G236" s="377"/>
      <c r="H236" s="378"/>
      <c r="I236" s="412"/>
      <c r="J236" s="413"/>
      <c r="K236" s="413"/>
      <c r="L236" s="414"/>
      <c r="M236" s="379" t="s">
        <v>99</v>
      </c>
      <c r="N236" s="400"/>
      <c r="O236" s="381" t="s">
        <v>820</v>
      </c>
      <c r="P236" s="382"/>
      <c r="Q236" s="383"/>
      <c r="R236" s="376" t="s">
        <v>562</v>
      </c>
      <c r="S236" s="378"/>
      <c r="T236" s="330">
        <v>1</v>
      </c>
      <c r="U236" s="35">
        <v>1</v>
      </c>
      <c r="W236" s="64" t="s">
        <v>263</v>
      </c>
      <c r="X236" s="61"/>
      <c r="Y236" s="243">
        <v>34</v>
      </c>
      <c r="Z236" s="243">
        <f t="shared" si="42"/>
        <v>34</v>
      </c>
      <c r="AB236" s="196"/>
      <c r="AC236" s="199"/>
    </row>
    <row r="237" spans="1:29" ht="20.100000000000001" customHeight="1" x14ac:dyDescent="0.25">
      <c r="A237" s="36"/>
      <c r="B237" s="128">
        <f t="shared" si="17"/>
        <v>206</v>
      </c>
      <c r="C237" s="68">
        <v>88</v>
      </c>
      <c r="D237" s="110" t="str">
        <f>HYPERLINK("https://sites.wustl.edu/meteoritesite/items/lm_nwa_03163_clan/",W237)</f>
        <v>Northwest Africa 3163</v>
      </c>
      <c r="E237" s="376" t="s">
        <v>131</v>
      </c>
      <c r="F237" s="377"/>
      <c r="G237" s="377"/>
      <c r="H237" s="378"/>
      <c r="I237" s="412"/>
      <c r="J237" s="413"/>
      <c r="K237" s="413"/>
      <c r="L237" s="414"/>
      <c r="M237" s="379">
        <v>1634</v>
      </c>
      <c r="N237" s="400"/>
      <c r="O237" s="381" t="s">
        <v>821</v>
      </c>
      <c r="P237" s="382"/>
      <c r="Q237" s="383"/>
      <c r="R237" s="376" t="s">
        <v>6</v>
      </c>
      <c r="S237" s="378"/>
      <c r="T237" s="157">
        <v>1</v>
      </c>
      <c r="U237" s="35">
        <v>1</v>
      </c>
      <c r="W237" s="110" t="s">
        <v>27</v>
      </c>
      <c r="X237" s="61"/>
      <c r="Y237" s="243">
        <v>1634</v>
      </c>
      <c r="Z237" s="243">
        <f t="shared" si="42"/>
        <v>1634</v>
      </c>
      <c r="AB237" s="196"/>
      <c r="AC237" s="199"/>
    </row>
    <row r="238" spans="1:29" ht="20.100000000000001" customHeight="1" x14ac:dyDescent="0.25">
      <c r="A238" s="36"/>
      <c r="B238" s="128">
        <f t="shared" si="17"/>
        <v>207</v>
      </c>
      <c r="C238" s="68">
        <v>158</v>
      </c>
      <c r="D238" s="64" t="str">
        <f>HYPERLINK("https://sites.wustl.edu/meteoritesite/items/lm_nwa_00773_clan/",W238)</f>
        <v>Northwest Africa 3170</v>
      </c>
      <c r="E238" s="376" t="s">
        <v>76</v>
      </c>
      <c r="F238" s="377"/>
      <c r="G238" s="377"/>
      <c r="H238" s="378"/>
      <c r="I238" s="412"/>
      <c r="J238" s="413"/>
      <c r="K238" s="413"/>
      <c r="L238" s="414"/>
      <c r="M238" s="379">
        <v>60</v>
      </c>
      <c r="N238" s="400"/>
      <c r="O238" s="381" t="s">
        <v>822</v>
      </c>
      <c r="P238" s="382"/>
      <c r="Q238" s="383"/>
      <c r="R238" s="376" t="s">
        <v>1579</v>
      </c>
      <c r="S238" s="378"/>
      <c r="T238" s="157">
        <v>1</v>
      </c>
      <c r="U238" s="35">
        <v>1</v>
      </c>
      <c r="W238" s="110" t="s">
        <v>264</v>
      </c>
      <c r="X238" s="61"/>
      <c r="Y238" s="243">
        <v>60</v>
      </c>
      <c r="Z238" s="243">
        <f t="shared" si="42"/>
        <v>60</v>
      </c>
      <c r="AB238" s="196"/>
      <c r="AC238" s="199"/>
    </row>
    <row r="239" spans="1:29" ht="20.100000000000001" customHeight="1" x14ac:dyDescent="0.25">
      <c r="A239" s="36"/>
      <c r="B239" s="128">
        <f t="shared" si="17"/>
        <v>208</v>
      </c>
      <c r="C239" s="68">
        <v>104</v>
      </c>
      <c r="D239" s="64" t="str">
        <f>HYPERLINK("https://sites.wustl.edu/meteoritesite/items/lm_nwa_02995_clan/",W239)</f>
        <v>Northwest Africa 3190</v>
      </c>
      <c r="E239" s="376" t="s">
        <v>77</v>
      </c>
      <c r="F239" s="377"/>
      <c r="G239" s="377"/>
      <c r="H239" s="378"/>
      <c r="I239" s="412"/>
      <c r="J239" s="413"/>
      <c r="K239" s="413"/>
      <c r="L239" s="414"/>
      <c r="M239" s="379">
        <v>40.700000000000003</v>
      </c>
      <c r="N239" s="400"/>
      <c r="O239" s="381" t="s">
        <v>823</v>
      </c>
      <c r="P239" s="382"/>
      <c r="Q239" s="383"/>
      <c r="R239" s="376" t="s">
        <v>1573</v>
      </c>
      <c r="S239" s="378"/>
      <c r="T239" s="157">
        <v>1</v>
      </c>
      <c r="U239" s="35">
        <v>1</v>
      </c>
      <c r="W239" s="110" t="s">
        <v>265</v>
      </c>
      <c r="X239" s="61"/>
      <c r="Y239" s="243">
        <v>40.700000000000003</v>
      </c>
      <c r="Z239" s="243">
        <f t="shared" si="42"/>
        <v>40.700000000000003</v>
      </c>
      <c r="AB239" s="196"/>
      <c r="AC239" s="199"/>
    </row>
    <row r="240" spans="1:29" ht="20.100000000000001" customHeight="1" x14ac:dyDescent="0.25">
      <c r="A240" s="36"/>
      <c r="B240" s="128">
        <f t="shared" si="17"/>
        <v>209</v>
      </c>
      <c r="C240" s="68">
        <v>113</v>
      </c>
      <c r="D240" s="64" t="str">
        <f>HYPERLINK("https://sites.wustl.edu/meteoritesite/items/lm_nwa_00773_clan/",W240)</f>
        <v>Northwest Africa 3333</v>
      </c>
      <c r="E240" s="376" t="s">
        <v>76</v>
      </c>
      <c r="F240" s="377"/>
      <c r="G240" s="377"/>
      <c r="H240" s="378"/>
      <c r="I240" s="412"/>
      <c r="J240" s="413"/>
      <c r="K240" s="413"/>
      <c r="L240" s="414"/>
      <c r="M240" s="379">
        <v>33</v>
      </c>
      <c r="N240" s="400"/>
      <c r="O240" s="381" t="s">
        <v>824</v>
      </c>
      <c r="P240" s="382"/>
      <c r="Q240" s="383"/>
      <c r="R240" s="376" t="s">
        <v>1580</v>
      </c>
      <c r="S240" s="378"/>
      <c r="T240" s="157">
        <v>1</v>
      </c>
      <c r="U240" s="35">
        <v>1</v>
      </c>
      <c r="W240" s="110" t="s">
        <v>266</v>
      </c>
      <c r="X240" s="61"/>
      <c r="Y240" s="243">
        <v>33</v>
      </c>
      <c r="Z240" s="243">
        <f t="shared" si="42"/>
        <v>33</v>
      </c>
      <c r="AB240" s="196"/>
      <c r="AC240" s="199"/>
    </row>
    <row r="241" spans="1:29" ht="20.100000000000001" customHeight="1" x14ac:dyDescent="0.25">
      <c r="A241" s="36"/>
      <c r="B241" s="128">
        <f t="shared" si="17"/>
        <v>210</v>
      </c>
      <c r="C241" s="68">
        <v>95</v>
      </c>
      <c r="D241" s="110" t="str">
        <f>HYPERLINK("https://sites.wustl.edu/meteoritesite/items/lm_nwa_04472-4485/",W241)</f>
        <v>Northwest Africa 4472</v>
      </c>
      <c r="E241" s="376" t="s">
        <v>1097</v>
      </c>
      <c r="F241" s="377"/>
      <c r="G241" s="377"/>
      <c r="H241" s="378"/>
      <c r="I241" s="412"/>
      <c r="J241" s="413"/>
      <c r="K241" s="413"/>
      <c r="L241" s="414"/>
      <c r="M241" s="379">
        <v>64.3</v>
      </c>
      <c r="N241" s="400"/>
      <c r="O241" s="381" t="s">
        <v>825</v>
      </c>
      <c r="P241" s="382"/>
      <c r="Q241" s="383"/>
      <c r="R241" s="376" t="s">
        <v>1581</v>
      </c>
      <c r="S241" s="378"/>
      <c r="T241" s="157">
        <v>1</v>
      </c>
      <c r="U241" s="35">
        <v>1</v>
      </c>
      <c r="W241" s="110" t="s">
        <v>28</v>
      </c>
      <c r="X241" s="61"/>
      <c r="Y241" s="243">
        <v>64.3</v>
      </c>
      <c r="Z241" s="243">
        <f t="shared" si="42"/>
        <v>64.3</v>
      </c>
      <c r="AB241" s="196"/>
      <c r="AC241" s="199"/>
    </row>
    <row r="242" spans="1:29" ht="20.100000000000001" customHeight="1" x14ac:dyDescent="0.25">
      <c r="A242" s="36"/>
      <c r="B242" s="128">
        <f t="shared" si="17"/>
        <v>211</v>
      </c>
      <c r="C242" s="68">
        <v>121</v>
      </c>
      <c r="D242" s="110" t="str">
        <f>HYPERLINK("https://sites.wustl.edu/meteoritesite/items/lm_nwa_03163_clan/",W242)</f>
        <v>Northwest Africa 4483</v>
      </c>
      <c r="E242" s="376" t="s">
        <v>970</v>
      </c>
      <c r="F242" s="377"/>
      <c r="G242" s="377"/>
      <c r="H242" s="378"/>
      <c r="I242" s="412"/>
      <c r="J242" s="413"/>
      <c r="K242" s="413"/>
      <c r="L242" s="414"/>
      <c r="M242" s="379" t="s">
        <v>117</v>
      </c>
      <c r="N242" s="400"/>
      <c r="O242" s="381" t="s">
        <v>825</v>
      </c>
      <c r="P242" s="382"/>
      <c r="Q242" s="383"/>
      <c r="R242" s="376" t="s">
        <v>6</v>
      </c>
      <c r="S242" s="378"/>
      <c r="T242" s="157">
        <v>1</v>
      </c>
      <c r="U242" s="35">
        <v>1</v>
      </c>
      <c r="W242" s="110" t="s">
        <v>267</v>
      </c>
      <c r="X242" s="61"/>
      <c r="Y242" s="243">
        <v>208</v>
      </c>
      <c r="Z242" s="243">
        <f t="shared" si="42"/>
        <v>208</v>
      </c>
      <c r="AB242" s="196"/>
      <c r="AC242" s="199"/>
    </row>
    <row r="243" spans="1:29" ht="20.100000000000001" customHeight="1" x14ac:dyDescent="0.25">
      <c r="A243" s="36"/>
      <c r="B243" s="128">
        <f t="shared" si="17"/>
        <v>212</v>
      </c>
      <c r="C243" s="68">
        <v>96</v>
      </c>
      <c r="D243" s="110" t="str">
        <f>HYPERLINK("https://sites.wustl.edu/meteoritesite/items/lm_nwa_04472-4485/",W243)</f>
        <v>Northwest Africa 4485</v>
      </c>
      <c r="E243" s="376" t="s">
        <v>1098</v>
      </c>
      <c r="F243" s="377"/>
      <c r="G243" s="377"/>
      <c r="H243" s="378"/>
      <c r="I243" s="412"/>
      <c r="J243" s="413"/>
      <c r="K243" s="413"/>
      <c r="L243" s="414"/>
      <c r="M243" s="379">
        <v>188</v>
      </c>
      <c r="N243" s="400"/>
      <c r="O243" s="381" t="s">
        <v>826</v>
      </c>
      <c r="P243" s="382"/>
      <c r="Q243" s="383"/>
      <c r="R243" s="376" t="s">
        <v>1581</v>
      </c>
      <c r="S243" s="378"/>
      <c r="T243" s="157">
        <v>1</v>
      </c>
      <c r="U243" s="35">
        <v>1</v>
      </c>
      <c r="W243" s="110" t="s">
        <v>268</v>
      </c>
      <c r="X243" s="61"/>
      <c r="Y243" s="243">
        <v>188</v>
      </c>
      <c r="Z243" s="243">
        <f t="shared" si="42"/>
        <v>188</v>
      </c>
      <c r="AB243" s="196"/>
      <c r="AC243" s="199"/>
    </row>
    <row r="244" spans="1:29" ht="20.100000000000001" customHeight="1" x14ac:dyDescent="0.25">
      <c r="A244" s="36"/>
      <c r="B244" s="128">
        <f t="shared" si="17"/>
        <v>213</v>
      </c>
      <c r="C244" s="68">
        <v>105</v>
      </c>
      <c r="D244" s="110" t="str">
        <f>HYPERLINK("https://sites.wustl.edu/meteoritesite/items/lm_nwa_02995_clan/",W244)</f>
        <v>Northwest Africa 4503</v>
      </c>
      <c r="E244" s="376" t="s">
        <v>130</v>
      </c>
      <c r="F244" s="377"/>
      <c r="G244" s="377"/>
      <c r="H244" s="378"/>
      <c r="I244" s="412"/>
      <c r="J244" s="413"/>
      <c r="K244" s="413"/>
      <c r="L244" s="414"/>
      <c r="M244" s="379">
        <v>70</v>
      </c>
      <c r="N244" s="400"/>
      <c r="O244" s="381" t="s">
        <v>827</v>
      </c>
      <c r="P244" s="382"/>
      <c r="Q244" s="383"/>
      <c r="R244" s="376" t="s">
        <v>1573</v>
      </c>
      <c r="S244" s="378"/>
      <c r="T244" s="157">
        <v>1</v>
      </c>
      <c r="U244" s="35">
        <v>1</v>
      </c>
      <c r="W244" s="110" t="s">
        <v>269</v>
      </c>
      <c r="X244" s="61"/>
      <c r="Y244" s="243">
        <v>70</v>
      </c>
      <c r="Z244" s="243">
        <f t="shared" si="42"/>
        <v>70</v>
      </c>
      <c r="AB244" s="196"/>
      <c r="AC244" s="199"/>
    </row>
    <row r="245" spans="1:29" ht="20.100000000000001" customHeight="1" x14ac:dyDescent="0.25">
      <c r="A245" s="36"/>
      <c r="B245" s="128">
        <f t="shared" si="17"/>
        <v>214</v>
      </c>
      <c r="C245" s="68">
        <v>106</v>
      </c>
      <c r="D245" s="110" t="str">
        <f>HYPERLINK("https://sites.wustl.edu/meteoritesite/items/lm_nwa_04734-10597/",W245)</f>
        <v>Northwest Africa 4734</v>
      </c>
      <c r="E245" s="376">
        <v>10597</v>
      </c>
      <c r="F245" s="377"/>
      <c r="G245" s="377"/>
      <c r="H245" s="378"/>
      <c r="I245" s="376" t="s">
        <v>1861</v>
      </c>
      <c r="J245" s="377"/>
      <c r="K245" s="377"/>
      <c r="L245" s="378"/>
      <c r="M245" s="379" t="s">
        <v>539</v>
      </c>
      <c r="N245" s="400"/>
      <c r="O245" s="773" t="s">
        <v>954</v>
      </c>
      <c r="P245" s="774"/>
      <c r="Q245" s="775"/>
      <c r="R245" s="376" t="s">
        <v>8</v>
      </c>
      <c r="S245" s="378"/>
      <c r="T245" s="157">
        <v>1</v>
      </c>
      <c r="U245" s="35">
        <v>1</v>
      </c>
      <c r="W245" s="110" t="s">
        <v>270</v>
      </c>
      <c r="X245" s="61"/>
      <c r="Y245" s="243">
        <v>1372</v>
      </c>
      <c r="Z245" s="243">
        <f t="shared" si="42"/>
        <v>1372</v>
      </c>
      <c r="AB245" s="196"/>
      <c r="AC245" s="199"/>
    </row>
    <row r="246" spans="1:29" ht="20.100000000000001" customHeight="1" x14ac:dyDescent="0.25">
      <c r="A246" s="36"/>
      <c r="B246" s="141">
        <f t="shared" si="17"/>
        <v>215</v>
      </c>
      <c r="C246" s="86">
        <v>107</v>
      </c>
      <c r="D246" s="110" t="str">
        <f>HYPERLINK("https://sites.wustl.edu/meteoritesite/items/lm_nwa_04819/",W246)</f>
        <v>Northwest Africa 4819</v>
      </c>
      <c r="E246" s="376"/>
      <c r="F246" s="377"/>
      <c r="G246" s="377"/>
      <c r="H246" s="378"/>
      <c r="I246" s="412"/>
      <c r="J246" s="413"/>
      <c r="K246" s="413"/>
      <c r="L246" s="414"/>
      <c r="M246" s="379">
        <v>234</v>
      </c>
      <c r="N246" s="400"/>
      <c r="O246" s="381" t="s">
        <v>828</v>
      </c>
      <c r="P246" s="382"/>
      <c r="Q246" s="383"/>
      <c r="R246" s="376" t="s">
        <v>6</v>
      </c>
      <c r="S246" s="378"/>
      <c r="T246" s="330">
        <v>1</v>
      </c>
      <c r="U246" s="35">
        <v>1</v>
      </c>
      <c r="W246" s="64" t="s">
        <v>271</v>
      </c>
      <c r="X246" s="61"/>
      <c r="Y246" s="243">
        <v>234</v>
      </c>
      <c r="Z246" s="243">
        <f t="shared" si="42"/>
        <v>234</v>
      </c>
      <c r="AB246" s="196"/>
      <c r="AC246" s="199"/>
    </row>
    <row r="247" spans="1:29" ht="20.100000000000001" customHeight="1" x14ac:dyDescent="0.25">
      <c r="A247" s="36"/>
      <c r="B247" s="128">
        <f t="shared" si="17"/>
        <v>216</v>
      </c>
      <c r="C247" s="68">
        <v>108</v>
      </c>
      <c r="D247" s="110" t="str">
        <f>HYPERLINK("https://sites.wustl.edu/meteoritesite/items/lm_nwa_03163_clan/",W247)</f>
        <v>Northwest Africa 4881</v>
      </c>
      <c r="E247" s="376" t="s">
        <v>970</v>
      </c>
      <c r="F247" s="377"/>
      <c r="G247" s="377"/>
      <c r="H247" s="378"/>
      <c r="I247" s="412"/>
      <c r="J247" s="413"/>
      <c r="K247" s="413"/>
      <c r="L247" s="414"/>
      <c r="M247" s="379">
        <v>606</v>
      </c>
      <c r="N247" s="400"/>
      <c r="O247" s="773" t="s">
        <v>930</v>
      </c>
      <c r="P247" s="774"/>
      <c r="Q247" s="775"/>
      <c r="R247" s="376" t="s">
        <v>6</v>
      </c>
      <c r="S247" s="378"/>
      <c r="T247" s="157">
        <v>1</v>
      </c>
      <c r="U247" s="35">
        <v>1</v>
      </c>
      <c r="W247" s="110" t="s">
        <v>272</v>
      </c>
      <c r="X247" s="61"/>
      <c r="Y247" s="243">
        <v>606</v>
      </c>
      <c r="Z247" s="243">
        <f t="shared" si="42"/>
        <v>606</v>
      </c>
      <c r="AB247" s="196"/>
      <c r="AC247" s="199"/>
    </row>
    <row r="248" spans="1:29" ht="20.100000000000001" customHeight="1" x14ac:dyDescent="0.25">
      <c r="A248" s="36"/>
      <c r="B248" s="141">
        <f t="shared" si="17"/>
        <v>217</v>
      </c>
      <c r="C248" s="86">
        <v>109</v>
      </c>
      <c r="D248" s="110" t="str">
        <f>HYPERLINK("https://sites.wustl.edu/meteoritesite/items/lm_nwa_04884/",W248)</f>
        <v>Northwest Africa 4884</v>
      </c>
      <c r="E248" s="376"/>
      <c r="F248" s="377"/>
      <c r="G248" s="377"/>
      <c r="H248" s="378"/>
      <c r="I248" s="376" t="s">
        <v>630</v>
      </c>
      <c r="J248" s="377"/>
      <c r="K248" s="377"/>
      <c r="L248" s="378"/>
      <c r="M248" s="379">
        <v>42</v>
      </c>
      <c r="N248" s="400"/>
      <c r="O248" s="381" t="s">
        <v>829</v>
      </c>
      <c r="P248" s="382"/>
      <c r="Q248" s="383"/>
      <c r="R248" s="376" t="s">
        <v>562</v>
      </c>
      <c r="S248" s="378"/>
      <c r="T248" s="330">
        <v>1</v>
      </c>
      <c r="U248" s="35">
        <v>1</v>
      </c>
      <c r="W248" s="64" t="s">
        <v>273</v>
      </c>
      <c r="X248" s="61"/>
      <c r="Y248" s="243">
        <v>42</v>
      </c>
      <c r="Z248" s="243">
        <f t="shared" si="42"/>
        <v>42</v>
      </c>
      <c r="AB248" s="196"/>
      <c r="AC248" s="199"/>
    </row>
    <row r="249" spans="1:29" ht="20.100000000000001" customHeight="1" x14ac:dyDescent="0.25">
      <c r="A249" s="36"/>
      <c r="B249" s="128">
        <f t="shared" si="17"/>
        <v>218</v>
      </c>
      <c r="C249" s="68">
        <v>110</v>
      </c>
      <c r="D249" s="110" t="str">
        <f>HYPERLINK("https://sites.wustl.edu/meteoritesite/items/lm_nwa_04898/",W249)</f>
        <v>Northwest Africa 4898</v>
      </c>
      <c r="E249" s="376"/>
      <c r="F249" s="377"/>
      <c r="G249" s="377"/>
      <c r="H249" s="378"/>
      <c r="I249" s="412"/>
      <c r="J249" s="413"/>
      <c r="K249" s="413"/>
      <c r="L249" s="414"/>
      <c r="M249" s="379">
        <v>137</v>
      </c>
      <c r="N249" s="400"/>
      <c r="O249" s="381" t="s">
        <v>830</v>
      </c>
      <c r="P249" s="382"/>
      <c r="Q249" s="383"/>
      <c r="R249" s="376" t="s">
        <v>8</v>
      </c>
      <c r="S249" s="378"/>
      <c r="T249" s="157">
        <v>1</v>
      </c>
      <c r="U249" s="35">
        <v>1</v>
      </c>
      <c r="W249" s="110" t="s">
        <v>274</v>
      </c>
      <c r="X249" s="61"/>
      <c r="Y249" s="243">
        <v>137</v>
      </c>
      <c r="Z249" s="243">
        <f t="shared" si="42"/>
        <v>137</v>
      </c>
      <c r="AB249" s="196"/>
      <c r="AC249" s="199"/>
    </row>
    <row r="250" spans="1:29" ht="20.100000000000001" customHeight="1" x14ac:dyDescent="0.25">
      <c r="A250" s="36"/>
      <c r="B250" s="128">
        <f t="shared" si="17"/>
        <v>219</v>
      </c>
      <c r="C250" s="68">
        <v>114</v>
      </c>
      <c r="D250" s="110" t="str">
        <f>HYPERLINK("https://sites.wustl.edu/meteoritesite/items/lm_nwa_04932/",W250)</f>
        <v>Northwest Africa 4932</v>
      </c>
      <c r="E250" s="376"/>
      <c r="F250" s="377"/>
      <c r="G250" s="377"/>
      <c r="H250" s="378"/>
      <c r="I250" s="376"/>
      <c r="J250" s="377"/>
      <c r="K250" s="377"/>
      <c r="L250" s="378"/>
      <c r="M250" s="379">
        <v>93.3</v>
      </c>
      <c r="N250" s="400"/>
      <c r="O250" s="381" t="s">
        <v>831</v>
      </c>
      <c r="P250" s="382"/>
      <c r="Q250" s="383"/>
      <c r="R250" s="376" t="s">
        <v>1582</v>
      </c>
      <c r="S250" s="378"/>
      <c r="T250" s="157">
        <v>1</v>
      </c>
      <c r="U250" s="35">
        <v>1</v>
      </c>
      <c r="W250" s="110" t="s">
        <v>275</v>
      </c>
      <c r="X250" s="61"/>
      <c r="Y250" s="243">
        <v>93.3</v>
      </c>
      <c r="Z250" s="243">
        <f t="shared" si="42"/>
        <v>93.3</v>
      </c>
      <c r="AB250" s="196"/>
      <c r="AC250" s="199"/>
    </row>
    <row r="251" spans="1:29" ht="20.100000000000001" customHeight="1" x14ac:dyDescent="0.25">
      <c r="A251" s="36"/>
      <c r="B251" s="141">
        <f t="shared" si="17"/>
        <v>220</v>
      </c>
      <c r="C251" s="86">
        <v>115</v>
      </c>
      <c r="D251" s="110" t="str">
        <f>HYPERLINK("https://sites.wustl.edu/meteoritesite/items/lm_nwa_04936_clan/",W251)</f>
        <v>Northwest Africa 4936</v>
      </c>
      <c r="E251" s="376" t="s">
        <v>132</v>
      </c>
      <c r="F251" s="377"/>
      <c r="G251" s="377"/>
      <c r="H251" s="378"/>
      <c r="I251" s="412"/>
      <c r="J251" s="413"/>
      <c r="K251" s="413"/>
      <c r="L251" s="414"/>
      <c r="M251" s="379" t="s">
        <v>100</v>
      </c>
      <c r="N251" s="400"/>
      <c r="O251" s="381" t="s">
        <v>832</v>
      </c>
      <c r="P251" s="382"/>
      <c r="Q251" s="383"/>
      <c r="R251" s="376" t="s">
        <v>6</v>
      </c>
      <c r="S251" s="378"/>
      <c r="T251" s="330">
        <v>1</v>
      </c>
      <c r="U251" s="35">
        <v>1</v>
      </c>
      <c r="W251" s="64" t="s">
        <v>29</v>
      </c>
      <c r="X251" s="61"/>
      <c r="Y251" s="243">
        <v>179</v>
      </c>
      <c r="Z251" s="243">
        <f t="shared" si="42"/>
        <v>179</v>
      </c>
      <c r="AB251" s="196"/>
      <c r="AC251" s="199"/>
    </row>
    <row r="252" spans="1:29" ht="36" customHeight="1" x14ac:dyDescent="0.25">
      <c r="A252" s="36"/>
      <c r="B252" s="125" t="s">
        <v>402</v>
      </c>
      <c r="C252" s="30" t="s">
        <v>1034</v>
      </c>
      <c r="D252" s="33" t="s">
        <v>915</v>
      </c>
      <c r="E252" s="420" t="s">
        <v>916</v>
      </c>
      <c r="F252" s="421"/>
      <c r="G252" s="421"/>
      <c r="H252" s="422"/>
      <c r="I252" s="423" t="s">
        <v>917</v>
      </c>
      <c r="J252" s="424"/>
      <c r="K252" s="424"/>
      <c r="L252" s="425"/>
      <c r="M252" s="430" t="s">
        <v>918</v>
      </c>
      <c r="N252" s="431"/>
      <c r="O252" s="426" t="s">
        <v>919</v>
      </c>
      <c r="P252" s="427"/>
      <c r="Q252" s="428"/>
      <c r="R252" s="423" t="s">
        <v>920</v>
      </c>
      <c r="S252" s="425"/>
      <c r="T252" s="5" t="s">
        <v>5</v>
      </c>
      <c r="Y252" s="243"/>
      <c r="AB252" s="196"/>
      <c r="AC252" s="199"/>
    </row>
    <row r="253" spans="1:29" ht="20.100000000000001" customHeight="1" x14ac:dyDescent="0.25">
      <c r="A253" s="36"/>
      <c r="B253" s="128">
        <f>B251+1</f>
        <v>221</v>
      </c>
      <c r="C253" s="68">
        <v>112</v>
      </c>
      <c r="D253" s="64" t="str">
        <f>HYPERLINK("https://sites.wustl.edu/meteoritesite/items/lm_nwa_05000/",W253)</f>
        <v>Northwest Africa 5000</v>
      </c>
      <c r="E253" s="376"/>
      <c r="F253" s="377"/>
      <c r="G253" s="377"/>
      <c r="H253" s="378"/>
      <c r="I253" s="376" t="s">
        <v>644</v>
      </c>
      <c r="J253" s="377"/>
      <c r="K253" s="377"/>
      <c r="L253" s="378"/>
      <c r="M253" s="401">
        <v>11528</v>
      </c>
      <c r="N253" s="462"/>
      <c r="O253" s="381" t="s">
        <v>833</v>
      </c>
      <c r="P253" s="382"/>
      <c r="Q253" s="383"/>
      <c r="R253" s="376" t="s">
        <v>407</v>
      </c>
      <c r="S253" s="378"/>
      <c r="T253" s="157">
        <v>1</v>
      </c>
      <c r="U253" s="35">
        <v>1</v>
      </c>
      <c r="W253" s="110" t="s">
        <v>276</v>
      </c>
      <c r="X253" s="61"/>
      <c r="Y253" s="243">
        <v>11528</v>
      </c>
      <c r="Z253" s="243">
        <f t="shared" si="42"/>
        <v>11528</v>
      </c>
      <c r="AB253" s="196"/>
      <c r="AC253" s="199"/>
    </row>
    <row r="254" spans="1:29" ht="20.100000000000001" customHeight="1" x14ac:dyDescent="0.25">
      <c r="A254" s="36"/>
      <c r="B254" s="128">
        <f t="shared" ref="B254:B317" si="45">B253+1</f>
        <v>222</v>
      </c>
      <c r="C254" s="68">
        <v>116</v>
      </c>
      <c r="D254" s="64" t="str">
        <f>HYPERLINK("https://sites.wustl.edu/meteoritesite/items/lm_nwa_02995_clan/",W254)</f>
        <v>Northwest Africa 5151</v>
      </c>
      <c r="E254" s="376" t="s">
        <v>77</v>
      </c>
      <c r="F254" s="377"/>
      <c r="G254" s="377"/>
      <c r="H254" s="378"/>
      <c r="I254" s="412"/>
      <c r="J254" s="413"/>
      <c r="K254" s="413"/>
      <c r="L254" s="414"/>
      <c r="M254" s="379">
        <v>289</v>
      </c>
      <c r="N254" s="400"/>
      <c r="O254" s="381" t="s">
        <v>830</v>
      </c>
      <c r="P254" s="382"/>
      <c r="Q254" s="383"/>
      <c r="R254" s="376" t="s">
        <v>1573</v>
      </c>
      <c r="S254" s="378"/>
      <c r="T254" s="157">
        <v>1</v>
      </c>
      <c r="U254" s="35">
        <v>1</v>
      </c>
      <c r="W254" s="110" t="s">
        <v>277</v>
      </c>
      <c r="X254" s="61"/>
      <c r="Y254" s="243">
        <v>289</v>
      </c>
      <c r="Z254" s="243">
        <f t="shared" si="42"/>
        <v>289</v>
      </c>
      <c r="AB254" s="196"/>
      <c r="AC254" s="199"/>
    </row>
    <row r="255" spans="1:29" ht="20.100000000000001" customHeight="1" x14ac:dyDescent="0.25">
      <c r="A255" s="36"/>
      <c r="B255" s="128">
        <f t="shared" si="45"/>
        <v>223</v>
      </c>
      <c r="C255" s="68">
        <v>117</v>
      </c>
      <c r="D255" s="64" t="str">
        <f>HYPERLINK("https://sites.wustl.edu/meteoritesite/items/lm_nwa_02995_clan/",W255)</f>
        <v>Northwest Africa 5152</v>
      </c>
      <c r="E255" s="376" t="s">
        <v>77</v>
      </c>
      <c r="F255" s="377"/>
      <c r="G255" s="377"/>
      <c r="H255" s="378"/>
      <c r="I255" s="412"/>
      <c r="J255" s="413"/>
      <c r="K255" s="413"/>
      <c r="L255" s="414"/>
      <c r="M255" s="379">
        <v>38</v>
      </c>
      <c r="N255" s="400"/>
      <c r="O255" s="381" t="s">
        <v>834</v>
      </c>
      <c r="P255" s="382"/>
      <c r="Q255" s="383"/>
      <c r="R255" s="376" t="s">
        <v>1573</v>
      </c>
      <c r="S255" s="378"/>
      <c r="T255" s="157">
        <v>1</v>
      </c>
      <c r="U255" s="35">
        <v>1</v>
      </c>
      <c r="W255" s="110" t="s">
        <v>278</v>
      </c>
      <c r="X255" s="61"/>
      <c r="Y255" s="243">
        <v>38</v>
      </c>
      <c r="Z255" s="243">
        <f t="shared" si="42"/>
        <v>38</v>
      </c>
      <c r="AB255" s="196"/>
      <c r="AC255" s="199"/>
    </row>
    <row r="256" spans="1:29" ht="20.100000000000001" customHeight="1" x14ac:dyDescent="0.25">
      <c r="A256" s="36"/>
      <c r="B256" s="128">
        <f t="shared" si="45"/>
        <v>224</v>
      </c>
      <c r="C256" s="68">
        <v>118</v>
      </c>
      <c r="D256" s="64" t="str">
        <f>HYPERLINK("https://sites.wustl.edu/meteoritesite/items/lm_nwa_05153/",W256)</f>
        <v>Northwest Africa 5153</v>
      </c>
      <c r="E256" s="376" t="s">
        <v>78</v>
      </c>
      <c r="F256" s="377"/>
      <c r="G256" s="377"/>
      <c r="H256" s="378"/>
      <c r="I256" s="412"/>
      <c r="J256" s="413"/>
      <c r="K256" s="413"/>
      <c r="L256" s="414"/>
      <c r="M256" s="379">
        <v>50.4</v>
      </c>
      <c r="N256" s="400"/>
      <c r="O256" s="381" t="s">
        <v>835</v>
      </c>
      <c r="P256" s="382"/>
      <c r="Q256" s="383"/>
      <c r="R256" s="376" t="s">
        <v>1573</v>
      </c>
      <c r="S256" s="378"/>
      <c r="T256" s="157">
        <v>1</v>
      </c>
      <c r="U256" s="35">
        <v>1</v>
      </c>
      <c r="W256" s="110" t="s">
        <v>279</v>
      </c>
      <c r="X256" s="61"/>
      <c r="Y256" s="243">
        <v>50.4</v>
      </c>
      <c r="Z256" s="243">
        <f t="shared" si="42"/>
        <v>50.4</v>
      </c>
      <c r="AB256" s="196"/>
      <c r="AC256" s="199"/>
    </row>
    <row r="257" spans="1:29" ht="20.100000000000001" customHeight="1" x14ac:dyDescent="0.25">
      <c r="A257" s="36"/>
      <c r="B257" s="141">
        <f t="shared" si="45"/>
        <v>225</v>
      </c>
      <c r="C257" s="86">
        <v>119</v>
      </c>
      <c r="D257" s="110" t="str">
        <f>HYPERLINK("https://sites.wustl.edu/meteoritesite/items/lm_nwa_05207/",W257)</f>
        <v>Northwest Africa 5207</v>
      </c>
      <c r="E257" s="376" t="s">
        <v>78</v>
      </c>
      <c r="F257" s="377"/>
      <c r="G257" s="377"/>
      <c r="H257" s="378"/>
      <c r="I257" s="412"/>
      <c r="J257" s="413"/>
      <c r="K257" s="413"/>
      <c r="L257" s="414"/>
      <c r="M257" s="379">
        <v>101</v>
      </c>
      <c r="N257" s="400"/>
      <c r="O257" s="381" t="s">
        <v>830</v>
      </c>
      <c r="P257" s="382"/>
      <c r="Q257" s="383"/>
      <c r="R257" s="376" t="s">
        <v>1573</v>
      </c>
      <c r="S257" s="378"/>
      <c r="T257" s="330">
        <v>1</v>
      </c>
      <c r="U257" s="35">
        <v>1</v>
      </c>
      <c r="W257" s="64" t="s">
        <v>280</v>
      </c>
      <c r="X257" s="61"/>
      <c r="Y257" s="243">
        <v>101</v>
      </c>
      <c r="Z257" s="243">
        <f t="shared" si="42"/>
        <v>101</v>
      </c>
      <c r="AB257" s="196"/>
      <c r="AC257" s="199"/>
    </row>
    <row r="258" spans="1:29" ht="20.100000000000001" customHeight="1" x14ac:dyDescent="0.25">
      <c r="A258" s="36"/>
      <c r="B258" s="141">
        <f t="shared" si="45"/>
        <v>226</v>
      </c>
      <c r="C258" s="86">
        <v>123</v>
      </c>
      <c r="D258" s="110" t="str">
        <f>HYPERLINK("https://sites.wustl.edu/meteoritesite/items/lm_nwa_04936_clan/",W258)</f>
        <v>Northwest Africa 5406</v>
      </c>
      <c r="E258" s="376" t="s">
        <v>79</v>
      </c>
      <c r="F258" s="377"/>
      <c r="G258" s="377"/>
      <c r="H258" s="378"/>
      <c r="I258" s="412"/>
      <c r="J258" s="413"/>
      <c r="K258" s="413"/>
      <c r="L258" s="414"/>
      <c r="M258" s="379" t="s">
        <v>101</v>
      </c>
      <c r="N258" s="400"/>
      <c r="O258" s="381" t="s">
        <v>836</v>
      </c>
      <c r="P258" s="382"/>
      <c r="Q258" s="383"/>
      <c r="R258" s="376" t="s">
        <v>6</v>
      </c>
      <c r="S258" s="378"/>
      <c r="T258" s="330">
        <v>1</v>
      </c>
      <c r="U258" s="35">
        <v>1</v>
      </c>
      <c r="W258" s="64" t="s">
        <v>281</v>
      </c>
      <c r="X258" s="61"/>
      <c r="Y258" s="243">
        <v>281</v>
      </c>
      <c r="Z258" s="243">
        <f t="shared" si="42"/>
        <v>281</v>
      </c>
      <c r="AB258" s="196"/>
      <c r="AC258" s="199"/>
    </row>
    <row r="259" spans="1:29" ht="20.100000000000001" customHeight="1" x14ac:dyDescent="0.25">
      <c r="A259" s="36"/>
      <c r="B259" s="128">
        <f t="shared" si="45"/>
        <v>227</v>
      </c>
      <c r="C259" s="68">
        <v>129</v>
      </c>
      <c r="D259" s="64" t="str">
        <f>HYPERLINK("https://sites.wustl.edu/meteoritesite/items/lm_nwa_05744_clan/",W259)</f>
        <v>Northwest Africa 5744</v>
      </c>
      <c r="E259" s="376" t="s">
        <v>963</v>
      </c>
      <c r="F259" s="377"/>
      <c r="G259" s="377"/>
      <c r="H259" s="378"/>
      <c r="I259" s="412"/>
      <c r="J259" s="413"/>
      <c r="K259" s="413"/>
      <c r="L259" s="414"/>
      <c r="M259" s="379">
        <v>170</v>
      </c>
      <c r="N259" s="400"/>
      <c r="O259" s="381" t="s">
        <v>837</v>
      </c>
      <c r="P259" s="382"/>
      <c r="Q259" s="383"/>
      <c r="R259" s="376" t="s">
        <v>563</v>
      </c>
      <c r="S259" s="378"/>
      <c r="T259" s="157">
        <v>1</v>
      </c>
      <c r="U259" s="35">
        <v>1</v>
      </c>
      <c r="W259" s="110" t="s">
        <v>30</v>
      </c>
      <c r="X259" s="61"/>
      <c r="Y259" s="243">
        <v>170</v>
      </c>
      <c r="Z259" s="243">
        <f t="shared" si="42"/>
        <v>170</v>
      </c>
      <c r="AB259" s="196"/>
      <c r="AC259" s="199"/>
    </row>
    <row r="260" spans="1:29" ht="20.100000000000001" customHeight="1" x14ac:dyDescent="0.25">
      <c r="A260" s="36"/>
      <c r="B260" s="128">
        <f t="shared" si="45"/>
        <v>228</v>
      </c>
      <c r="C260" s="68">
        <v>152</v>
      </c>
      <c r="D260" s="110" t="str">
        <f>HYPERLINK("https://sites.wustl.edu/meteoritesite/items/lm_nwa_04936_clan/",W260)</f>
        <v>Northwest Africa 6221</v>
      </c>
      <c r="E260" s="376" t="s">
        <v>79</v>
      </c>
      <c r="F260" s="377"/>
      <c r="G260" s="377"/>
      <c r="H260" s="378"/>
      <c r="I260" s="412"/>
      <c r="J260" s="413"/>
      <c r="K260" s="413"/>
      <c r="L260" s="414"/>
      <c r="M260" s="379">
        <v>109.4</v>
      </c>
      <c r="N260" s="400"/>
      <c r="O260" s="381" t="s">
        <v>838</v>
      </c>
      <c r="P260" s="382"/>
      <c r="Q260" s="383"/>
      <c r="R260" s="376" t="s">
        <v>6</v>
      </c>
      <c r="S260" s="378"/>
      <c r="T260" s="157">
        <v>1</v>
      </c>
      <c r="U260" s="35">
        <v>1</v>
      </c>
      <c r="W260" s="110" t="s">
        <v>282</v>
      </c>
      <c r="X260" s="61"/>
      <c r="Y260" s="243">
        <v>109.4</v>
      </c>
      <c r="Z260" s="243">
        <f t="shared" si="42"/>
        <v>109.4</v>
      </c>
      <c r="AB260" s="196"/>
      <c r="AC260" s="199"/>
    </row>
    <row r="261" spans="1:29" ht="20.100000000000001" customHeight="1" x14ac:dyDescent="0.25">
      <c r="A261" s="36"/>
      <c r="B261" s="141">
        <f t="shared" si="45"/>
        <v>229</v>
      </c>
      <c r="C261" s="86">
        <v>141</v>
      </c>
      <c r="D261" s="64" t="str">
        <f>HYPERLINK("https://sites.wustl.edu/meteoritesite/items/lm_nwa_02995_clan/",W261)</f>
        <v>Northwest Africa 6252</v>
      </c>
      <c r="E261" s="376" t="s">
        <v>77</v>
      </c>
      <c r="F261" s="377"/>
      <c r="G261" s="377"/>
      <c r="H261" s="378"/>
      <c r="I261" s="412"/>
      <c r="J261" s="413"/>
      <c r="K261" s="413"/>
      <c r="L261" s="414"/>
      <c r="M261" s="379">
        <v>113</v>
      </c>
      <c r="N261" s="400"/>
      <c r="O261" s="381" t="s">
        <v>841</v>
      </c>
      <c r="P261" s="382"/>
      <c r="Q261" s="383"/>
      <c r="R261" s="376" t="s">
        <v>1573</v>
      </c>
      <c r="S261" s="378"/>
      <c r="T261" s="330">
        <v>1</v>
      </c>
      <c r="U261" s="35">
        <v>1</v>
      </c>
      <c r="W261" s="64" t="s">
        <v>283</v>
      </c>
      <c r="X261" s="61"/>
      <c r="Y261" s="243">
        <v>113</v>
      </c>
      <c r="Z261" s="243">
        <f t="shared" si="42"/>
        <v>113</v>
      </c>
      <c r="AB261" s="196"/>
      <c r="AC261" s="199"/>
    </row>
    <row r="262" spans="1:29" ht="20.100000000000001" customHeight="1" x14ac:dyDescent="0.25">
      <c r="A262" s="36"/>
      <c r="B262" s="141">
        <f t="shared" si="45"/>
        <v>230</v>
      </c>
      <c r="C262" s="86">
        <v>136</v>
      </c>
      <c r="D262" s="110" t="str">
        <f>HYPERLINK("https://sites.wustl.edu/meteoritesite/items/lm_nwa_03163_clan/",W262)</f>
        <v>Northwest Africa 6275</v>
      </c>
      <c r="E262" s="376" t="s">
        <v>970</v>
      </c>
      <c r="F262" s="377"/>
      <c r="G262" s="377"/>
      <c r="H262" s="378"/>
      <c r="I262" s="412"/>
      <c r="J262" s="413"/>
      <c r="K262" s="413"/>
      <c r="L262" s="414"/>
      <c r="M262" s="379" t="s">
        <v>540</v>
      </c>
      <c r="N262" s="400"/>
      <c r="O262" s="381" t="s">
        <v>839</v>
      </c>
      <c r="P262" s="382"/>
      <c r="Q262" s="383"/>
      <c r="R262" s="376" t="s">
        <v>6</v>
      </c>
      <c r="S262" s="378"/>
      <c r="T262" s="330">
        <v>1</v>
      </c>
      <c r="U262" s="35">
        <v>1</v>
      </c>
      <c r="W262" s="64" t="s">
        <v>284</v>
      </c>
      <c r="X262" s="61"/>
      <c r="Y262" s="243">
        <v>1.3</v>
      </c>
      <c r="Z262" s="243">
        <f t="shared" si="42"/>
        <v>1.3</v>
      </c>
      <c r="AB262" s="196"/>
      <c r="AC262" s="199"/>
    </row>
    <row r="263" spans="1:29" ht="20.100000000000001" customHeight="1" x14ac:dyDescent="0.25">
      <c r="A263" s="36"/>
      <c r="B263" s="128">
        <f t="shared" si="45"/>
        <v>231</v>
      </c>
      <c r="C263" s="68">
        <v>137</v>
      </c>
      <c r="D263" s="110" t="str">
        <f>HYPERLINK("https://sites.wustl.edu/meteoritesite/items/lm_nwa_04936_clan/",W263)</f>
        <v>Northwest Africa 6355</v>
      </c>
      <c r="E263" s="376" t="s">
        <v>79</v>
      </c>
      <c r="F263" s="377"/>
      <c r="G263" s="377"/>
      <c r="H263" s="378"/>
      <c r="I263" s="412"/>
      <c r="J263" s="413"/>
      <c r="K263" s="413"/>
      <c r="L263" s="414"/>
      <c r="M263" s="379">
        <v>760</v>
      </c>
      <c r="N263" s="400"/>
      <c r="O263" s="381" t="s">
        <v>746</v>
      </c>
      <c r="P263" s="382"/>
      <c r="Q263" s="383"/>
      <c r="R263" s="376" t="s">
        <v>6</v>
      </c>
      <c r="S263" s="378"/>
      <c r="T263" s="157">
        <v>1</v>
      </c>
      <c r="U263" s="35">
        <v>1</v>
      </c>
      <c r="W263" s="110" t="s">
        <v>285</v>
      </c>
      <c r="X263" s="61"/>
      <c r="Y263" s="243">
        <v>760</v>
      </c>
      <c r="Z263" s="243">
        <f t="shared" si="42"/>
        <v>760</v>
      </c>
      <c r="AB263" s="196"/>
      <c r="AC263" s="199"/>
    </row>
    <row r="264" spans="1:29" ht="20.100000000000001" customHeight="1" x14ac:dyDescent="0.25">
      <c r="A264" s="36"/>
      <c r="B264" s="128">
        <f t="shared" si="45"/>
        <v>232</v>
      </c>
      <c r="C264" s="68">
        <v>138</v>
      </c>
      <c r="D264" s="110" t="str">
        <f>HYPERLINK("https://sites.wustl.edu/meteoritesite/items/lm_nwa_04936_clan/",W264)</f>
        <v>Northwest Africa 6470</v>
      </c>
      <c r="E264" s="376" t="s">
        <v>79</v>
      </c>
      <c r="F264" s="377"/>
      <c r="G264" s="377"/>
      <c r="H264" s="378"/>
      <c r="I264" s="412"/>
      <c r="J264" s="413"/>
      <c r="K264" s="413"/>
      <c r="L264" s="414"/>
      <c r="M264" s="379">
        <v>96</v>
      </c>
      <c r="N264" s="400"/>
      <c r="O264" s="381" t="s">
        <v>839</v>
      </c>
      <c r="P264" s="382"/>
      <c r="Q264" s="383"/>
      <c r="R264" s="376" t="s">
        <v>6</v>
      </c>
      <c r="S264" s="378"/>
      <c r="T264" s="157">
        <v>1</v>
      </c>
      <c r="U264" s="35">
        <v>1</v>
      </c>
      <c r="W264" s="110" t="s">
        <v>286</v>
      </c>
      <c r="X264" s="61"/>
      <c r="Y264" s="243">
        <v>96</v>
      </c>
      <c r="Z264" s="243">
        <f t="shared" si="42"/>
        <v>96</v>
      </c>
      <c r="AB264" s="196"/>
      <c r="AC264" s="199"/>
    </row>
    <row r="265" spans="1:29" ht="20.100000000000001" customHeight="1" x14ac:dyDescent="0.25">
      <c r="A265" s="36"/>
      <c r="B265" s="128">
        <f t="shared" si="45"/>
        <v>233</v>
      </c>
      <c r="C265" s="68">
        <v>139</v>
      </c>
      <c r="D265" s="110" t="str">
        <f>HYPERLINK("https://sites.wustl.edu/meteoritesite/items/lm_nwa_06481/",W265)</f>
        <v>Northwest Africa 6481</v>
      </c>
      <c r="E265" s="376"/>
      <c r="F265" s="377"/>
      <c r="G265" s="377"/>
      <c r="H265" s="378"/>
      <c r="I265" s="412"/>
      <c r="J265" s="413"/>
      <c r="K265" s="413"/>
      <c r="L265" s="414"/>
      <c r="M265" s="379">
        <v>13.7</v>
      </c>
      <c r="N265" s="400"/>
      <c r="O265" s="381" t="s">
        <v>840</v>
      </c>
      <c r="P265" s="382"/>
      <c r="Q265" s="383"/>
      <c r="R265" s="376" t="s">
        <v>6</v>
      </c>
      <c r="S265" s="378"/>
      <c r="T265" s="157">
        <v>1</v>
      </c>
      <c r="U265" s="35">
        <v>1</v>
      </c>
      <c r="W265" s="110" t="s">
        <v>287</v>
      </c>
      <c r="X265" s="61"/>
      <c r="Y265" s="243">
        <v>13.7</v>
      </c>
      <c r="Z265" s="243">
        <f t="shared" si="42"/>
        <v>13.7</v>
      </c>
      <c r="AB265" s="196"/>
      <c r="AC265" s="199"/>
    </row>
    <row r="266" spans="1:29" ht="20.100000000000001" customHeight="1" x14ac:dyDescent="0.25">
      <c r="A266" s="36"/>
      <c r="B266" s="128">
        <f t="shared" si="45"/>
        <v>234</v>
      </c>
      <c r="C266" s="68">
        <v>142</v>
      </c>
      <c r="D266" s="64" t="str">
        <f>HYPERLINK("https://sites.wustl.edu/meteoritesite/items/lm_nwa_02995_clan/",W266)</f>
        <v>Northwest Africa 6554</v>
      </c>
      <c r="E266" s="376" t="s">
        <v>77</v>
      </c>
      <c r="F266" s="377"/>
      <c r="G266" s="377"/>
      <c r="H266" s="378"/>
      <c r="I266" s="412"/>
      <c r="J266" s="413"/>
      <c r="K266" s="413"/>
      <c r="L266" s="414"/>
      <c r="M266" s="379">
        <v>138</v>
      </c>
      <c r="N266" s="400"/>
      <c r="O266" s="381" t="s">
        <v>841</v>
      </c>
      <c r="P266" s="382"/>
      <c r="Q266" s="383"/>
      <c r="R266" s="376" t="s">
        <v>1573</v>
      </c>
      <c r="S266" s="378"/>
      <c r="T266" s="157">
        <v>1</v>
      </c>
      <c r="U266" s="35">
        <v>1</v>
      </c>
      <c r="W266" s="64" t="s">
        <v>288</v>
      </c>
      <c r="X266" s="61"/>
      <c r="Y266" s="243">
        <v>138</v>
      </c>
      <c r="Z266" s="243">
        <f t="shared" si="42"/>
        <v>138</v>
      </c>
      <c r="AB266" s="196"/>
      <c r="AC266" s="199"/>
    </row>
    <row r="267" spans="1:29" ht="20.100000000000001" customHeight="1" x14ac:dyDescent="0.25">
      <c r="A267" s="36"/>
      <c r="B267" s="141">
        <f t="shared" si="45"/>
        <v>235</v>
      </c>
      <c r="C267" s="86">
        <v>143</v>
      </c>
      <c r="D267" s="64" t="str">
        <f>HYPERLINK("https://sites.wustl.edu/meteoritesite/items/lm_nwa_02995_clan/",W267)</f>
        <v>Northwest Africa 6555</v>
      </c>
      <c r="E267" s="376" t="s">
        <v>77</v>
      </c>
      <c r="F267" s="377"/>
      <c r="G267" s="377"/>
      <c r="H267" s="378"/>
      <c r="I267" s="412"/>
      <c r="J267" s="413"/>
      <c r="K267" s="413"/>
      <c r="L267" s="414"/>
      <c r="M267" s="379">
        <v>29.72</v>
      </c>
      <c r="N267" s="400"/>
      <c r="O267" s="381" t="s">
        <v>747</v>
      </c>
      <c r="P267" s="382"/>
      <c r="Q267" s="383"/>
      <c r="R267" s="376" t="s">
        <v>1573</v>
      </c>
      <c r="S267" s="378"/>
      <c r="T267" s="330">
        <v>1</v>
      </c>
      <c r="U267" s="35">
        <v>1</v>
      </c>
      <c r="W267" s="64" t="s">
        <v>289</v>
      </c>
      <c r="X267" s="61"/>
      <c r="Y267" s="243">
        <v>29.72</v>
      </c>
      <c r="Z267" s="243">
        <f t="shared" si="42"/>
        <v>29.72</v>
      </c>
      <c r="AB267" s="196"/>
      <c r="AC267" s="199"/>
    </row>
    <row r="268" spans="1:29" ht="20.100000000000001" customHeight="1" x14ac:dyDescent="0.25">
      <c r="A268" s="36"/>
      <c r="B268" s="128">
        <f t="shared" si="45"/>
        <v>236</v>
      </c>
      <c r="C268" s="68">
        <v>140</v>
      </c>
      <c r="D268" s="110" t="str">
        <f>HYPERLINK("https://sites.wustl.edu/meteoritesite/items/lm_nwa_04936_clan/",W268)</f>
        <v>Northwest Africa 6570</v>
      </c>
      <c r="E268" s="376" t="s">
        <v>79</v>
      </c>
      <c r="F268" s="377"/>
      <c r="G268" s="377"/>
      <c r="H268" s="378"/>
      <c r="I268" s="412"/>
      <c r="J268" s="413"/>
      <c r="K268" s="413"/>
      <c r="L268" s="414"/>
      <c r="M268" s="379">
        <v>415</v>
      </c>
      <c r="N268" s="400"/>
      <c r="O268" s="381" t="s">
        <v>747</v>
      </c>
      <c r="P268" s="382"/>
      <c r="Q268" s="383"/>
      <c r="R268" s="376" t="s">
        <v>6</v>
      </c>
      <c r="S268" s="378"/>
      <c r="T268" s="157">
        <v>1</v>
      </c>
      <c r="U268" s="35">
        <v>1</v>
      </c>
      <c r="W268" s="110" t="s">
        <v>290</v>
      </c>
      <c r="X268" s="61"/>
      <c r="Y268" s="243">
        <v>415</v>
      </c>
      <c r="Z268" s="243">
        <f t="shared" si="42"/>
        <v>415</v>
      </c>
      <c r="AB268" s="196"/>
      <c r="AC268" s="199"/>
    </row>
    <row r="269" spans="1:29" ht="20.100000000000001" customHeight="1" x14ac:dyDescent="0.25">
      <c r="A269" s="36"/>
      <c r="B269" s="128">
        <f t="shared" si="45"/>
        <v>237</v>
      </c>
      <c r="C269" s="68">
        <v>144</v>
      </c>
      <c r="D269" s="110" t="str">
        <f>HYPERLINK("https://sites.wustl.edu/meteoritesite/items/lm_nwa_06578/",W269)</f>
        <v>Northwest Africa 6578</v>
      </c>
      <c r="E269" s="376"/>
      <c r="F269" s="377"/>
      <c r="G269" s="377"/>
      <c r="H269" s="378"/>
      <c r="I269" s="412"/>
      <c r="J269" s="413"/>
      <c r="K269" s="413"/>
      <c r="L269" s="414"/>
      <c r="M269" s="379">
        <v>1638</v>
      </c>
      <c r="N269" s="400"/>
      <c r="O269" s="381" t="s">
        <v>841</v>
      </c>
      <c r="P269" s="382"/>
      <c r="Q269" s="383"/>
      <c r="R269" s="376" t="s">
        <v>6</v>
      </c>
      <c r="S269" s="378"/>
      <c r="T269" s="157">
        <v>1</v>
      </c>
      <c r="U269" s="35">
        <v>1</v>
      </c>
      <c r="W269" s="110" t="s">
        <v>291</v>
      </c>
      <c r="X269" s="61"/>
      <c r="Y269" s="243">
        <v>1638</v>
      </c>
      <c r="Z269" s="243">
        <f t="shared" si="42"/>
        <v>1638</v>
      </c>
      <c r="AB269" s="196"/>
      <c r="AC269" s="199"/>
    </row>
    <row r="270" spans="1:29" ht="20.100000000000001" customHeight="1" x14ac:dyDescent="0.25">
      <c r="A270" s="36"/>
      <c r="B270" s="128">
        <f t="shared" si="45"/>
        <v>238</v>
      </c>
      <c r="C270" s="68">
        <v>147</v>
      </c>
      <c r="D270" s="110" t="str">
        <f>HYPERLINK("https://sites.wustl.edu/meteoritesite/items/lm_nwa_06687/",W270)</f>
        <v>Northwest Africa 6687</v>
      </c>
      <c r="E270" s="376"/>
      <c r="F270" s="377"/>
      <c r="G270" s="377"/>
      <c r="H270" s="378"/>
      <c r="I270" s="412"/>
      <c r="J270" s="413"/>
      <c r="K270" s="413"/>
      <c r="L270" s="414"/>
      <c r="M270" s="379" t="s">
        <v>118</v>
      </c>
      <c r="N270" s="400"/>
      <c r="O270" s="381" t="s">
        <v>747</v>
      </c>
      <c r="P270" s="382"/>
      <c r="Q270" s="383"/>
      <c r="R270" s="376" t="s">
        <v>1583</v>
      </c>
      <c r="S270" s="378"/>
      <c r="T270" s="157">
        <v>1</v>
      </c>
      <c r="U270" s="35">
        <v>1</v>
      </c>
      <c r="W270" s="110" t="s">
        <v>292</v>
      </c>
      <c r="X270" s="61"/>
      <c r="Y270" s="243">
        <v>42.4</v>
      </c>
      <c r="Z270" s="243">
        <f t="shared" si="42"/>
        <v>42.4</v>
      </c>
      <c r="AB270" s="196"/>
      <c r="AC270" s="199"/>
    </row>
    <row r="271" spans="1:29" ht="20.100000000000001" customHeight="1" x14ac:dyDescent="0.25">
      <c r="A271" s="36"/>
      <c r="B271" s="141">
        <f t="shared" si="45"/>
        <v>239</v>
      </c>
      <c r="C271" s="86">
        <v>145</v>
      </c>
      <c r="D271" s="110" t="str">
        <f>HYPERLINK("https://sites.wustl.edu/meteoritesite/items/lm_nwa_06721/",W271)</f>
        <v>Northwest Africa 6721</v>
      </c>
      <c r="E271" s="376"/>
      <c r="F271" s="377"/>
      <c r="G271" s="377"/>
      <c r="H271" s="378"/>
      <c r="I271" s="412"/>
      <c r="J271" s="413"/>
      <c r="K271" s="413"/>
      <c r="L271" s="414"/>
      <c r="M271" s="379" t="s">
        <v>119</v>
      </c>
      <c r="N271" s="400"/>
      <c r="O271" s="381" t="s">
        <v>842</v>
      </c>
      <c r="P271" s="382"/>
      <c r="Q271" s="383"/>
      <c r="R271" s="376" t="s">
        <v>6</v>
      </c>
      <c r="S271" s="378"/>
      <c r="T271" s="330">
        <v>1</v>
      </c>
      <c r="U271" s="35">
        <v>1</v>
      </c>
      <c r="W271" s="64" t="s">
        <v>293</v>
      </c>
      <c r="X271" s="61"/>
      <c r="Y271" s="243">
        <v>181</v>
      </c>
      <c r="Z271" s="243">
        <f t="shared" si="42"/>
        <v>181</v>
      </c>
      <c r="AB271" s="196"/>
      <c r="AC271" s="199"/>
    </row>
    <row r="272" spans="1:29" ht="20.100000000000001" customHeight="1" x14ac:dyDescent="0.25">
      <c r="A272" s="36"/>
      <c r="B272" s="141">
        <f t="shared" si="45"/>
        <v>240</v>
      </c>
      <c r="C272" s="86">
        <v>361</v>
      </c>
      <c r="D272" s="64" t="str">
        <f>HYPERLINK("https://sites.wustl.edu/meteoritesite/items/lm_nwa_06831/",W272)</f>
        <v>Northwest Africa 6831</v>
      </c>
      <c r="E272" s="376" t="s">
        <v>603</v>
      </c>
      <c r="F272" s="377"/>
      <c r="G272" s="377"/>
      <c r="H272" s="378"/>
      <c r="I272" s="412"/>
      <c r="J272" s="413"/>
      <c r="K272" s="413"/>
      <c r="L272" s="414"/>
      <c r="M272" s="379">
        <v>20</v>
      </c>
      <c r="N272" s="400"/>
      <c r="O272" s="381" t="s">
        <v>843</v>
      </c>
      <c r="P272" s="382"/>
      <c r="Q272" s="383"/>
      <c r="R272" s="376" t="s">
        <v>6</v>
      </c>
      <c r="S272" s="378"/>
      <c r="T272" s="330">
        <v>0</v>
      </c>
      <c r="U272" s="35">
        <v>1</v>
      </c>
      <c r="W272" s="64" t="s">
        <v>650</v>
      </c>
      <c r="X272" s="61"/>
      <c r="Y272" s="243">
        <v>20</v>
      </c>
      <c r="Z272" s="243">
        <f t="shared" si="42"/>
        <v>20</v>
      </c>
      <c r="AB272" s="196"/>
      <c r="AC272" s="199"/>
    </row>
    <row r="273" spans="1:29" ht="20.100000000000001" customHeight="1" x14ac:dyDescent="0.25">
      <c r="A273" s="36"/>
      <c r="B273" s="128">
        <f t="shared" si="45"/>
        <v>241</v>
      </c>
      <c r="C273" s="68">
        <v>146</v>
      </c>
      <c r="D273" s="110" t="str">
        <f>HYPERLINK("https://sites.wustl.edu/meteoritesite/items/lm_nwa_06888/",W273)</f>
        <v>Northwest Africa 6888</v>
      </c>
      <c r="E273" s="776"/>
      <c r="F273" s="777"/>
      <c r="G273" s="777"/>
      <c r="H273" s="778"/>
      <c r="I273" s="412"/>
      <c r="J273" s="413"/>
      <c r="K273" s="413"/>
      <c r="L273" s="414"/>
      <c r="M273" s="379">
        <v>208</v>
      </c>
      <c r="N273" s="400"/>
      <c r="O273" s="773" t="s">
        <v>844</v>
      </c>
      <c r="P273" s="774"/>
      <c r="Q273" s="775"/>
      <c r="R273" s="376" t="s">
        <v>6</v>
      </c>
      <c r="S273" s="378"/>
      <c r="T273" s="157">
        <v>1</v>
      </c>
      <c r="U273" s="35">
        <v>1</v>
      </c>
      <c r="W273" s="110" t="s">
        <v>294</v>
      </c>
      <c r="X273" s="61"/>
      <c r="Y273" s="243">
        <v>208</v>
      </c>
      <c r="Z273" s="243">
        <f t="shared" si="42"/>
        <v>208</v>
      </c>
      <c r="AB273" s="196"/>
      <c r="AC273" s="199"/>
    </row>
    <row r="274" spans="1:29" ht="20.100000000000001" customHeight="1" x14ac:dyDescent="0.25">
      <c r="A274" s="36"/>
      <c r="B274" s="141">
        <f t="shared" si="45"/>
        <v>242</v>
      </c>
      <c r="C274" s="86">
        <v>148</v>
      </c>
      <c r="D274" s="64" t="str">
        <f>HYPERLINK("https://sites.wustl.edu/meteoritesite/items/lm_nwa_00773_clan/",W274)</f>
        <v>Northwest Africa 6950</v>
      </c>
      <c r="E274" s="376" t="s">
        <v>76</v>
      </c>
      <c r="F274" s="377"/>
      <c r="G274" s="377"/>
      <c r="H274" s="378"/>
      <c r="I274" s="412"/>
      <c r="J274" s="413"/>
      <c r="K274" s="413"/>
      <c r="L274" s="414"/>
      <c r="M274" s="379">
        <v>1649</v>
      </c>
      <c r="N274" s="400"/>
      <c r="O274" s="381" t="s">
        <v>845</v>
      </c>
      <c r="P274" s="382"/>
      <c r="Q274" s="383"/>
      <c r="R274" s="376" t="s">
        <v>396</v>
      </c>
      <c r="S274" s="378"/>
      <c r="T274" s="330">
        <v>1</v>
      </c>
      <c r="U274" s="35">
        <v>1</v>
      </c>
      <c r="W274" s="64" t="s">
        <v>295</v>
      </c>
      <c r="X274" s="61"/>
      <c r="Y274" s="243">
        <v>1649</v>
      </c>
      <c r="Z274" s="243">
        <f t="shared" si="42"/>
        <v>1649</v>
      </c>
      <c r="AB274" s="196"/>
      <c r="AC274" s="199"/>
    </row>
    <row r="275" spans="1:29" ht="36" customHeight="1" x14ac:dyDescent="0.25">
      <c r="A275" s="36"/>
      <c r="B275" s="125" t="s">
        <v>402</v>
      </c>
      <c r="C275" s="30" t="s">
        <v>1034</v>
      </c>
      <c r="D275" s="33" t="s">
        <v>915</v>
      </c>
      <c r="E275" s="420" t="s">
        <v>916</v>
      </c>
      <c r="F275" s="421"/>
      <c r="G275" s="421"/>
      <c r="H275" s="422"/>
      <c r="I275" s="423" t="s">
        <v>917</v>
      </c>
      <c r="J275" s="424"/>
      <c r="K275" s="424"/>
      <c r="L275" s="425"/>
      <c r="M275" s="430" t="s">
        <v>918</v>
      </c>
      <c r="N275" s="431"/>
      <c r="O275" s="426" t="s">
        <v>919</v>
      </c>
      <c r="P275" s="427"/>
      <c r="Q275" s="428"/>
      <c r="R275" s="423" t="s">
        <v>920</v>
      </c>
      <c r="S275" s="425"/>
      <c r="T275" s="5" t="s">
        <v>5</v>
      </c>
      <c r="Y275" s="243"/>
      <c r="AB275" s="196"/>
      <c r="AC275" s="199"/>
    </row>
    <row r="276" spans="1:29" ht="20.100000000000001" customHeight="1" x14ac:dyDescent="0.25">
      <c r="A276" s="36"/>
      <c r="B276" s="128">
        <f>B274+1</f>
        <v>243</v>
      </c>
      <c r="C276" s="68">
        <v>149</v>
      </c>
      <c r="D276" s="64" t="str">
        <f>HYPERLINK("https://sites.wustl.edu/meteoritesite/items/lm_nwa_00773_clan/",W276)</f>
        <v>Northwest Africa 7007</v>
      </c>
      <c r="E276" s="376" t="s">
        <v>76</v>
      </c>
      <c r="F276" s="377"/>
      <c r="G276" s="377"/>
      <c r="H276" s="378"/>
      <c r="I276" s="412"/>
      <c r="J276" s="413"/>
      <c r="K276" s="413"/>
      <c r="L276" s="414"/>
      <c r="M276" s="379">
        <v>91</v>
      </c>
      <c r="N276" s="400"/>
      <c r="O276" s="381" t="s">
        <v>846</v>
      </c>
      <c r="P276" s="382"/>
      <c r="Q276" s="383"/>
      <c r="R276" s="376" t="s">
        <v>1584</v>
      </c>
      <c r="S276" s="378"/>
      <c r="T276" s="157">
        <v>1</v>
      </c>
      <c r="U276" s="35">
        <v>1</v>
      </c>
      <c r="W276" s="110" t="s">
        <v>296</v>
      </c>
      <c r="X276" s="61"/>
      <c r="Y276" s="243">
        <v>91</v>
      </c>
      <c r="Z276" s="243">
        <f t="shared" si="42"/>
        <v>91</v>
      </c>
      <c r="AB276" s="196"/>
      <c r="AC276" s="199"/>
    </row>
    <row r="277" spans="1:29" ht="20.100000000000001" customHeight="1" x14ac:dyDescent="0.25">
      <c r="A277" s="36"/>
      <c r="B277" s="128">
        <f t="shared" si="45"/>
        <v>244</v>
      </c>
      <c r="C277" s="68">
        <v>150</v>
      </c>
      <c r="D277" s="64" t="str">
        <f>HYPERLINK("https://sites.wustl.edu/meteoritesite/items/lm_nwa_07022/",W277)</f>
        <v>Northwest Africa 7022</v>
      </c>
      <c r="E277" s="376"/>
      <c r="F277" s="377"/>
      <c r="G277" s="377"/>
      <c r="H277" s="378"/>
      <c r="I277" s="376" t="s">
        <v>31</v>
      </c>
      <c r="J277" s="377"/>
      <c r="K277" s="377"/>
      <c r="L277" s="378"/>
      <c r="M277" s="379">
        <v>444</v>
      </c>
      <c r="N277" s="400"/>
      <c r="O277" s="381" t="s">
        <v>847</v>
      </c>
      <c r="P277" s="382"/>
      <c r="Q277" s="383"/>
      <c r="R277" s="376" t="s">
        <v>1590</v>
      </c>
      <c r="S277" s="378"/>
      <c r="T277" s="157">
        <v>1</v>
      </c>
      <c r="U277" s="35">
        <v>1</v>
      </c>
      <c r="W277" s="110" t="s">
        <v>297</v>
      </c>
      <c r="X277" s="61"/>
      <c r="Y277" s="243">
        <v>444</v>
      </c>
      <c r="Z277" s="243">
        <f t="shared" si="42"/>
        <v>444</v>
      </c>
      <c r="AB277" s="196"/>
      <c r="AC277" s="199"/>
    </row>
    <row r="278" spans="1:29" ht="20.100000000000001" customHeight="1" x14ac:dyDescent="0.25">
      <c r="A278" s="36"/>
      <c r="B278" s="141">
        <f t="shared" si="45"/>
        <v>245</v>
      </c>
      <c r="C278" s="86">
        <v>159</v>
      </c>
      <c r="D278" s="110" t="str">
        <f>HYPERLINK("https://sites.wustl.edu/meteoritesite/items/lm_nwa_04936_clan/",W278)</f>
        <v>Northwest Africa 7190</v>
      </c>
      <c r="E278" s="376" t="s">
        <v>79</v>
      </c>
      <c r="F278" s="377"/>
      <c r="G278" s="377"/>
      <c r="H278" s="378"/>
      <c r="I278" s="412"/>
      <c r="J278" s="413"/>
      <c r="K278" s="413"/>
      <c r="L278" s="414"/>
      <c r="M278" s="379" t="s">
        <v>120</v>
      </c>
      <c r="N278" s="400"/>
      <c r="O278" s="381" t="s">
        <v>848</v>
      </c>
      <c r="P278" s="382"/>
      <c r="Q278" s="383"/>
      <c r="R278" s="376" t="s">
        <v>6</v>
      </c>
      <c r="S278" s="378"/>
      <c r="T278" s="330">
        <v>1</v>
      </c>
      <c r="U278" s="35">
        <v>1</v>
      </c>
      <c r="W278" s="64" t="s">
        <v>298</v>
      </c>
      <c r="X278" s="61"/>
      <c r="Y278" s="243">
        <v>5.28</v>
      </c>
      <c r="Z278" s="243">
        <f t="shared" si="42"/>
        <v>5.28</v>
      </c>
      <c r="AB278" s="196"/>
      <c r="AC278" s="199"/>
    </row>
    <row r="279" spans="1:29" ht="20.100000000000001" customHeight="1" x14ac:dyDescent="0.25">
      <c r="A279" s="36"/>
      <c r="B279" s="141">
        <f t="shared" si="45"/>
        <v>246</v>
      </c>
      <c r="C279" s="86">
        <v>160</v>
      </c>
      <c r="D279" s="64" t="str">
        <f>HYPERLINK("https://sites.wustl.edu/meteoritesite/items/lm_nwa_02998/",W279)</f>
        <v>Northwest Africa 7262</v>
      </c>
      <c r="E279" s="376">
        <v>2998</v>
      </c>
      <c r="F279" s="377"/>
      <c r="G279" s="377"/>
      <c r="H279" s="378"/>
      <c r="I279" s="376"/>
      <c r="J279" s="377"/>
      <c r="K279" s="377"/>
      <c r="L279" s="378"/>
      <c r="M279" s="379" t="s">
        <v>95</v>
      </c>
      <c r="N279" s="400"/>
      <c r="O279" s="381" t="s">
        <v>849</v>
      </c>
      <c r="P279" s="382"/>
      <c r="Q279" s="383"/>
      <c r="R279" s="376" t="s">
        <v>6</v>
      </c>
      <c r="S279" s="378"/>
      <c r="T279" s="330">
        <v>1</v>
      </c>
      <c r="U279" s="35">
        <v>1</v>
      </c>
      <c r="W279" s="64" t="s">
        <v>299</v>
      </c>
      <c r="X279" s="61"/>
      <c r="Y279" s="246">
        <v>413</v>
      </c>
      <c r="Z279" s="243">
        <f t="shared" si="42"/>
        <v>413</v>
      </c>
      <c r="AB279" s="196"/>
      <c r="AC279" s="199"/>
    </row>
    <row r="280" spans="1:29" ht="20.100000000000001" customHeight="1" x14ac:dyDescent="0.25">
      <c r="A280" s="36"/>
      <c r="B280" s="128">
        <f t="shared" si="45"/>
        <v>247</v>
      </c>
      <c r="C280" s="68">
        <v>161</v>
      </c>
      <c r="D280" s="64" t="str">
        <f>HYPERLINK("https://sites.wustl.edu/meteoritesite/items/lm_nwa_07274/",W280)</f>
        <v>Northwest Africa 7274</v>
      </c>
      <c r="E280" s="376"/>
      <c r="F280" s="377"/>
      <c r="G280" s="377"/>
      <c r="H280" s="378"/>
      <c r="I280" s="412"/>
      <c r="J280" s="413"/>
      <c r="K280" s="413"/>
      <c r="L280" s="414"/>
      <c r="M280" s="379">
        <v>372.6</v>
      </c>
      <c r="N280" s="400"/>
      <c r="O280" s="381" t="s">
        <v>849</v>
      </c>
      <c r="P280" s="382"/>
      <c r="Q280" s="383"/>
      <c r="R280" s="376" t="s">
        <v>6</v>
      </c>
      <c r="S280" s="378"/>
      <c r="T280" s="157">
        <v>1</v>
      </c>
      <c r="U280" s="35">
        <v>1</v>
      </c>
      <c r="W280" s="110" t="s">
        <v>300</v>
      </c>
      <c r="X280" s="61"/>
      <c r="Y280" s="243">
        <v>372.6</v>
      </c>
      <c r="Z280" s="243">
        <f t="shared" si="42"/>
        <v>372.6</v>
      </c>
      <c r="AB280" s="196"/>
      <c r="AC280" s="199"/>
    </row>
    <row r="281" spans="1:29" ht="20.100000000000001" customHeight="1" x14ac:dyDescent="0.25">
      <c r="A281" s="36"/>
      <c r="B281" s="141">
        <f t="shared" si="45"/>
        <v>248</v>
      </c>
      <c r="C281" s="86">
        <v>164</v>
      </c>
      <c r="D281" s="110" t="str">
        <f>HYPERLINK("https://sites.wustl.edu/meteoritesite/items/lm_nwa_07493/",W281)</f>
        <v>Northwest Africa 7493</v>
      </c>
      <c r="E281" s="376"/>
      <c r="F281" s="377"/>
      <c r="G281" s="377"/>
      <c r="H281" s="378"/>
      <c r="I281" s="412"/>
      <c r="J281" s="413"/>
      <c r="K281" s="413"/>
      <c r="L281" s="414"/>
      <c r="M281" s="379" t="s">
        <v>121</v>
      </c>
      <c r="N281" s="400"/>
      <c r="O281" s="381" t="s">
        <v>850</v>
      </c>
      <c r="P281" s="382"/>
      <c r="Q281" s="383"/>
      <c r="R281" s="376" t="s">
        <v>6</v>
      </c>
      <c r="S281" s="378"/>
      <c r="T281" s="330">
        <v>1</v>
      </c>
      <c r="U281" s="35">
        <v>1</v>
      </c>
      <c r="W281" s="64" t="s">
        <v>301</v>
      </c>
      <c r="X281" s="61"/>
      <c r="Y281" s="243">
        <v>503</v>
      </c>
      <c r="Z281" s="243">
        <f t="shared" si="42"/>
        <v>503</v>
      </c>
      <c r="AB281" s="196"/>
      <c r="AC281" s="199"/>
    </row>
    <row r="282" spans="1:29" ht="20.100000000000001" customHeight="1" x14ac:dyDescent="0.25">
      <c r="A282" s="36"/>
      <c r="B282" s="141">
        <f t="shared" si="45"/>
        <v>249</v>
      </c>
      <c r="C282" s="86">
        <v>165</v>
      </c>
      <c r="D282" s="110" t="str">
        <f>HYPERLINK("https://sites.wustl.edu/meteoritesite/items/lm_nwa_07611_clan/",W282)</f>
        <v>Northwest Africa 7611</v>
      </c>
      <c r="E282" s="376" t="s">
        <v>976</v>
      </c>
      <c r="F282" s="377"/>
      <c r="G282" s="377"/>
      <c r="H282" s="378"/>
      <c r="I282" s="376" t="s">
        <v>631</v>
      </c>
      <c r="J282" s="377"/>
      <c r="K282" s="377"/>
      <c r="L282" s="378"/>
      <c r="M282" s="379">
        <v>916</v>
      </c>
      <c r="N282" s="400"/>
      <c r="O282" s="381" t="s">
        <v>851</v>
      </c>
      <c r="P282" s="382"/>
      <c r="Q282" s="383"/>
      <c r="R282" s="376" t="s">
        <v>562</v>
      </c>
      <c r="S282" s="378"/>
      <c r="T282" s="330">
        <v>1</v>
      </c>
      <c r="U282" s="35">
        <v>1</v>
      </c>
      <c r="W282" s="64" t="s">
        <v>32</v>
      </c>
      <c r="X282" s="61"/>
      <c r="Y282" s="243">
        <v>916</v>
      </c>
      <c r="Z282" s="243">
        <f t="shared" si="42"/>
        <v>916</v>
      </c>
      <c r="AB282" s="196"/>
      <c r="AC282" s="199"/>
    </row>
    <row r="283" spans="1:29" ht="20.100000000000001" customHeight="1" x14ac:dyDescent="0.25">
      <c r="A283" s="36"/>
      <c r="B283" s="128">
        <f t="shared" si="45"/>
        <v>250</v>
      </c>
      <c r="C283" s="68">
        <v>167</v>
      </c>
      <c r="D283" s="64" t="str">
        <f>HYPERLINK("https://sites.wustl.edu/meteoritesite/items/lm_nwa_07834_clan/",W283)</f>
        <v>Northwest Africa 7834</v>
      </c>
      <c r="E283" s="376" t="s">
        <v>975</v>
      </c>
      <c r="F283" s="377"/>
      <c r="G283" s="377"/>
      <c r="H283" s="378"/>
      <c r="I283" s="412"/>
      <c r="J283" s="413"/>
      <c r="K283" s="413"/>
      <c r="L283" s="414"/>
      <c r="M283" s="379">
        <v>905</v>
      </c>
      <c r="N283" s="400"/>
      <c r="O283" s="381" t="s">
        <v>852</v>
      </c>
      <c r="P283" s="382"/>
      <c r="Q283" s="383"/>
      <c r="R283" s="376" t="s">
        <v>1573</v>
      </c>
      <c r="S283" s="378"/>
      <c r="T283" s="157">
        <v>1</v>
      </c>
      <c r="U283" s="35">
        <v>1</v>
      </c>
      <c r="W283" s="110" t="s">
        <v>33</v>
      </c>
      <c r="X283" s="61"/>
      <c r="Y283" s="243">
        <v>905</v>
      </c>
      <c r="Z283" s="243">
        <f t="shared" si="42"/>
        <v>905</v>
      </c>
      <c r="AB283" s="196"/>
      <c r="AC283" s="199"/>
    </row>
    <row r="284" spans="1:29" ht="20.100000000000001" customHeight="1" x14ac:dyDescent="0.25">
      <c r="A284" s="36"/>
      <c r="B284" s="141">
        <f t="shared" si="45"/>
        <v>251</v>
      </c>
      <c r="C284" s="86">
        <v>168</v>
      </c>
      <c r="D284" s="110" t="str">
        <f>HYPERLINK("https://sites.wustl.edu/meteoritesite/items/lm_nwa_7931/",W284)</f>
        <v>Northwest Africa 7931</v>
      </c>
      <c r="E284" s="376"/>
      <c r="F284" s="377"/>
      <c r="G284" s="377"/>
      <c r="H284" s="378"/>
      <c r="I284" s="376"/>
      <c r="J284" s="377"/>
      <c r="K284" s="377"/>
      <c r="L284" s="378"/>
      <c r="M284" s="379">
        <v>5.92</v>
      </c>
      <c r="N284" s="400"/>
      <c r="O284" s="381" t="s">
        <v>853</v>
      </c>
      <c r="P284" s="382"/>
      <c r="Q284" s="383"/>
      <c r="R284" s="376" t="s">
        <v>6</v>
      </c>
      <c r="S284" s="378"/>
      <c r="T284" s="330">
        <v>1</v>
      </c>
      <c r="U284" s="35">
        <v>1</v>
      </c>
      <c r="W284" s="64" t="s">
        <v>302</v>
      </c>
      <c r="X284" s="61"/>
      <c r="Y284" s="243">
        <v>5.92</v>
      </c>
      <c r="Z284" s="243">
        <f t="shared" si="42"/>
        <v>5.92</v>
      </c>
      <c r="AB284" s="196"/>
      <c r="AC284" s="199"/>
    </row>
    <row r="285" spans="1:29" ht="20.100000000000001" customHeight="1" x14ac:dyDescent="0.25">
      <c r="A285" s="36"/>
      <c r="B285" s="128">
        <f t="shared" si="45"/>
        <v>252</v>
      </c>
      <c r="C285" s="68">
        <v>169</v>
      </c>
      <c r="D285" s="64" t="str">
        <f>HYPERLINK("https://sites.wustl.edu/meteoritesite/items/lm_nwa_07834_clan/",W285)</f>
        <v>Northwest Africa 7948</v>
      </c>
      <c r="E285" s="376" t="s">
        <v>140</v>
      </c>
      <c r="F285" s="377"/>
      <c r="G285" s="377"/>
      <c r="H285" s="378"/>
      <c r="I285" s="412"/>
      <c r="J285" s="413"/>
      <c r="K285" s="413"/>
      <c r="L285" s="414"/>
      <c r="M285" s="379">
        <v>59.8</v>
      </c>
      <c r="N285" s="400"/>
      <c r="O285" s="381" t="s">
        <v>854</v>
      </c>
      <c r="P285" s="382"/>
      <c r="Q285" s="383"/>
      <c r="R285" s="376" t="s">
        <v>1573</v>
      </c>
      <c r="S285" s="378"/>
      <c r="T285" s="157">
        <v>1</v>
      </c>
      <c r="U285" s="35">
        <v>1</v>
      </c>
      <c r="W285" s="110" t="s">
        <v>303</v>
      </c>
      <c r="X285" s="61"/>
      <c r="Y285" s="243">
        <v>59.8</v>
      </c>
      <c r="Z285" s="243">
        <f t="shared" si="42"/>
        <v>59.8</v>
      </c>
      <c r="AB285" s="196"/>
      <c r="AC285" s="199"/>
    </row>
    <row r="286" spans="1:29" ht="20.100000000000001" customHeight="1" x14ac:dyDescent="0.25">
      <c r="A286" s="36"/>
      <c r="B286" s="128">
        <f t="shared" si="45"/>
        <v>253</v>
      </c>
      <c r="C286" s="68">
        <v>170</v>
      </c>
      <c r="D286" s="64" t="str">
        <f>HYPERLINK("https://sites.wustl.edu/meteoritesite/items/lm_nwa_07959/",W286)</f>
        <v>Northwest Africa 7959</v>
      </c>
      <c r="E286" s="376"/>
      <c r="F286" s="377"/>
      <c r="G286" s="377"/>
      <c r="H286" s="378"/>
      <c r="I286" s="412" t="s">
        <v>456</v>
      </c>
      <c r="J286" s="413"/>
      <c r="K286" s="413"/>
      <c r="L286" s="414"/>
      <c r="M286" s="379">
        <v>156</v>
      </c>
      <c r="N286" s="400"/>
      <c r="O286" s="381" t="s">
        <v>855</v>
      </c>
      <c r="P286" s="382"/>
      <c r="Q286" s="383"/>
      <c r="R286" s="376" t="s">
        <v>6</v>
      </c>
      <c r="S286" s="378"/>
      <c r="T286" s="157">
        <v>1</v>
      </c>
      <c r="U286" s="35">
        <v>1</v>
      </c>
      <c r="W286" s="110" t="s">
        <v>304</v>
      </c>
      <c r="X286" s="61"/>
      <c r="Y286" s="243">
        <v>156</v>
      </c>
      <c r="Z286" s="243">
        <f t="shared" si="42"/>
        <v>156</v>
      </c>
      <c r="AB286" s="196"/>
      <c r="AC286" s="199"/>
    </row>
    <row r="287" spans="1:29" ht="20.100000000000001" customHeight="1" x14ac:dyDescent="0.25">
      <c r="A287" s="36"/>
      <c r="B287" s="128">
        <f t="shared" si="45"/>
        <v>254</v>
      </c>
      <c r="C287" s="68">
        <v>171</v>
      </c>
      <c r="D287" s="110" t="str">
        <f>HYPERLINK("https://sites.wustl.edu/meteoritesite/items/lm_nwa_04936_clan/",W287)</f>
        <v>Northwest Africa 7986</v>
      </c>
      <c r="E287" s="376" t="s">
        <v>79</v>
      </c>
      <c r="F287" s="377"/>
      <c r="G287" s="377"/>
      <c r="H287" s="378"/>
      <c r="I287" s="412"/>
      <c r="J287" s="413"/>
      <c r="K287" s="413"/>
      <c r="L287" s="414"/>
      <c r="M287" s="379">
        <v>12.2</v>
      </c>
      <c r="N287" s="400"/>
      <c r="O287" s="381" t="s">
        <v>855</v>
      </c>
      <c r="P287" s="382"/>
      <c r="Q287" s="383"/>
      <c r="R287" s="376" t="s">
        <v>6</v>
      </c>
      <c r="S287" s="378"/>
      <c r="T287" s="157">
        <v>1</v>
      </c>
      <c r="U287" s="35">
        <v>1</v>
      </c>
      <c r="W287" s="110" t="s">
        <v>305</v>
      </c>
      <c r="X287" s="61"/>
      <c r="Y287" s="243">
        <v>12.2</v>
      </c>
      <c r="Z287" s="243">
        <f t="shared" si="42"/>
        <v>12.2</v>
      </c>
      <c r="AB287" s="196"/>
      <c r="AC287" s="199"/>
    </row>
    <row r="288" spans="1:29" ht="20.100000000000001" customHeight="1" x14ac:dyDescent="0.25">
      <c r="A288" s="36"/>
      <c r="B288" s="128">
        <f t="shared" si="45"/>
        <v>255</v>
      </c>
      <c r="C288" s="68">
        <v>172</v>
      </c>
      <c r="D288" s="110" t="str">
        <f>HYPERLINK("https://sites.wustl.edu/meteoritesite/items/lm_nwa_08001/",W288)</f>
        <v>Northwest Africa 8001</v>
      </c>
      <c r="E288" s="376"/>
      <c r="F288" s="377"/>
      <c r="G288" s="377"/>
      <c r="H288" s="378"/>
      <c r="I288" s="412"/>
      <c r="J288" s="413"/>
      <c r="K288" s="413"/>
      <c r="L288" s="414"/>
      <c r="M288" s="379">
        <v>23.4</v>
      </c>
      <c r="N288" s="400"/>
      <c r="O288" s="381" t="s">
        <v>855</v>
      </c>
      <c r="P288" s="382"/>
      <c r="Q288" s="383"/>
      <c r="R288" s="376" t="s">
        <v>6</v>
      </c>
      <c r="S288" s="378"/>
      <c r="T288" s="157">
        <v>1</v>
      </c>
      <c r="U288" s="35">
        <v>1</v>
      </c>
      <c r="W288" s="110" t="s">
        <v>306</v>
      </c>
      <c r="X288" s="61"/>
      <c r="Y288" s="243">
        <v>23.4</v>
      </c>
      <c r="Z288" s="243">
        <f t="shared" si="42"/>
        <v>23.4</v>
      </c>
      <c r="AB288" s="196"/>
      <c r="AC288" s="199"/>
    </row>
    <row r="289" spans="1:29" ht="20.100000000000001" customHeight="1" x14ac:dyDescent="0.25">
      <c r="A289" s="36"/>
      <c r="B289" s="128">
        <f t="shared" si="45"/>
        <v>256</v>
      </c>
      <c r="C289" s="68">
        <v>166</v>
      </c>
      <c r="D289" s="110" t="str">
        <f>HYPERLINK("https://sites.wustl.edu/meteoritesite/items/lm_nwa_08010/",W289)</f>
        <v>Northwest Africa 8010</v>
      </c>
      <c r="E289" s="376"/>
      <c r="F289" s="377"/>
      <c r="G289" s="377"/>
      <c r="H289" s="378"/>
      <c r="I289" s="412"/>
      <c r="J289" s="413"/>
      <c r="K289" s="413"/>
      <c r="L289" s="414"/>
      <c r="M289" s="379">
        <v>58</v>
      </c>
      <c r="N289" s="400"/>
      <c r="O289" s="381" t="s">
        <v>856</v>
      </c>
      <c r="P289" s="382"/>
      <c r="Q289" s="383"/>
      <c r="R289" s="376" t="s">
        <v>6</v>
      </c>
      <c r="S289" s="378"/>
      <c r="T289" s="157">
        <v>1</v>
      </c>
      <c r="U289" s="35">
        <v>1</v>
      </c>
      <c r="W289" s="110" t="s">
        <v>307</v>
      </c>
      <c r="X289" s="61"/>
      <c r="Y289" s="243">
        <v>58</v>
      </c>
      <c r="Z289" s="243">
        <f t="shared" si="42"/>
        <v>58</v>
      </c>
      <c r="AB289" s="196"/>
      <c r="AC289" s="199"/>
    </row>
    <row r="290" spans="1:29" ht="20.100000000000001" customHeight="1" x14ac:dyDescent="0.25">
      <c r="A290" s="36"/>
      <c r="B290" s="128">
        <f t="shared" si="45"/>
        <v>257</v>
      </c>
      <c r="C290" s="68">
        <v>173</v>
      </c>
      <c r="D290" s="110" t="str">
        <f>HYPERLINK("https://sites.wustl.edu/meteoritesite/items/lm_nwa_08022/",W290)</f>
        <v>Northwest Africa 8022</v>
      </c>
      <c r="E290" s="376">
        <v>10082</v>
      </c>
      <c r="F290" s="377"/>
      <c r="G290" s="377"/>
      <c r="H290" s="378"/>
      <c r="I290" s="412"/>
      <c r="J290" s="413"/>
      <c r="K290" s="413"/>
      <c r="L290" s="414"/>
      <c r="M290" s="379">
        <v>1226</v>
      </c>
      <c r="N290" s="400"/>
      <c r="O290" s="381" t="s">
        <v>854</v>
      </c>
      <c r="P290" s="382"/>
      <c r="Q290" s="383"/>
      <c r="R290" s="376" t="s">
        <v>6</v>
      </c>
      <c r="S290" s="378"/>
      <c r="T290" s="157">
        <v>1</v>
      </c>
      <c r="U290" s="35">
        <v>1</v>
      </c>
      <c r="W290" s="110" t="s">
        <v>34</v>
      </c>
      <c r="X290" s="61"/>
      <c r="Y290" s="243">
        <v>1226</v>
      </c>
      <c r="Z290" s="243">
        <f t="shared" ref="Z290:Z356" si="46">Y290</f>
        <v>1226</v>
      </c>
      <c r="AB290" s="196"/>
      <c r="AC290" s="199"/>
    </row>
    <row r="291" spans="1:29" ht="20.100000000000001" customHeight="1" x14ac:dyDescent="0.25">
      <c r="A291" s="36"/>
      <c r="B291" s="128">
        <f t="shared" si="45"/>
        <v>258</v>
      </c>
      <c r="C291" s="68">
        <v>175</v>
      </c>
      <c r="D291" s="110" t="str">
        <f>HYPERLINK("https://sites.wustl.edu/meteoritesite/items/lm_nwa_08046_clan/",W291)</f>
        <v>Northwest Africa 8046</v>
      </c>
      <c r="E291" s="376" t="s">
        <v>1196</v>
      </c>
      <c r="F291" s="377"/>
      <c r="G291" s="377"/>
      <c r="H291" s="378"/>
      <c r="I291" s="376"/>
      <c r="J291" s="377"/>
      <c r="K291" s="377"/>
      <c r="L291" s="378"/>
      <c r="M291" s="379">
        <v>47.3</v>
      </c>
      <c r="N291" s="400"/>
      <c r="O291" s="381" t="s">
        <v>857</v>
      </c>
      <c r="P291" s="382"/>
      <c r="Q291" s="383"/>
      <c r="R291" s="376" t="s">
        <v>6</v>
      </c>
      <c r="S291" s="378"/>
      <c r="T291" s="157">
        <v>1</v>
      </c>
      <c r="U291" s="35">
        <v>1</v>
      </c>
      <c r="W291" s="110" t="s">
        <v>308</v>
      </c>
      <c r="X291" s="61"/>
      <c r="Y291" s="243">
        <v>47.3</v>
      </c>
      <c r="Z291" s="243">
        <f t="shared" si="46"/>
        <v>47.3</v>
      </c>
      <c r="AB291" s="196"/>
      <c r="AC291" s="199"/>
    </row>
    <row r="292" spans="1:29" ht="20.100000000000001" customHeight="1" x14ac:dyDescent="0.25">
      <c r="A292" s="36"/>
      <c r="B292" s="141">
        <f t="shared" si="45"/>
        <v>259</v>
      </c>
      <c r="C292" s="86">
        <v>176</v>
      </c>
      <c r="D292" s="110" t="str">
        <f>HYPERLINK("https://sites.wustl.edu/meteoritesite/items/lm_nwa_08055/",W292)</f>
        <v>Northwest Africa 8055</v>
      </c>
      <c r="E292" s="376"/>
      <c r="F292" s="377"/>
      <c r="G292" s="377"/>
      <c r="H292" s="378"/>
      <c r="I292" s="412"/>
      <c r="J292" s="413"/>
      <c r="K292" s="413"/>
      <c r="L292" s="414"/>
      <c r="M292" s="379">
        <v>98</v>
      </c>
      <c r="N292" s="400"/>
      <c r="O292" s="381" t="s">
        <v>858</v>
      </c>
      <c r="P292" s="382"/>
      <c r="Q292" s="383"/>
      <c r="R292" s="376" t="s">
        <v>6</v>
      </c>
      <c r="S292" s="378"/>
      <c r="T292" s="330">
        <v>1</v>
      </c>
      <c r="U292" s="35">
        <v>1</v>
      </c>
      <c r="W292" s="64" t="s">
        <v>309</v>
      </c>
      <c r="X292" s="61"/>
      <c r="Y292" s="243">
        <v>98</v>
      </c>
      <c r="Z292" s="243">
        <f t="shared" si="46"/>
        <v>98</v>
      </c>
      <c r="AB292" s="196"/>
      <c r="AC292" s="199"/>
    </row>
    <row r="293" spans="1:29" ht="20.100000000000001" customHeight="1" x14ac:dyDescent="0.25">
      <c r="A293" s="36"/>
      <c r="B293" s="128">
        <f t="shared" si="45"/>
        <v>260</v>
      </c>
      <c r="C293" s="68">
        <v>177</v>
      </c>
      <c r="D293" s="64" t="str">
        <f>HYPERLINK("https://sites.wustl.edu/meteoritesite/items/lm_nwa_00773_clan/",W293)</f>
        <v>Northwest Africa 8127</v>
      </c>
      <c r="E293" s="376" t="s">
        <v>76</v>
      </c>
      <c r="F293" s="377"/>
      <c r="G293" s="377"/>
      <c r="H293" s="378"/>
      <c r="I293" s="412"/>
      <c r="J293" s="413"/>
      <c r="K293" s="413"/>
      <c r="L293" s="414"/>
      <c r="M293" s="379">
        <v>529</v>
      </c>
      <c r="N293" s="400"/>
      <c r="O293" s="381" t="s">
        <v>859</v>
      </c>
      <c r="P293" s="382"/>
      <c r="Q293" s="383"/>
      <c r="R293" s="376" t="s">
        <v>396</v>
      </c>
      <c r="S293" s="378"/>
      <c r="T293" s="157">
        <v>1</v>
      </c>
      <c r="U293" s="35">
        <v>1</v>
      </c>
      <c r="W293" s="110" t="s">
        <v>310</v>
      </c>
      <c r="X293" s="61"/>
      <c r="Y293" s="243">
        <v>529</v>
      </c>
      <c r="Z293" s="243">
        <f t="shared" si="46"/>
        <v>529</v>
      </c>
      <c r="AB293" s="196"/>
      <c r="AC293" s="199"/>
    </row>
    <row r="294" spans="1:29" ht="20.100000000000001" customHeight="1" x14ac:dyDescent="0.25">
      <c r="A294" s="36"/>
      <c r="B294" s="128">
        <f t="shared" si="45"/>
        <v>261</v>
      </c>
      <c r="C294" s="68">
        <v>191</v>
      </c>
      <c r="D294" s="110" t="str">
        <f>HYPERLINK("https://sites.wustl.edu/meteoritesite/items/lm_nwa_04936_clan/",W294)</f>
        <v>Northwest Africa 8181</v>
      </c>
      <c r="E294" s="376" t="s">
        <v>79</v>
      </c>
      <c r="F294" s="377"/>
      <c r="G294" s="377"/>
      <c r="H294" s="378"/>
      <c r="I294" s="412"/>
      <c r="J294" s="413"/>
      <c r="K294" s="413"/>
      <c r="L294" s="414"/>
      <c r="M294" s="379">
        <v>18.2</v>
      </c>
      <c r="N294" s="400"/>
      <c r="O294" s="381" t="s">
        <v>855</v>
      </c>
      <c r="P294" s="382"/>
      <c r="Q294" s="383"/>
      <c r="R294" s="376" t="s">
        <v>6</v>
      </c>
      <c r="S294" s="378"/>
      <c r="T294" s="157">
        <v>1</v>
      </c>
      <c r="U294" s="35">
        <v>1</v>
      </c>
      <c r="W294" s="110" t="s">
        <v>311</v>
      </c>
      <c r="X294" s="61"/>
      <c r="Y294" s="243">
        <v>18.2</v>
      </c>
      <c r="Z294" s="243">
        <f t="shared" si="46"/>
        <v>18.2</v>
      </c>
      <c r="AB294" s="196"/>
      <c r="AC294" s="199"/>
    </row>
    <row r="295" spans="1:29" ht="20.100000000000001" customHeight="1" x14ac:dyDescent="0.25">
      <c r="A295" s="36"/>
      <c r="B295" s="128">
        <f t="shared" si="45"/>
        <v>262</v>
      </c>
      <c r="C295" s="68">
        <v>179</v>
      </c>
      <c r="D295" s="110" t="str">
        <f>HYPERLINK("https://sites.wustl.edu/meteoritesite/items/lm_nwa_08182/",W295)</f>
        <v>Northwest Africa 8182</v>
      </c>
      <c r="E295" s="376"/>
      <c r="F295" s="377"/>
      <c r="G295" s="377"/>
      <c r="H295" s="378"/>
      <c r="I295" s="412"/>
      <c r="J295" s="413"/>
      <c r="K295" s="413"/>
      <c r="L295" s="414"/>
      <c r="M295" s="379">
        <v>15.6</v>
      </c>
      <c r="N295" s="400"/>
      <c r="O295" s="381" t="s">
        <v>869</v>
      </c>
      <c r="P295" s="382"/>
      <c r="Q295" s="383"/>
      <c r="R295" s="376" t="s">
        <v>6</v>
      </c>
      <c r="S295" s="378"/>
      <c r="T295" s="157">
        <v>1</v>
      </c>
      <c r="U295" s="35">
        <v>1</v>
      </c>
      <c r="W295" s="110" t="s">
        <v>312</v>
      </c>
      <c r="X295" s="61"/>
      <c r="Y295" s="243">
        <v>15.6</v>
      </c>
      <c r="Z295" s="243">
        <f t="shared" si="46"/>
        <v>15.6</v>
      </c>
      <c r="AB295" s="196"/>
      <c r="AC295" s="199"/>
    </row>
    <row r="296" spans="1:29" ht="20.100000000000001" customHeight="1" x14ac:dyDescent="0.25">
      <c r="A296" s="36"/>
      <c r="B296" s="128">
        <f t="shared" si="45"/>
        <v>263</v>
      </c>
      <c r="C296" s="68">
        <v>192</v>
      </c>
      <c r="D296" s="110" t="str">
        <f>HYPERLINK("https://sites.wustl.edu/meteoritesite/items/lm_nwa_08222_clan/",W296)</f>
        <v>Northwest Africa 8222</v>
      </c>
      <c r="E296" s="376" t="s">
        <v>519</v>
      </c>
      <c r="F296" s="377"/>
      <c r="G296" s="377"/>
      <c r="H296" s="378"/>
      <c r="I296" s="412"/>
      <c r="J296" s="413"/>
      <c r="K296" s="413"/>
      <c r="L296" s="414"/>
      <c r="M296" s="379">
        <v>208.6</v>
      </c>
      <c r="N296" s="400"/>
      <c r="O296" s="381" t="s">
        <v>870</v>
      </c>
      <c r="P296" s="382"/>
      <c r="Q296" s="383"/>
      <c r="R296" s="376" t="s">
        <v>6</v>
      </c>
      <c r="S296" s="378"/>
      <c r="T296" s="157">
        <v>1</v>
      </c>
      <c r="U296" s="35">
        <v>1</v>
      </c>
      <c r="W296" s="110" t="s">
        <v>313</v>
      </c>
      <c r="X296" s="61"/>
      <c r="Y296" s="243">
        <v>208.6</v>
      </c>
      <c r="Z296" s="243">
        <f t="shared" si="46"/>
        <v>208.6</v>
      </c>
      <c r="AB296" s="196"/>
      <c r="AC296" s="199"/>
    </row>
    <row r="297" spans="1:29" ht="20.100000000000001" customHeight="1" x14ac:dyDescent="0.25">
      <c r="A297" s="36"/>
      <c r="B297" s="141">
        <f t="shared" si="45"/>
        <v>264</v>
      </c>
      <c r="C297" s="86">
        <v>180</v>
      </c>
      <c r="D297" s="110" t="str">
        <f>HYPERLINK("https://sites.wustl.edu/meteoritesite/items/lm_nwa_07611_clan/",W297)</f>
        <v>Northwest Africa 8277</v>
      </c>
      <c r="E297" s="376" t="s">
        <v>394</v>
      </c>
      <c r="F297" s="377"/>
      <c r="G297" s="377"/>
      <c r="H297" s="378"/>
      <c r="I297" s="376" t="s">
        <v>631</v>
      </c>
      <c r="J297" s="377"/>
      <c r="K297" s="377"/>
      <c r="L297" s="378"/>
      <c r="M297" s="379">
        <v>773</v>
      </c>
      <c r="N297" s="400"/>
      <c r="O297" s="381" t="s">
        <v>869</v>
      </c>
      <c r="P297" s="382"/>
      <c r="Q297" s="383"/>
      <c r="R297" s="376" t="s">
        <v>562</v>
      </c>
      <c r="S297" s="378"/>
      <c r="T297" s="330">
        <v>1</v>
      </c>
      <c r="U297" s="35">
        <v>1</v>
      </c>
      <c r="W297" s="64" t="s">
        <v>314</v>
      </c>
      <c r="X297" s="61"/>
      <c r="Y297" s="243">
        <v>773</v>
      </c>
      <c r="Z297" s="243">
        <f t="shared" si="46"/>
        <v>773</v>
      </c>
      <c r="AB297" s="196"/>
      <c r="AC297" s="199"/>
    </row>
    <row r="298" spans="1:29" ht="36" customHeight="1" x14ac:dyDescent="0.25">
      <c r="A298" s="36"/>
      <c r="B298" s="125" t="s">
        <v>402</v>
      </c>
      <c r="C298" s="30" t="s">
        <v>1034</v>
      </c>
      <c r="D298" s="33" t="s">
        <v>915</v>
      </c>
      <c r="E298" s="420" t="s">
        <v>916</v>
      </c>
      <c r="F298" s="421"/>
      <c r="G298" s="421"/>
      <c r="H298" s="422"/>
      <c r="I298" s="423" t="s">
        <v>917</v>
      </c>
      <c r="J298" s="424"/>
      <c r="K298" s="424"/>
      <c r="L298" s="425"/>
      <c r="M298" s="430" t="s">
        <v>918</v>
      </c>
      <c r="N298" s="431"/>
      <c r="O298" s="426" t="s">
        <v>919</v>
      </c>
      <c r="P298" s="427"/>
      <c r="Q298" s="428"/>
      <c r="R298" s="423" t="s">
        <v>920</v>
      </c>
      <c r="S298" s="425"/>
      <c r="T298" s="5" t="s">
        <v>5</v>
      </c>
      <c r="Y298" s="243"/>
      <c r="AB298" s="196"/>
      <c r="AC298" s="199"/>
    </row>
    <row r="299" spans="1:29" ht="20.100000000000001" customHeight="1" x14ac:dyDescent="0.25">
      <c r="A299" s="36"/>
      <c r="B299" s="128">
        <f>B297+1</f>
        <v>265</v>
      </c>
      <c r="C299" s="68">
        <v>187</v>
      </c>
      <c r="D299" s="64" t="str">
        <f>HYPERLINK("https://sites.wustl.edu/meteoritesite/items/lm_nwa_07834_clan/",W299)</f>
        <v>Northwest Africa 8306</v>
      </c>
      <c r="E299" s="376" t="s">
        <v>140</v>
      </c>
      <c r="F299" s="377"/>
      <c r="G299" s="377"/>
      <c r="H299" s="378"/>
      <c r="I299" s="412"/>
      <c r="J299" s="413"/>
      <c r="K299" s="413"/>
      <c r="L299" s="414"/>
      <c r="M299" s="379">
        <v>1389</v>
      </c>
      <c r="N299" s="400"/>
      <c r="O299" s="381" t="s">
        <v>871</v>
      </c>
      <c r="P299" s="382"/>
      <c r="Q299" s="383"/>
      <c r="R299" s="376" t="s">
        <v>1573</v>
      </c>
      <c r="S299" s="378"/>
      <c r="T299" s="157">
        <v>1</v>
      </c>
      <c r="U299" s="35">
        <v>1</v>
      </c>
      <c r="W299" s="110" t="s">
        <v>315</v>
      </c>
      <c r="X299" s="61"/>
      <c r="Y299" s="243">
        <v>1389</v>
      </c>
      <c r="Z299" s="243">
        <f t="shared" si="46"/>
        <v>1389</v>
      </c>
      <c r="AB299" s="196"/>
      <c r="AC299" s="199"/>
    </row>
    <row r="300" spans="1:29" ht="20.100000000000001" customHeight="1" x14ac:dyDescent="0.25">
      <c r="A300" s="36"/>
      <c r="B300" s="128">
        <f t="shared" si="45"/>
        <v>266</v>
      </c>
      <c r="C300" s="68">
        <v>182</v>
      </c>
      <c r="D300" s="110" t="str">
        <f>HYPERLINK("https://sites.wustl.edu/meteoritesite/items/lm_nwa_08455_clan/",W300)</f>
        <v>Northwest Africa 8455</v>
      </c>
      <c r="E300" s="376" t="s">
        <v>1010</v>
      </c>
      <c r="F300" s="377"/>
      <c r="G300" s="377"/>
      <c r="H300" s="378"/>
      <c r="I300" s="412"/>
      <c r="J300" s="413"/>
      <c r="K300" s="413"/>
      <c r="L300" s="414"/>
      <c r="M300" s="379">
        <v>2814</v>
      </c>
      <c r="N300" s="400"/>
      <c r="O300" s="381" t="s">
        <v>872</v>
      </c>
      <c r="P300" s="382"/>
      <c r="Q300" s="383"/>
      <c r="R300" s="376" t="s">
        <v>6</v>
      </c>
      <c r="S300" s="378"/>
      <c r="T300" s="157">
        <v>1</v>
      </c>
      <c r="U300" s="35">
        <v>1</v>
      </c>
      <c r="W300" s="110" t="s">
        <v>35</v>
      </c>
      <c r="X300" s="61"/>
      <c r="Y300" s="243">
        <v>2814</v>
      </c>
      <c r="Z300" s="243">
        <f t="shared" si="46"/>
        <v>2814</v>
      </c>
      <c r="AB300" s="196"/>
      <c r="AC300" s="199"/>
    </row>
    <row r="301" spans="1:29" ht="20.100000000000001" customHeight="1" x14ac:dyDescent="0.25">
      <c r="A301" s="36"/>
      <c r="B301" s="128">
        <f t="shared" si="45"/>
        <v>267</v>
      </c>
      <c r="C301" s="68">
        <v>188</v>
      </c>
      <c r="D301" s="64" t="str">
        <f>HYPERLINK("https://sites.wustl.edu/meteoritesite/items/lm_nwa_08586/",W301)</f>
        <v>Northwest Africa 8586</v>
      </c>
      <c r="E301" s="376"/>
      <c r="F301" s="377"/>
      <c r="G301" s="377"/>
      <c r="H301" s="378"/>
      <c r="I301" s="412"/>
      <c r="J301" s="413"/>
      <c r="K301" s="413"/>
      <c r="L301" s="414"/>
      <c r="M301" s="379">
        <v>704.5</v>
      </c>
      <c r="N301" s="400"/>
      <c r="O301" s="381" t="s">
        <v>871</v>
      </c>
      <c r="P301" s="382"/>
      <c r="Q301" s="383"/>
      <c r="R301" s="376" t="s">
        <v>6</v>
      </c>
      <c r="S301" s="378"/>
      <c r="T301" s="157">
        <v>1</v>
      </c>
      <c r="U301" s="35">
        <v>1</v>
      </c>
      <c r="W301" s="110" t="s">
        <v>316</v>
      </c>
      <c r="X301" s="61"/>
      <c r="Y301" s="243">
        <v>704.5</v>
      </c>
      <c r="Z301" s="243">
        <f t="shared" si="46"/>
        <v>704.5</v>
      </c>
      <c r="AB301" s="196"/>
      <c r="AC301" s="199"/>
    </row>
    <row r="302" spans="1:29" ht="20.100000000000001" customHeight="1" x14ac:dyDescent="0.25">
      <c r="A302" s="36"/>
      <c r="B302" s="128">
        <f t="shared" si="45"/>
        <v>268</v>
      </c>
      <c r="C302" s="68">
        <v>184</v>
      </c>
      <c r="D302" s="64" t="str">
        <f>HYPERLINK("https://sites.wustl.edu/meteoritesite/items/lm_nwa_05744_clan/",W302)</f>
        <v>Northwest Africa 8599</v>
      </c>
      <c r="E302" s="376" t="s">
        <v>36</v>
      </c>
      <c r="F302" s="377"/>
      <c r="G302" s="377"/>
      <c r="H302" s="378"/>
      <c r="I302" s="412"/>
      <c r="J302" s="413"/>
      <c r="K302" s="413"/>
      <c r="L302" s="414"/>
      <c r="M302" s="379">
        <v>36.5</v>
      </c>
      <c r="N302" s="400"/>
      <c r="O302" s="381" t="s">
        <v>873</v>
      </c>
      <c r="P302" s="382"/>
      <c r="Q302" s="383"/>
      <c r="R302" s="376" t="s">
        <v>563</v>
      </c>
      <c r="S302" s="378"/>
      <c r="T302" s="157">
        <v>1</v>
      </c>
      <c r="U302" s="35">
        <v>1</v>
      </c>
      <c r="W302" s="110" t="s">
        <v>317</v>
      </c>
      <c r="X302" s="61"/>
      <c r="Y302" s="243">
        <v>36.5</v>
      </c>
      <c r="Z302" s="243">
        <f t="shared" si="46"/>
        <v>36.5</v>
      </c>
      <c r="AB302" s="196"/>
      <c r="AC302" s="199"/>
    </row>
    <row r="303" spans="1:29" ht="20.100000000000001" customHeight="1" x14ac:dyDescent="0.25">
      <c r="A303" s="36"/>
      <c r="B303" s="128">
        <f t="shared" si="45"/>
        <v>269</v>
      </c>
      <c r="C303" s="68">
        <v>185</v>
      </c>
      <c r="D303" s="110" t="str">
        <f>HYPERLINK("https://sites.wustl.edu/meteoritesite/items/lm_nwa_08455_clan/",W303)</f>
        <v>Northwest Africa 8607</v>
      </c>
      <c r="E303" s="376" t="s">
        <v>646</v>
      </c>
      <c r="F303" s="377"/>
      <c r="G303" s="377"/>
      <c r="H303" s="378"/>
      <c r="I303" s="412"/>
      <c r="J303" s="413"/>
      <c r="K303" s="413"/>
      <c r="L303" s="414"/>
      <c r="M303" s="379">
        <v>261</v>
      </c>
      <c r="N303" s="400"/>
      <c r="O303" s="381" t="s">
        <v>872</v>
      </c>
      <c r="P303" s="382"/>
      <c r="Q303" s="383"/>
      <c r="R303" s="376" t="s">
        <v>6</v>
      </c>
      <c r="S303" s="378"/>
      <c r="T303" s="157">
        <v>0</v>
      </c>
      <c r="U303" s="35">
        <v>1</v>
      </c>
      <c r="W303" s="110" t="s">
        <v>318</v>
      </c>
      <c r="X303" s="61"/>
      <c r="Y303" s="243">
        <v>261</v>
      </c>
      <c r="Z303" s="243">
        <f t="shared" si="46"/>
        <v>261</v>
      </c>
      <c r="AB303" s="196"/>
      <c r="AC303" s="199"/>
    </row>
    <row r="304" spans="1:29" ht="20.100000000000001" customHeight="1" x14ac:dyDescent="0.25">
      <c r="A304" s="36"/>
      <c r="B304" s="128">
        <f t="shared" si="45"/>
        <v>270</v>
      </c>
      <c r="C304" s="68">
        <v>186</v>
      </c>
      <c r="D304" s="110" t="str">
        <f>HYPERLINK("https://sites.wustl.edu/meteoritesite/items/lm_nwa_08455_clan/",W304)</f>
        <v>Northwest Africa 8609</v>
      </c>
      <c r="E304" s="376" t="s">
        <v>80</v>
      </c>
      <c r="F304" s="377"/>
      <c r="G304" s="377"/>
      <c r="H304" s="378"/>
      <c r="I304" s="412"/>
      <c r="J304" s="413"/>
      <c r="K304" s="413"/>
      <c r="L304" s="414"/>
      <c r="M304" s="379">
        <v>45</v>
      </c>
      <c r="N304" s="400"/>
      <c r="O304" s="381" t="s">
        <v>872</v>
      </c>
      <c r="P304" s="382"/>
      <c r="Q304" s="383"/>
      <c r="R304" s="376" t="s">
        <v>6</v>
      </c>
      <c r="S304" s="378"/>
      <c r="T304" s="157">
        <v>1</v>
      </c>
      <c r="U304" s="35">
        <v>1</v>
      </c>
      <c r="W304" s="110" t="s">
        <v>319</v>
      </c>
      <c r="X304" s="61"/>
      <c r="Y304" s="243">
        <v>45</v>
      </c>
      <c r="Z304" s="243">
        <f t="shared" si="46"/>
        <v>45</v>
      </c>
      <c r="AB304" s="196"/>
      <c r="AC304" s="199"/>
    </row>
    <row r="305" spans="1:29" ht="20.100000000000001" customHeight="1" x14ac:dyDescent="0.25">
      <c r="A305" s="36"/>
      <c r="B305" s="128">
        <f t="shared" si="45"/>
        <v>271</v>
      </c>
      <c r="C305" s="68">
        <v>193</v>
      </c>
      <c r="D305" s="110" t="str">
        <f>HYPERLINK("https://sites.wustl.edu/meteoritesite/items/lm_nwa_08632/",W305)</f>
        <v>Northwest Africa 8632</v>
      </c>
      <c r="E305" s="376"/>
      <c r="F305" s="377"/>
      <c r="G305" s="377"/>
      <c r="H305" s="378"/>
      <c r="I305" s="412"/>
      <c r="J305" s="413"/>
      <c r="K305" s="413"/>
      <c r="L305" s="414"/>
      <c r="M305" s="379">
        <v>23.8</v>
      </c>
      <c r="N305" s="400"/>
      <c r="O305" s="381" t="s">
        <v>856</v>
      </c>
      <c r="P305" s="382"/>
      <c r="Q305" s="383"/>
      <c r="R305" s="376" t="s">
        <v>8</v>
      </c>
      <c r="S305" s="378"/>
      <c r="T305" s="157">
        <v>1</v>
      </c>
      <c r="U305" s="35">
        <v>1</v>
      </c>
      <c r="W305" s="110" t="s">
        <v>320</v>
      </c>
      <c r="X305" s="61"/>
      <c r="Y305" s="243">
        <v>23.8</v>
      </c>
      <c r="Z305" s="243">
        <f t="shared" si="46"/>
        <v>23.8</v>
      </c>
      <c r="AB305" s="196"/>
      <c r="AC305" s="199"/>
    </row>
    <row r="306" spans="1:29" ht="20.100000000000001" customHeight="1" x14ac:dyDescent="0.25">
      <c r="A306" s="36"/>
      <c r="B306" s="128">
        <f t="shared" si="45"/>
        <v>272</v>
      </c>
      <c r="C306" s="68">
        <v>194</v>
      </c>
      <c r="D306" s="110" t="str">
        <f>HYPERLINK("https://sites.wustl.edu/meteoritesite/items/lm_nwa_8641_clan/",W306)</f>
        <v>Northwest Africa 8641</v>
      </c>
      <c r="E306" s="376" t="s">
        <v>588</v>
      </c>
      <c r="F306" s="377"/>
      <c r="G306" s="377"/>
      <c r="H306" s="378"/>
      <c r="I306" s="412" t="s">
        <v>645</v>
      </c>
      <c r="J306" s="413"/>
      <c r="K306" s="413"/>
      <c r="L306" s="414"/>
      <c r="M306" s="379">
        <v>5895</v>
      </c>
      <c r="N306" s="400"/>
      <c r="O306" s="381" t="s">
        <v>874</v>
      </c>
      <c r="P306" s="382"/>
      <c r="Q306" s="383"/>
      <c r="R306" s="376" t="s">
        <v>6</v>
      </c>
      <c r="S306" s="378"/>
      <c r="T306" s="157">
        <v>1</v>
      </c>
      <c r="U306" s="35">
        <v>1</v>
      </c>
      <c r="W306" s="110" t="s">
        <v>37</v>
      </c>
      <c r="X306" s="61"/>
      <c r="Y306" s="243">
        <v>5895</v>
      </c>
      <c r="Z306" s="243">
        <f t="shared" si="46"/>
        <v>5895</v>
      </c>
      <c r="AB306" s="196"/>
      <c r="AC306" s="199"/>
    </row>
    <row r="307" spans="1:29" ht="20.100000000000001" customHeight="1" x14ac:dyDescent="0.25">
      <c r="A307" s="36"/>
      <c r="B307" s="128">
        <f t="shared" si="45"/>
        <v>273</v>
      </c>
      <c r="C307" s="68">
        <v>189</v>
      </c>
      <c r="D307" s="110" t="str">
        <f>HYPERLINK("https://sites.wustl.edu/meteoritesite/items/lm_nwa_08455_clan/",W307)</f>
        <v>Northwest Africa 8651</v>
      </c>
      <c r="E307" s="376" t="s">
        <v>80</v>
      </c>
      <c r="F307" s="377"/>
      <c r="G307" s="377"/>
      <c r="H307" s="378"/>
      <c r="I307" s="412"/>
      <c r="J307" s="413"/>
      <c r="K307" s="413"/>
      <c r="L307" s="414"/>
      <c r="M307" s="379">
        <v>598</v>
      </c>
      <c r="N307" s="400"/>
      <c r="O307" s="381" t="s">
        <v>875</v>
      </c>
      <c r="P307" s="382"/>
      <c r="Q307" s="383"/>
      <c r="R307" s="376" t="s">
        <v>1193</v>
      </c>
      <c r="S307" s="378"/>
      <c r="T307" s="157">
        <v>1</v>
      </c>
      <c r="U307" s="35">
        <v>1</v>
      </c>
      <c r="W307" s="110" t="s">
        <v>321</v>
      </c>
      <c r="X307" s="61"/>
      <c r="Y307" s="243">
        <v>598</v>
      </c>
      <c r="Z307" s="243">
        <f t="shared" si="46"/>
        <v>598</v>
      </c>
      <c r="AB307" s="196"/>
      <c r="AC307" s="199"/>
    </row>
    <row r="308" spans="1:29" ht="20.100000000000001" customHeight="1" x14ac:dyDescent="0.25">
      <c r="A308" s="36"/>
      <c r="B308" s="128">
        <f t="shared" si="45"/>
        <v>274</v>
      </c>
      <c r="C308" s="68">
        <v>195</v>
      </c>
      <c r="D308" s="110" t="str">
        <f>HYPERLINK("https://sites.wustl.edu/meteoritesite/items/lm_nwa_08455_clan/",W308)</f>
        <v>Northwest Africa 8668</v>
      </c>
      <c r="E308" s="376" t="s">
        <v>80</v>
      </c>
      <c r="F308" s="377"/>
      <c r="G308" s="377"/>
      <c r="H308" s="378"/>
      <c r="I308" s="412"/>
      <c r="J308" s="413"/>
      <c r="K308" s="413"/>
      <c r="L308" s="414"/>
      <c r="M308" s="379">
        <v>166.3</v>
      </c>
      <c r="N308" s="400"/>
      <c r="O308" s="381" t="s">
        <v>873</v>
      </c>
      <c r="P308" s="382"/>
      <c r="Q308" s="383"/>
      <c r="R308" s="376" t="s">
        <v>6</v>
      </c>
      <c r="S308" s="378"/>
      <c r="T308" s="157">
        <v>1</v>
      </c>
      <c r="U308" s="35">
        <v>1</v>
      </c>
      <c r="W308" s="110" t="s">
        <v>322</v>
      </c>
      <c r="X308" s="61"/>
      <c r="Y308" s="243">
        <v>166.3</v>
      </c>
      <c r="Z308" s="243">
        <f t="shared" si="46"/>
        <v>166.3</v>
      </c>
      <c r="AB308" s="196"/>
      <c r="AC308" s="199"/>
    </row>
    <row r="309" spans="1:29" ht="20.100000000000001" customHeight="1" x14ac:dyDescent="0.25">
      <c r="A309" s="36"/>
      <c r="B309" s="128">
        <f t="shared" si="45"/>
        <v>275</v>
      </c>
      <c r="C309" s="68">
        <v>196</v>
      </c>
      <c r="D309" s="110" t="str">
        <f>HYPERLINK("https://sites.wustl.edu/meteoritesite/items/lm_nwa_08673_clan/",W309)</f>
        <v>Northwest Africa 8673</v>
      </c>
      <c r="E309" s="376" t="s">
        <v>618</v>
      </c>
      <c r="F309" s="377"/>
      <c r="G309" s="377"/>
      <c r="H309" s="378"/>
      <c r="I309" s="376" t="s">
        <v>39</v>
      </c>
      <c r="J309" s="377"/>
      <c r="K309" s="377"/>
      <c r="L309" s="378"/>
      <c r="M309" s="379">
        <v>263</v>
      </c>
      <c r="N309" s="400"/>
      <c r="O309" s="381" t="s">
        <v>876</v>
      </c>
      <c r="P309" s="382"/>
      <c r="Q309" s="383"/>
      <c r="R309" s="376" t="s">
        <v>1573</v>
      </c>
      <c r="S309" s="378"/>
      <c r="T309" s="157">
        <v>1</v>
      </c>
      <c r="U309" s="35">
        <v>1</v>
      </c>
      <c r="W309" s="110" t="s">
        <v>38</v>
      </c>
      <c r="X309" s="61"/>
      <c r="Y309" s="243">
        <v>263</v>
      </c>
      <c r="Z309" s="243">
        <f t="shared" si="46"/>
        <v>263</v>
      </c>
      <c r="AB309" s="196"/>
      <c r="AC309" s="199"/>
    </row>
    <row r="310" spans="1:29" ht="20.100000000000001" customHeight="1" x14ac:dyDescent="0.25">
      <c r="A310" s="36"/>
      <c r="B310" s="141">
        <f t="shared" si="45"/>
        <v>276</v>
      </c>
      <c r="C310" s="86">
        <v>197</v>
      </c>
      <c r="D310" s="110" t="str">
        <f>HYPERLINK("https://sites.wustl.edu/meteoritesite/items/lm_nwa_8641_clan/",W310)</f>
        <v xml:space="preserve">Northwest Africa 8682 </v>
      </c>
      <c r="E310" s="376" t="s">
        <v>81</v>
      </c>
      <c r="F310" s="377"/>
      <c r="G310" s="377"/>
      <c r="H310" s="378"/>
      <c r="I310" s="412"/>
      <c r="J310" s="413"/>
      <c r="K310" s="413"/>
      <c r="L310" s="414"/>
      <c r="M310" s="379" t="s">
        <v>541</v>
      </c>
      <c r="N310" s="400"/>
      <c r="O310" s="381" t="s">
        <v>876</v>
      </c>
      <c r="P310" s="382"/>
      <c r="Q310" s="383"/>
      <c r="R310" s="376" t="s">
        <v>6</v>
      </c>
      <c r="S310" s="378"/>
      <c r="T310" s="330">
        <v>1</v>
      </c>
      <c r="U310" s="35">
        <v>1</v>
      </c>
      <c r="W310" s="64" t="s">
        <v>323</v>
      </c>
      <c r="X310" s="61"/>
      <c r="Y310" s="243">
        <v>82</v>
      </c>
      <c r="Z310" s="243">
        <f t="shared" si="46"/>
        <v>82</v>
      </c>
      <c r="AB310" s="196"/>
      <c r="AC310" s="199"/>
    </row>
    <row r="311" spans="1:29" ht="20.100000000000001" customHeight="1" x14ac:dyDescent="0.25">
      <c r="A311" s="36"/>
      <c r="B311" s="141">
        <f t="shared" si="45"/>
        <v>277</v>
      </c>
      <c r="C311" s="86">
        <v>198</v>
      </c>
      <c r="D311" s="64" t="str">
        <f>HYPERLINK("https://sites.wustl.edu/meteoritesite/items/lm_nwa_05744_clan/",W311)</f>
        <v xml:space="preserve">Northwest Africa 8687 </v>
      </c>
      <c r="E311" s="376" t="s">
        <v>36</v>
      </c>
      <c r="F311" s="377"/>
      <c r="G311" s="377"/>
      <c r="H311" s="378"/>
      <c r="I311" s="412"/>
      <c r="J311" s="413"/>
      <c r="K311" s="413"/>
      <c r="L311" s="414"/>
      <c r="M311" s="379" t="s">
        <v>94</v>
      </c>
      <c r="N311" s="400"/>
      <c r="O311" s="381" t="s">
        <v>872</v>
      </c>
      <c r="P311" s="382"/>
      <c r="Q311" s="383"/>
      <c r="R311" s="376" t="s">
        <v>563</v>
      </c>
      <c r="S311" s="378"/>
      <c r="T311" s="330">
        <v>1</v>
      </c>
      <c r="U311" s="35">
        <v>1</v>
      </c>
      <c r="W311" s="64" t="s">
        <v>324</v>
      </c>
      <c r="X311" s="61"/>
      <c r="Y311" s="243">
        <v>562.5</v>
      </c>
      <c r="Z311" s="243">
        <f t="shared" si="46"/>
        <v>562.5</v>
      </c>
      <c r="AB311" s="196"/>
      <c r="AC311" s="199"/>
    </row>
    <row r="312" spans="1:29" ht="20.100000000000001" customHeight="1" x14ac:dyDescent="0.25">
      <c r="A312" s="36"/>
      <c r="B312" s="128">
        <f t="shared" si="45"/>
        <v>278</v>
      </c>
      <c r="C312" s="68">
        <v>201</v>
      </c>
      <c r="D312" s="110" t="str">
        <f>HYPERLINK("https://sites.wustl.edu/meteoritesite/items/lm_nwa_08701/",W312)</f>
        <v>Northwest Africa 8701</v>
      </c>
      <c r="E312" s="376" t="s">
        <v>40</v>
      </c>
      <c r="F312" s="377"/>
      <c r="G312" s="377"/>
      <c r="H312" s="378"/>
      <c r="I312" s="412"/>
      <c r="J312" s="413"/>
      <c r="K312" s="413"/>
      <c r="L312" s="414"/>
      <c r="M312" s="379">
        <v>72</v>
      </c>
      <c r="N312" s="400"/>
      <c r="O312" s="381" t="s">
        <v>877</v>
      </c>
      <c r="P312" s="382"/>
      <c r="Q312" s="383"/>
      <c r="R312" s="376" t="s">
        <v>6</v>
      </c>
      <c r="S312" s="378"/>
      <c r="T312" s="157">
        <v>1</v>
      </c>
      <c r="U312" s="35">
        <v>1</v>
      </c>
      <c r="W312" s="110" t="s">
        <v>325</v>
      </c>
      <c r="X312" s="61"/>
      <c r="Y312" s="243">
        <v>72</v>
      </c>
      <c r="Z312" s="243">
        <f t="shared" si="46"/>
        <v>72</v>
      </c>
      <c r="AB312" s="196"/>
      <c r="AC312" s="199"/>
    </row>
    <row r="313" spans="1:29" ht="20.100000000000001" customHeight="1" x14ac:dyDescent="0.25">
      <c r="A313" s="36"/>
      <c r="B313" s="128">
        <f t="shared" si="45"/>
        <v>279</v>
      </c>
      <c r="C313" s="68">
        <v>202</v>
      </c>
      <c r="D313" s="110" t="str">
        <f>HYPERLINK("https://sites.wustl.edu/meteoritesite/items/lm_nwa_08455_clan/",W313)</f>
        <v>Northwest Africa 8727</v>
      </c>
      <c r="E313" s="376" t="s">
        <v>80</v>
      </c>
      <c r="F313" s="377"/>
      <c r="G313" s="377"/>
      <c r="H313" s="378"/>
      <c r="I313" s="412"/>
      <c r="J313" s="413"/>
      <c r="K313" s="413"/>
      <c r="L313" s="414"/>
      <c r="M313" s="379">
        <v>2436.3000000000002</v>
      </c>
      <c r="N313" s="400"/>
      <c r="O313" s="381" t="s">
        <v>877</v>
      </c>
      <c r="P313" s="382"/>
      <c r="Q313" s="383"/>
      <c r="R313" s="376" t="s">
        <v>6</v>
      </c>
      <c r="S313" s="378"/>
      <c r="T313" s="157">
        <v>1</v>
      </c>
      <c r="U313" s="35">
        <v>1</v>
      </c>
      <c r="W313" s="64" t="s">
        <v>326</v>
      </c>
      <c r="X313" s="61"/>
      <c r="Y313" s="243">
        <v>2436.3000000000002</v>
      </c>
      <c r="Z313" s="243">
        <f t="shared" si="46"/>
        <v>2436.3000000000002</v>
      </c>
      <c r="AB313" s="196"/>
      <c r="AC313" s="199"/>
    </row>
    <row r="314" spans="1:29" ht="20.100000000000001" customHeight="1" x14ac:dyDescent="0.25">
      <c r="A314" s="36"/>
      <c r="B314" s="141">
        <f t="shared" si="45"/>
        <v>280</v>
      </c>
      <c r="C314" s="86">
        <v>203</v>
      </c>
      <c r="D314" s="110" t="str">
        <f>HYPERLINK("https://sites.wustl.edu/meteoritesite/items/lm_nwa_08673_clan/",W314)</f>
        <v>Northwest Africa 8733</v>
      </c>
      <c r="E314" s="376" t="s">
        <v>82</v>
      </c>
      <c r="F314" s="377"/>
      <c r="G314" s="377"/>
      <c r="H314" s="378"/>
      <c r="I314" s="412"/>
      <c r="J314" s="413"/>
      <c r="K314" s="413"/>
      <c r="L314" s="414"/>
      <c r="M314" s="379" t="s">
        <v>93</v>
      </c>
      <c r="N314" s="400"/>
      <c r="O314" s="381" t="s">
        <v>860</v>
      </c>
      <c r="P314" s="382"/>
      <c r="Q314" s="383"/>
      <c r="R314" s="376" t="s">
        <v>1573</v>
      </c>
      <c r="S314" s="378"/>
      <c r="T314" s="330">
        <v>1</v>
      </c>
      <c r="U314" s="35">
        <v>1</v>
      </c>
      <c r="W314" s="64" t="s">
        <v>327</v>
      </c>
      <c r="X314" s="61"/>
      <c r="Y314" s="243">
        <v>51</v>
      </c>
      <c r="Z314" s="243">
        <f t="shared" si="46"/>
        <v>51</v>
      </c>
      <c r="AB314" s="196"/>
      <c r="AC314" s="199"/>
    </row>
    <row r="315" spans="1:29" ht="20.100000000000001" customHeight="1" x14ac:dyDescent="0.25">
      <c r="A315" s="36"/>
      <c r="B315" s="128">
        <f t="shared" si="45"/>
        <v>281</v>
      </c>
      <c r="C315" s="68">
        <v>204</v>
      </c>
      <c r="D315" s="110" t="str">
        <f>HYPERLINK("https://sites.wustl.edu/meteoritesite/items/lm_nwa_08673_clan/",W315)</f>
        <v>Northwest Africa 8746</v>
      </c>
      <c r="E315" s="376" t="s">
        <v>82</v>
      </c>
      <c r="F315" s="377"/>
      <c r="G315" s="377"/>
      <c r="H315" s="378"/>
      <c r="I315" s="412"/>
      <c r="J315" s="413"/>
      <c r="K315" s="413"/>
      <c r="L315" s="414"/>
      <c r="M315" s="379">
        <v>69.900000000000006</v>
      </c>
      <c r="N315" s="400"/>
      <c r="O315" s="381" t="s">
        <v>878</v>
      </c>
      <c r="P315" s="382"/>
      <c r="Q315" s="383"/>
      <c r="R315" s="376" t="s">
        <v>1573</v>
      </c>
      <c r="S315" s="378"/>
      <c r="T315" s="157">
        <v>1</v>
      </c>
      <c r="U315" s="35">
        <v>1</v>
      </c>
      <c r="W315" s="110" t="s">
        <v>328</v>
      </c>
      <c r="X315" s="61"/>
      <c r="Y315" s="243">
        <v>69.900000000000006</v>
      </c>
      <c r="Z315" s="243">
        <f t="shared" si="46"/>
        <v>69.900000000000006</v>
      </c>
      <c r="AB315" s="196"/>
      <c r="AC315" s="199"/>
    </row>
    <row r="316" spans="1:29" ht="20.100000000000001" customHeight="1" x14ac:dyDescent="0.25">
      <c r="A316" s="36"/>
      <c r="B316" s="141">
        <f t="shared" si="45"/>
        <v>282</v>
      </c>
      <c r="C316" s="86">
        <v>205</v>
      </c>
      <c r="D316" s="110" t="str">
        <f>HYPERLINK("https://sites.wustl.edu/meteoritesite/items/lm_nwa_08753/",W316)</f>
        <v>Northwest Africa 8753</v>
      </c>
      <c r="E316" s="376"/>
      <c r="F316" s="377"/>
      <c r="G316" s="377"/>
      <c r="H316" s="378"/>
      <c r="I316" s="412"/>
      <c r="J316" s="413"/>
      <c r="K316" s="413"/>
      <c r="L316" s="414"/>
      <c r="M316" s="379">
        <v>1345</v>
      </c>
      <c r="N316" s="400"/>
      <c r="O316" s="381" t="s">
        <v>877</v>
      </c>
      <c r="P316" s="382"/>
      <c r="Q316" s="383"/>
      <c r="R316" s="376" t="s">
        <v>6</v>
      </c>
      <c r="S316" s="378"/>
      <c r="T316" s="157">
        <v>1</v>
      </c>
      <c r="U316" s="35">
        <v>1</v>
      </c>
      <c r="W316" s="110" t="s">
        <v>329</v>
      </c>
      <c r="X316" s="61"/>
      <c r="Y316" s="243">
        <v>1345</v>
      </c>
      <c r="Z316" s="243">
        <f t="shared" si="46"/>
        <v>1345</v>
      </c>
      <c r="AB316" s="196"/>
      <c r="AC316" s="199"/>
    </row>
    <row r="317" spans="1:29" ht="20.100000000000001" customHeight="1" x14ac:dyDescent="0.25">
      <c r="A317" s="36"/>
      <c r="B317" s="141">
        <f t="shared" si="45"/>
        <v>283</v>
      </c>
      <c r="C317" s="86">
        <v>207</v>
      </c>
      <c r="D317" s="110" t="str">
        <f>HYPERLINK("https://sites.wustl.edu/meteoritesite/items/lm_nwa_08455_clan/",W317)</f>
        <v>Northwest Africa 8783</v>
      </c>
      <c r="E317" s="376" t="s">
        <v>80</v>
      </c>
      <c r="F317" s="377"/>
      <c r="G317" s="377"/>
      <c r="H317" s="378"/>
      <c r="I317" s="412"/>
      <c r="J317" s="413"/>
      <c r="K317" s="413"/>
      <c r="L317" s="414"/>
      <c r="M317" s="379" t="s">
        <v>92</v>
      </c>
      <c r="N317" s="400"/>
      <c r="O317" s="381" t="s">
        <v>877</v>
      </c>
      <c r="P317" s="382"/>
      <c r="Q317" s="383"/>
      <c r="R317" s="376" t="s">
        <v>6</v>
      </c>
      <c r="S317" s="378"/>
      <c r="T317" s="330">
        <v>1</v>
      </c>
      <c r="U317" s="35">
        <v>1</v>
      </c>
      <c r="W317" s="106" t="s">
        <v>330</v>
      </c>
      <c r="X317" s="61"/>
      <c r="Y317" s="243">
        <v>27.5</v>
      </c>
      <c r="Z317" s="243">
        <f t="shared" si="46"/>
        <v>27.5</v>
      </c>
      <c r="AB317" s="196"/>
      <c r="AC317" s="199"/>
    </row>
    <row r="318" spans="1:29" ht="36" customHeight="1" x14ac:dyDescent="0.25">
      <c r="A318" s="36"/>
      <c r="B318" s="125" t="s">
        <v>402</v>
      </c>
      <c r="C318" s="30" t="s">
        <v>1034</v>
      </c>
      <c r="D318" s="33" t="s">
        <v>915</v>
      </c>
      <c r="E318" s="420" t="s">
        <v>916</v>
      </c>
      <c r="F318" s="421"/>
      <c r="G318" s="421"/>
      <c r="H318" s="422"/>
      <c r="I318" s="423" t="s">
        <v>917</v>
      </c>
      <c r="J318" s="424"/>
      <c r="K318" s="424"/>
      <c r="L318" s="425"/>
      <c r="M318" s="430" t="s">
        <v>918</v>
      </c>
      <c r="N318" s="431"/>
      <c r="O318" s="426" t="s">
        <v>919</v>
      </c>
      <c r="P318" s="427"/>
      <c r="Q318" s="428"/>
      <c r="R318" s="423" t="s">
        <v>920</v>
      </c>
      <c r="S318" s="425"/>
      <c r="T318" s="5" t="s">
        <v>5</v>
      </c>
      <c r="Y318" s="243"/>
      <c r="AB318" s="196"/>
      <c r="AC318" s="199"/>
    </row>
    <row r="319" spans="1:29" ht="20.100000000000001" customHeight="1" x14ac:dyDescent="0.25">
      <c r="A319" s="36"/>
      <c r="B319" s="141">
        <f>B317+1</f>
        <v>284</v>
      </c>
      <c r="C319" s="86">
        <v>208</v>
      </c>
      <c r="D319" s="110" t="str">
        <f>HYPERLINK("https://sites.wustl.edu/meteoritesite/items/lm_nwa_08673_clan/",W319)</f>
        <v>Northwest Africa 10048</v>
      </c>
      <c r="E319" s="376" t="s">
        <v>82</v>
      </c>
      <c r="F319" s="377"/>
      <c r="G319" s="377"/>
      <c r="H319" s="378"/>
      <c r="I319" s="412"/>
      <c r="J319" s="413"/>
      <c r="K319" s="413"/>
      <c r="L319" s="414"/>
      <c r="M319" s="379" t="s">
        <v>91</v>
      </c>
      <c r="N319" s="400"/>
      <c r="O319" s="381" t="s">
        <v>931</v>
      </c>
      <c r="P319" s="382"/>
      <c r="Q319" s="383"/>
      <c r="R319" s="376" t="s">
        <v>1573</v>
      </c>
      <c r="S319" s="378"/>
      <c r="T319" s="330">
        <v>1</v>
      </c>
      <c r="U319" s="35">
        <v>1</v>
      </c>
      <c r="W319" s="106" t="s">
        <v>331</v>
      </c>
      <c r="X319" s="61"/>
      <c r="Y319" s="243">
        <v>352.3</v>
      </c>
      <c r="Z319" s="243">
        <f t="shared" si="46"/>
        <v>352.3</v>
      </c>
      <c r="AB319" s="196"/>
      <c r="AC319" s="199"/>
    </row>
    <row r="320" spans="1:29" ht="20.100000000000001" customHeight="1" x14ac:dyDescent="0.25">
      <c r="A320" s="36"/>
      <c r="B320" s="141">
        <f t="shared" ref="B320:B386" si="47">B319+1</f>
        <v>285</v>
      </c>
      <c r="C320" s="86">
        <v>209</v>
      </c>
      <c r="D320" s="110" t="str">
        <f>HYPERLINK("https://sites.wustl.edu/meteoritesite/items/lm_nwa_8641_clan/",W320)</f>
        <v>Northwest Africa 10049</v>
      </c>
      <c r="E320" s="376" t="s">
        <v>81</v>
      </c>
      <c r="F320" s="377"/>
      <c r="G320" s="377"/>
      <c r="H320" s="378"/>
      <c r="I320" s="412"/>
      <c r="J320" s="413"/>
      <c r="K320" s="413"/>
      <c r="L320" s="414"/>
      <c r="M320" s="379">
        <v>56</v>
      </c>
      <c r="N320" s="400"/>
      <c r="O320" s="381" t="s">
        <v>872</v>
      </c>
      <c r="P320" s="382"/>
      <c r="Q320" s="383"/>
      <c r="R320" s="376" t="s">
        <v>6</v>
      </c>
      <c r="S320" s="378"/>
      <c r="T320" s="157">
        <v>1</v>
      </c>
      <c r="U320" s="35">
        <v>1</v>
      </c>
      <c r="W320" s="106" t="s">
        <v>332</v>
      </c>
      <c r="X320" s="61"/>
      <c r="Y320" s="243">
        <v>56</v>
      </c>
      <c r="Z320" s="243">
        <f t="shared" si="46"/>
        <v>56</v>
      </c>
      <c r="AB320" s="196"/>
      <c r="AC320" s="199"/>
    </row>
    <row r="321" spans="1:29" ht="20.100000000000001" customHeight="1" x14ac:dyDescent="0.25">
      <c r="A321" s="36"/>
      <c r="B321" s="141">
        <f t="shared" si="47"/>
        <v>286</v>
      </c>
      <c r="C321" s="86">
        <v>210</v>
      </c>
      <c r="D321" s="110" t="str">
        <f>HYPERLINK("https://sites.wustl.edu/meteoritesite/items/lm_nwa_08673_clan/",W321)</f>
        <v>Northwest Africa 10065</v>
      </c>
      <c r="E321" s="376" t="s">
        <v>82</v>
      </c>
      <c r="F321" s="377"/>
      <c r="G321" s="377"/>
      <c r="H321" s="378"/>
      <c r="I321" s="412"/>
      <c r="J321" s="413"/>
      <c r="K321" s="413"/>
      <c r="L321" s="414"/>
      <c r="M321" s="379">
        <v>282.8</v>
      </c>
      <c r="N321" s="400"/>
      <c r="O321" s="381" t="s">
        <v>873</v>
      </c>
      <c r="P321" s="382"/>
      <c r="Q321" s="383"/>
      <c r="R321" s="376" t="s">
        <v>1573</v>
      </c>
      <c r="S321" s="378"/>
      <c r="T321" s="157">
        <v>1</v>
      </c>
      <c r="U321" s="35">
        <v>1</v>
      </c>
      <c r="W321" s="106" t="s">
        <v>333</v>
      </c>
      <c r="X321" s="61"/>
      <c r="Y321" s="243">
        <v>282.8</v>
      </c>
      <c r="Z321" s="243">
        <f t="shared" si="46"/>
        <v>282.8</v>
      </c>
      <c r="AB321" s="196"/>
      <c r="AC321" s="199"/>
    </row>
    <row r="322" spans="1:29" ht="20.100000000000001" customHeight="1" x14ac:dyDescent="0.25">
      <c r="A322" s="36"/>
      <c r="B322" s="141">
        <f t="shared" si="47"/>
        <v>287</v>
      </c>
      <c r="C322" s="86">
        <v>211</v>
      </c>
      <c r="D322" s="23" t="str">
        <f>HYPERLINK("https://sites.wustl.edu/meteoritesite/items/lm_nwa_10073/",W322)</f>
        <v>Northwest Africa 10073</v>
      </c>
      <c r="E322" s="376">
        <v>15216</v>
      </c>
      <c r="F322" s="377"/>
      <c r="G322" s="377"/>
      <c r="H322" s="378"/>
      <c r="I322" s="412"/>
      <c r="J322" s="413"/>
      <c r="K322" s="413"/>
      <c r="L322" s="414"/>
      <c r="M322" s="379">
        <v>64</v>
      </c>
      <c r="N322" s="400"/>
      <c r="O322" s="381" t="s">
        <v>879</v>
      </c>
      <c r="P322" s="382"/>
      <c r="Q322" s="383"/>
      <c r="R322" s="376" t="s">
        <v>6</v>
      </c>
      <c r="S322" s="378"/>
      <c r="T322" s="157">
        <v>1</v>
      </c>
      <c r="U322" s="35">
        <v>1</v>
      </c>
      <c r="W322" s="106" t="s">
        <v>334</v>
      </c>
      <c r="X322" s="61"/>
      <c r="Y322" s="243">
        <v>64</v>
      </c>
      <c r="Z322" s="243">
        <f t="shared" si="46"/>
        <v>64</v>
      </c>
      <c r="AB322" s="196"/>
      <c r="AC322" s="199"/>
    </row>
    <row r="323" spans="1:29" ht="20.100000000000001" customHeight="1" x14ac:dyDescent="0.25">
      <c r="A323" s="36"/>
      <c r="B323" s="141">
        <f t="shared" si="47"/>
        <v>288</v>
      </c>
      <c r="C323" s="86">
        <v>212</v>
      </c>
      <c r="D323" s="110" t="str">
        <f>HYPERLINK("https://sites.wustl.edu/meteoritesite/items/lm_nwa_8641_clan/",W323)</f>
        <v>Northwest Africa 10077</v>
      </c>
      <c r="E323" s="376" t="s">
        <v>81</v>
      </c>
      <c r="F323" s="377"/>
      <c r="G323" s="377"/>
      <c r="H323" s="378"/>
      <c r="I323" s="412"/>
      <c r="J323" s="413"/>
      <c r="K323" s="413"/>
      <c r="L323" s="414"/>
      <c r="M323" s="379">
        <v>5.27</v>
      </c>
      <c r="N323" s="400"/>
      <c r="O323" s="381" t="s">
        <v>878</v>
      </c>
      <c r="P323" s="382"/>
      <c r="Q323" s="383"/>
      <c r="R323" s="376" t="s">
        <v>6</v>
      </c>
      <c r="S323" s="378"/>
      <c r="T323" s="157">
        <v>1</v>
      </c>
      <c r="U323" s="35">
        <v>1</v>
      </c>
      <c r="W323" s="106" t="s">
        <v>335</v>
      </c>
      <c r="X323" s="61"/>
      <c r="Y323" s="243">
        <v>5.27</v>
      </c>
      <c r="Z323" s="243">
        <f t="shared" si="46"/>
        <v>5.27</v>
      </c>
      <c r="AB323" s="196"/>
      <c r="AC323" s="199"/>
    </row>
    <row r="324" spans="1:29" ht="20.100000000000001" customHeight="1" x14ac:dyDescent="0.25">
      <c r="A324" s="36"/>
      <c r="B324" s="141">
        <f t="shared" si="47"/>
        <v>289</v>
      </c>
      <c r="C324" s="86">
        <v>213</v>
      </c>
      <c r="D324" s="110" t="str">
        <f>HYPERLINK("https://sites.wustl.edu/meteoritesite/items/lm_nwa_08022/",W324)</f>
        <v>Northwest Africa 10082</v>
      </c>
      <c r="E324" s="376">
        <v>8022</v>
      </c>
      <c r="F324" s="377"/>
      <c r="G324" s="377"/>
      <c r="H324" s="378"/>
      <c r="I324" s="412"/>
      <c r="J324" s="413"/>
      <c r="K324" s="413"/>
      <c r="L324" s="414"/>
      <c r="M324" s="379" t="s">
        <v>122</v>
      </c>
      <c r="N324" s="400"/>
      <c r="O324" s="381" t="s">
        <v>876</v>
      </c>
      <c r="P324" s="382"/>
      <c r="Q324" s="383"/>
      <c r="R324" s="376" t="s">
        <v>6</v>
      </c>
      <c r="S324" s="378"/>
      <c r="T324" s="157">
        <v>1</v>
      </c>
      <c r="U324" s="35">
        <v>1</v>
      </c>
      <c r="W324" s="106" t="s">
        <v>336</v>
      </c>
      <c r="X324" s="61"/>
      <c r="Y324" s="243">
        <v>5.2</v>
      </c>
      <c r="Z324" s="243">
        <f t="shared" si="46"/>
        <v>5.2</v>
      </c>
      <c r="AB324" s="196"/>
      <c r="AC324" s="199"/>
    </row>
    <row r="325" spans="1:29" ht="20.100000000000001" customHeight="1" x14ac:dyDescent="0.25">
      <c r="A325" s="36"/>
      <c r="B325" s="141">
        <f t="shared" si="47"/>
        <v>290</v>
      </c>
      <c r="C325" s="86">
        <v>214</v>
      </c>
      <c r="D325" s="110" t="str">
        <f>HYPERLINK("https://sites.wustl.edu/meteoritesite/items/lm_nwa_08673_clan/",W325)</f>
        <v>Northwest Africa 10123</v>
      </c>
      <c r="E325" s="376" t="s">
        <v>82</v>
      </c>
      <c r="F325" s="377"/>
      <c r="G325" s="377"/>
      <c r="H325" s="378"/>
      <c r="I325" s="412"/>
      <c r="J325" s="413"/>
      <c r="K325" s="413"/>
      <c r="L325" s="414"/>
      <c r="M325" s="379">
        <v>149.5</v>
      </c>
      <c r="N325" s="400"/>
      <c r="O325" s="381" t="s">
        <v>879</v>
      </c>
      <c r="P325" s="382"/>
      <c r="Q325" s="383"/>
      <c r="R325" s="376" t="s">
        <v>1573</v>
      </c>
      <c r="S325" s="378"/>
      <c r="T325" s="157">
        <v>1</v>
      </c>
      <c r="U325" s="35">
        <v>1</v>
      </c>
      <c r="W325" s="106" t="s">
        <v>337</v>
      </c>
      <c r="X325" s="61"/>
      <c r="Y325" s="243">
        <v>149.5</v>
      </c>
      <c r="Z325" s="243">
        <f t="shared" si="46"/>
        <v>149.5</v>
      </c>
      <c r="AB325" s="196"/>
      <c r="AC325" s="199"/>
    </row>
    <row r="326" spans="1:29" ht="20.100000000000001" customHeight="1" x14ac:dyDescent="0.25">
      <c r="A326" s="36"/>
      <c r="B326" s="141">
        <f t="shared" si="47"/>
        <v>291</v>
      </c>
      <c r="C326" s="86">
        <v>215</v>
      </c>
      <c r="D326" s="110" t="str">
        <f>HYPERLINK("https://sites.wustl.edu/meteoritesite/items/lm_nwa_08455_clan/",W326)</f>
        <v>Northwest Africa 10130</v>
      </c>
      <c r="E326" s="376" t="s">
        <v>80</v>
      </c>
      <c r="F326" s="377"/>
      <c r="G326" s="377"/>
      <c r="H326" s="378"/>
      <c r="I326" s="412"/>
      <c r="J326" s="413"/>
      <c r="K326" s="413"/>
      <c r="L326" s="414"/>
      <c r="M326" s="379">
        <v>191</v>
      </c>
      <c r="N326" s="400"/>
      <c r="O326" s="381" t="s">
        <v>880</v>
      </c>
      <c r="P326" s="382"/>
      <c r="Q326" s="383"/>
      <c r="R326" s="376" t="s">
        <v>6</v>
      </c>
      <c r="S326" s="378"/>
      <c r="T326" s="157">
        <v>1</v>
      </c>
      <c r="U326" s="35">
        <v>1</v>
      </c>
      <c r="W326" s="106" t="s">
        <v>338</v>
      </c>
      <c r="X326" s="61"/>
      <c r="Y326" s="243">
        <v>191</v>
      </c>
      <c r="Z326" s="243">
        <f t="shared" si="46"/>
        <v>191</v>
      </c>
      <c r="AB326" s="196"/>
      <c r="AC326" s="199"/>
    </row>
    <row r="327" spans="1:29" ht="20.100000000000001" customHeight="1" x14ac:dyDescent="0.25">
      <c r="A327" s="36"/>
      <c r="B327" s="141">
        <f t="shared" si="47"/>
        <v>292</v>
      </c>
      <c r="C327" s="86">
        <v>216</v>
      </c>
      <c r="D327" s="110" t="str">
        <f>HYPERLINK("https://sites.wustl.edu/meteoritesite/items/lm_nwa_8641_clan/",W327)</f>
        <v>Northwest Africa 10133</v>
      </c>
      <c r="E327" s="376" t="s">
        <v>81</v>
      </c>
      <c r="F327" s="377"/>
      <c r="G327" s="377"/>
      <c r="H327" s="378"/>
      <c r="I327" s="412"/>
      <c r="J327" s="413"/>
      <c r="K327" s="413"/>
      <c r="L327" s="414"/>
      <c r="M327" s="379" t="s">
        <v>90</v>
      </c>
      <c r="N327" s="400"/>
      <c r="O327" s="381" t="s">
        <v>875</v>
      </c>
      <c r="P327" s="382"/>
      <c r="Q327" s="383"/>
      <c r="R327" s="376" t="s">
        <v>6</v>
      </c>
      <c r="S327" s="378"/>
      <c r="T327" s="330">
        <v>1</v>
      </c>
      <c r="U327" s="35">
        <v>1</v>
      </c>
      <c r="W327" s="106" t="s">
        <v>339</v>
      </c>
      <c r="X327" s="61"/>
      <c r="Y327" s="243">
        <v>54.2</v>
      </c>
      <c r="Z327" s="243">
        <f t="shared" si="46"/>
        <v>54.2</v>
      </c>
      <c r="AB327" s="196"/>
      <c r="AC327" s="199"/>
    </row>
    <row r="328" spans="1:29" ht="20.100000000000001" customHeight="1" x14ac:dyDescent="0.25">
      <c r="A328" s="36"/>
      <c r="B328" s="141">
        <f t="shared" si="47"/>
        <v>293</v>
      </c>
      <c r="C328" s="86">
        <v>217</v>
      </c>
      <c r="D328" s="64" t="str">
        <f>HYPERLINK("https://sites.wustl.edu/meteoritesite/items/lm_nwa_05744_clan/",W328)</f>
        <v>Northwest Africa 10140</v>
      </c>
      <c r="E328" s="376" t="s">
        <v>36</v>
      </c>
      <c r="F328" s="377"/>
      <c r="G328" s="377"/>
      <c r="H328" s="378"/>
      <c r="I328" s="412"/>
      <c r="J328" s="413"/>
      <c r="K328" s="413"/>
      <c r="L328" s="414"/>
      <c r="M328" s="379">
        <v>68</v>
      </c>
      <c r="N328" s="400"/>
      <c r="O328" s="381" t="s">
        <v>880</v>
      </c>
      <c r="P328" s="382"/>
      <c r="Q328" s="383"/>
      <c r="R328" s="376" t="s">
        <v>563</v>
      </c>
      <c r="S328" s="378"/>
      <c r="T328" s="157">
        <v>1</v>
      </c>
      <c r="U328" s="35">
        <v>1</v>
      </c>
      <c r="W328" s="106" t="s">
        <v>340</v>
      </c>
      <c r="X328" s="61"/>
      <c r="Y328" s="243">
        <v>68</v>
      </c>
      <c r="Z328" s="243">
        <f t="shared" si="46"/>
        <v>68</v>
      </c>
      <c r="AB328" s="196"/>
      <c r="AC328" s="199"/>
    </row>
    <row r="329" spans="1:29" ht="20.100000000000001" customHeight="1" x14ac:dyDescent="0.25">
      <c r="A329" s="36"/>
      <c r="B329" s="141">
        <f t="shared" si="47"/>
        <v>294</v>
      </c>
      <c r="C329" s="86">
        <v>218</v>
      </c>
      <c r="D329" s="23" t="str">
        <f>HYPERLINK("https://sites.wustl.edu/meteoritesite/items/lm_nwa_10141_clan/",W329)</f>
        <v>Northwest Africa 10141</v>
      </c>
      <c r="E329" s="376" t="s">
        <v>597</v>
      </c>
      <c r="F329" s="377"/>
      <c r="G329" s="377"/>
      <c r="H329" s="378"/>
      <c r="I329" s="412"/>
      <c r="J329" s="413"/>
      <c r="K329" s="413"/>
      <c r="L329" s="414"/>
      <c r="M329" s="379">
        <v>39</v>
      </c>
      <c r="N329" s="400"/>
      <c r="O329" s="381" t="s">
        <v>879</v>
      </c>
      <c r="P329" s="382"/>
      <c r="Q329" s="383"/>
      <c r="R329" s="376" t="s">
        <v>6</v>
      </c>
      <c r="S329" s="378"/>
      <c r="T329" s="157">
        <v>1</v>
      </c>
      <c r="U329" s="35">
        <v>1</v>
      </c>
      <c r="W329" s="106" t="s">
        <v>341</v>
      </c>
      <c r="X329" s="61"/>
      <c r="Y329" s="243">
        <v>39</v>
      </c>
      <c r="Z329" s="243">
        <f t="shared" si="46"/>
        <v>39</v>
      </c>
      <c r="AB329" s="196"/>
      <c r="AC329" s="199"/>
    </row>
    <row r="330" spans="1:29" ht="20.100000000000001" customHeight="1" x14ac:dyDescent="0.25">
      <c r="A330" s="36"/>
      <c r="B330" s="141">
        <f t="shared" si="47"/>
        <v>295</v>
      </c>
      <c r="C330" s="86">
        <v>219</v>
      </c>
      <c r="D330" s="64" t="str">
        <f>HYPERLINK("https://sites.wustl.edu/meteoritesite/items/lm_nwa_10141_clan/",W330)</f>
        <v>Northwest Africa 10142</v>
      </c>
      <c r="E330" s="376" t="s">
        <v>596</v>
      </c>
      <c r="F330" s="377"/>
      <c r="G330" s="377"/>
      <c r="H330" s="378"/>
      <c r="I330" s="412"/>
      <c r="J330" s="413"/>
      <c r="K330" s="413"/>
      <c r="L330" s="414"/>
      <c r="M330" s="379">
        <v>102</v>
      </c>
      <c r="N330" s="400"/>
      <c r="O330" s="381" t="s">
        <v>872</v>
      </c>
      <c r="P330" s="382"/>
      <c r="Q330" s="383"/>
      <c r="R330" s="376" t="s">
        <v>6</v>
      </c>
      <c r="S330" s="378"/>
      <c r="T330" s="157">
        <v>0</v>
      </c>
      <c r="U330" s="35">
        <v>1</v>
      </c>
      <c r="W330" s="106" t="s">
        <v>342</v>
      </c>
      <c r="X330" s="61"/>
      <c r="Y330" s="243">
        <v>102</v>
      </c>
      <c r="Z330" s="243">
        <f t="shared" si="46"/>
        <v>102</v>
      </c>
      <c r="AB330" s="196"/>
      <c r="AC330" s="199"/>
    </row>
    <row r="331" spans="1:29" ht="20.100000000000001" customHeight="1" x14ac:dyDescent="0.25">
      <c r="A331" s="36"/>
      <c r="B331" s="141">
        <f t="shared" si="47"/>
        <v>296</v>
      </c>
      <c r="C331" s="86">
        <v>220</v>
      </c>
      <c r="D331" s="64" t="str">
        <f>HYPERLINK("https://sites.wustl.edu/meteoritesite/items/lm_nwa_07834_clan/",W331)</f>
        <v>Northwest Africa 10149</v>
      </c>
      <c r="E331" s="376" t="s">
        <v>140</v>
      </c>
      <c r="F331" s="377"/>
      <c r="G331" s="377"/>
      <c r="H331" s="378"/>
      <c r="I331" s="779"/>
      <c r="J331" s="780"/>
      <c r="K331" s="780"/>
      <c r="L331" s="781"/>
      <c r="M331" s="379">
        <v>1815</v>
      </c>
      <c r="N331" s="400"/>
      <c r="O331" s="381" t="s">
        <v>881</v>
      </c>
      <c r="P331" s="382"/>
      <c r="Q331" s="383"/>
      <c r="R331" s="376" t="s">
        <v>1573</v>
      </c>
      <c r="S331" s="378"/>
      <c r="T331" s="157">
        <v>1</v>
      </c>
      <c r="U331" s="35">
        <v>1</v>
      </c>
      <c r="W331" s="106" t="s">
        <v>343</v>
      </c>
      <c r="X331" s="61"/>
      <c r="Y331" s="243">
        <v>1815</v>
      </c>
      <c r="Z331" s="243">
        <f t="shared" si="46"/>
        <v>1815</v>
      </c>
      <c r="AB331" s="196"/>
      <c r="AC331" s="199"/>
    </row>
    <row r="332" spans="1:29" ht="20.100000000000001" customHeight="1" x14ac:dyDescent="0.25">
      <c r="A332" s="36"/>
      <c r="B332" s="141">
        <f t="shared" si="47"/>
        <v>297</v>
      </c>
      <c r="C332" s="86">
        <v>221</v>
      </c>
      <c r="D332" s="64" t="str">
        <f>HYPERLINK("https://sites.wustl.edu/meteoritesite/items/lm_nwa_07834_clan/",W332)</f>
        <v>Northwest Africa 10172</v>
      </c>
      <c r="E332" s="376" t="s">
        <v>140</v>
      </c>
      <c r="F332" s="377"/>
      <c r="G332" s="377"/>
      <c r="H332" s="378"/>
      <c r="I332" s="412"/>
      <c r="J332" s="413"/>
      <c r="K332" s="413"/>
      <c r="L332" s="414"/>
      <c r="M332" s="379" t="s">
        <v>542</v>
      </c>
      <c r="N332" s="400"/>
      <c r="O332" s="381" t="s">
        <v>881</v>
      </c>
      <c r="P332" s="382"/>
      <c r="Q332" s="383"/>
      <c r="R332" s="376" t="s">
        <v>1573</v>
      </c>
      <c r="S332" s="378"/>
      <c r="T332" s="330">
        <v>1</v>
      </c>
      <c r="U332" s="35">
        <v>1</v>
      </c>
      <c r="W332" s="106" t="s">
        <v>41</v>
      </c>
      <c r="X332" s="61"/>
      <c r="Y332" s="243">
        <v>788</v>
      </c>
      <c r="Z332" s="243">
        <f t="shared" si="46"/>
        <v>788</v>
      </c>
      <c r="AB332" s="196"/>
      <c r="AC332" s="199"/>
    </row>
    <row r="333" spans="1:29" ht="20.100000000000001" customHeight="1" x14ac:dyDescent="0.25">
      <c r="A333" s="36"/>
      <c r="B333" s="141">
        <f t="shared" si="47"/>
        <v>298</v>
      </c>
      <c r="C333" s="86">
        <v>222</v>
      </c>
      <c r="D333" s="64" t="str">
        <f>HYPERLINK("https://sites.wustl.edu/meteoritesite/items/lm_nwa_05744_clan/",W333)</f>
        <v>Northwest Africa 10178</v>
      </c>
      <c r="E333" s="376" t="s">
        <v>36</v>
      </c>
      <c r="F333" s="377"/>
      <c r="G333" s="377"/>
      <c r="H333" s="378"/>
      <c r="I333" s="412"/>
      <c r="J333" s="413"/>
      <c r="K333" s="413"/>
      <c r="L333" s="414"/>
      <c r="M333" s="379" t="s">
        <v>89</v>
      </c>
      <c r="N333" s="400"/>
      <c r="O333" s="381" t="s">
        <v>882</v>
      </c>
      <c r="P333" s="382"/>
      <c r="Q333" s="383"/>
      <c r="R333" s="376" t="s">
        <v>563</v>
      </c>
      <c r="S333" s="378"/>
      <c r="T333" s="330">
        <v>1</v>
      </c>
      <c r="U333" s="35">
        <v>1</v>
      </c>
      <c r="W333" s="106" t="s">
        <v>344</v>
      </c>
      <c r="X333" s="61"/>
      <c r="Y333" s="243">
        <v>1279.3</v>
      </c>
      <c r="Z333" s="243">
        <f t="shared" si="46"/>
        <v>1279.3</v>
      </c>
      <c r="AB333" s="196"/>
      <c r="AC333" s="199"/>
    </row>
    <row r="334" spans="1:29" ht="20.100000000000001" customHeight="1" x14ac:dyDescent="0.25">
      <c r="A334" s="36"/>
      <c r="B334" s="128">
        <f t="shared" si="47"/>
        <v>299</v>
      </c>
      <c r="C334" s="68">
        <v>223</v>
      </c>
      <c r="D334" s="64" t="str">
        <f>HYPERLINK("https://sites.wustl.edu/meteoritesite/items/lm_nwa_07834_clan/",W334)</f>
        <v>Northwest Africa 10203</v>
      </c>
      <c r="E334" s="376" t="s">
        <v>140</v>
      </c>
      <c r="F334" s="377"/>
      <c r="G334" s="377"/>
      <c r="H334" s="378"/>
      <c r="I334" s="412"/>
      <c r="J334" s="413"/>
      <c r="K334" s="413"/>
      <c r="L334" s="414"/>
      <c r="M334" s="379" t="s">
        <v>88</v>
      </c>
      <c r="N334" s="400"/>
      <c r="O334" s="381" t="s">
        <v>883</v>
      </c>
      <c r="P334" s="382"/>
      <c r="Q334" s="383"/>
      <c r="R334" s="376" t="s">
        <v>1573</v>
      </c>
      <c r="S334" s="378"/>
      <c r="T334" s="330">
        <v>1</v>
      </c>
      <c r="U334" s="35">
        <v>1</v>
      </c>
      <c r="W334" s="106" t="s">
        <v>345</v>
      </c>
      <c r="X334" s="61"/>
      <c r="Y334" s="243">
        <v>3300</v>
      </c>
      <c r="Z334" s="243">
        <f t="shared" si="46"/>
        <v>3300</v>
      </c>
      <c r="AB334" s="196"/>
      <c r="AC334" s="199"/>
    </row>
    <row r="335" spans="1:29" ht="20.100000000000001" customHeight="1" x14ac:dyDescent="0.25">
      <c r="A335" s="36"/>
      <c r="B335" s="128">
        <f t="shared" si="47"/>
        <v>300</v>
      </c>
      <c r="C335" s="68">
        <v>225</v>
      </c>
      <c r="D335" s="110" t="str">
        <f>HYPERLINK("https://sites.wustl.edu/meteoritesite/items/lm_nwa_08455_clan/",W335)</f>
        <v>Northwest Africa 10228</v>
      </c>
      <c r="E335" s="376" t="s">
        <v>80</v>
      </c>
      <c r="F335" s="377"/>
      <c r="G335" s="377"/>
      <c r="H335" s="378"/>
      <c r="I335" s="412"/>
      <c r="J335" s="413"/>
      <c r="K335" s="413"/>
      <c r="L335" s="414"/>
      <c r="M335" s="379">
        <v>19.399999999999999</v>
      </c>
      <c r="N335" s="400"/>
      <c r="O335" s="381" t="s">
        <v>884</v>
      </c>
      <c r="P335" s="382"/>
      <c r="Q335" s="383"/>
      <c r="R335" s="376" t="s">
        <v>6</v>
      </c>
      <c r="S335" s="378"/>
      <c r="T335" s="157">
        <v>1</v>
      </c>
      <c r="U335" s="35">
        <v>1</v>
      </c>
      <c r="W335" s="106" t="s">
        <v>346</v>
      </c>
      <c r="X335" s="61"/>
      <c r="Y335" s="243">
        <v>19.399999999999999</v>
      </c>
      <c r="Z335" s="243">
        <f t="shared" si="46"/>
        <v>19.399999999999999</v>
      </c>
      <c r="AB335" s="196"/>
      <c r="AC335" s="199"/>
    </row>
    <row r="336" spans="1:29" ht="20.100000000000001" customHeight="1" x14ac:dyDescent="0.25">
      <c r="A336" s="36"/>
      <c r="B336" s="128">
        <f t="shared" si="47"/>
        <v>301</v>
      </c>
      <c r="C336" s="68">
        <v>226</v>
      </c>
      <c r="D336" s="64" t="str">
        <f>HYPERLINK("https://sites.wustl.edu/meteoritesite/items/lm_nwa_07834_clan/",W336)</f>
        <v>Northwest Africa 10253</v>
      </c>
      <c r="E336" s="376" t="s">
        <v>140</v>
      </c>
      <c r="F336" s="377"/>
      <c r="G336" s="377"/>
      <c r="H336" s="378"/>
      <c r="I336" s="412"/>
      <c r="J336" s="413"/>
      <c r="K336" s="413"/>
      <c r="L336" s="414"/>
      <c r="M336" s="379" t="s">
        <v>1463</v>
      </c>
      <c r="N336" s="400"/>
      <c r="O336" s="381" t="s">
        <v>883</v>
      </c>
      <c r="P336" s="382"/>
      <c r="Q336" s="383"/>
      <c r="R336" s="376" t="s">
        <v>1573</v>
      </c>
      <c r="S336" s="378"/>
      <c r="T336" s="157">
        <v>1</v>
      </c>
      <c r="U336" s="35">
        <v>1</v>
      </c>
      <c r="W336" s="106" t="s">
        <v>347</v>
      </c>
      <c r="X336" s="61"/>
      <c r="Y336" s="243">
        <v>6674.1</v>
      </c>
      <c r="Z336" s="243">
        <f t="shared" si="46"/>
        <v>6674.1</v>
      </c>
      <c r="AB336" s="196"/>
      <c r="AC336" s="199"/>
    </row>
    <row r="337" spans="1:29" ht="20.100000000000001" customHeight="1" x14ac:dyDescent="0.25">
      <c r="A337" s="36"/>
      <c r="B337" s="128">
        <f t="shared" si="47"/>
        <v>302</v>
      </c>
      <c r="C337" s="68">
        <v>227</v>
      </c>
      <c r="D337" s="64" t="str">
        <f>HYPERLINK("https://sites.wustl.edu/meteoritesite/items/lm_nwa_07834_clan/",W337)</f>
        <v>Northwest Africa 10258</v>
      </c>
      <c r="E337" s="376" t="s">
        <v>140</v>
      </c>
      <c r="F337" s="377"/>
      <c r="G337" s="377"/>
      <c r="H337" s="378"/>
      <c r="I337" s="412"/>
      <c r="J337" s="413"/>
      <c r="K337" s="413"/>
      <c r="L337" s="414"/>
      <c r="M337" s="379">
        <v>58</v>
      </c>
      <c r="N337" s="400"/>
      <c r="O337" s="381" t="s">
        <v>883</v>
      </c>
      <c r="P337" s="382"/>
      <c r="Q337" s="383"/>
      <c r="R337" s="376" t="s">
        <v>1573</v>
      </c>
      <c r="S337" s="378"/>
      <c r="T337" s="157">
        <v>1</v>
      </c>
      <c r="U337" s="35">
        <v>1</v>
      </c>
      <c r="W337" s="106" t="s">
        <v>348</v>
      </c>
      <c r="X337" s="61"/>
      <c r="Y337" s="243">
        <v>58</v>
      </c>
      <c r="Z337" s="243">
        <f t="shared" si="46"/>
        <v>58</v>
      </c>
      <c r="AB337" s="196"/>
      <c r="AC337" s="199"/>
    </row>
    <row r="338" spans="1:29" ht="20.100000000000001" customHeight="1" x14ac:dyDescent="0.25">
      <c r="A338" s="36"/>
      <c r="B338" s="128">
        <f t="shared" si="47"/>
        <v>303</v>
      </c>
      <c r="C338" s="68">
        <v>229</v>
      </c>
      <c r="D338" s="64" t="str">
        <f>HYPERLINK("https://sites.wustl.edu/meteoritesite/items/lm_nwa_07834_clan/",W338)</f>
        <v>Northwest Africa 10263</v>
      </c>
      <c r="E338" s="376" t="s">
        <v>140</v>
      </c>
      <c r="F338" s="377"/>
      <c r="G338" s="377"/>
      <c r="H338" s="378"/>
      <c r="I338" s="412"/>
      <c r="J338" s="413"/>
      <c r="K338" s="413"/>
      <c r="L338" s="414"/>
      <c r="M338" s="379" t="s">
        <v>158</v>
      </c>
      <c r="N338" s="400"/>
      <c r="O338" s="381" t="s">
        <v>884</v>
      </c>
      <c r="P338" s="382"/>
      <c r="Q338" s="383"/>
      <c r="R338" s="376" t="s">
        <v>1573</v>
      </c>
      <c r="S338" s="378"/>
      <c r="T338" s="330">
        <v>1</v>
      </c>
      <c r="U338" s="35">
        <v>1</v>
      </c>
      <c r="W338" s="106" t="s">
        <v>349</v>
      </c>
      <c r="X338" s="61"/>
      <c r="Y338" s="243">
        <v>1015</v>
      </c>
      <c r="Z338" s="243">
        <f t="shared" si="46"/>
        <v>1015</v>
      </c>
      <c r="AB338" s="196"/>
      <c r="AC338" s="199"/>
    </row>
    <row r="339" spans="1:29" ht="20.100000000000001" customHeight="1" x14ac:dyDescent="0.25">
      <c r="A339" s="36"/>
      <c r="B339" s="128">
        <f t="shared" si="47"/>
        <v>304</v>
      </c>
      <c r="C339" s="68">
        <v>230</v>
      </c>
      <c r="D339" s="64" t="str">
        <f>HYPERLINK("https://sites.wustl.edu/meteoritesite/items/lm_nwa_07834_clan/",W339)</f>
        <v>Northwest Africa 10272</v>
      </c>
      <c r="E339" s="376" t="s">
        <v>140</v>
      </c>
      <c r="F339" s="377"/>
      <c r="G339" s="377"/>
      <c r="H339" s="378"/>
      <c r="I339" s="376"/>
      <c r="J339" s="377"/>
      <c r="K339" s="377"/>
      <c r="L339" s="378"/>
      <c r="M339" s="379">
        <v>74.25</v>
      </c>
      <c r="N339" s="400"/>
      <c r="O339" s="381" t="s">
        <v>884</v>
      </c>
      <c r="P339" s="382"/>
      <c r="Q339" s="383"/>
      <c r="R339" s="376" t="s">
        <v>1573</v>
      </c>
      <c r="S339" s="378"/>
      <c r="T339" s="330">
        <v>1</v>
      </c>
      <c r="U339" s="35">
        <v>1</v>
      </c>
      <c r="W339" s="106" t="s">
        <v>350</v>
      </c>
      <c r="X339" s="61"/>
      <c r="Y339" s="243">
        <v>74.25</v>
      </c>
      <c r="Z339" s="243">
        <f t="shared" si="46"/>
        <v>74.25</v>
      </c>
      <c r="AB339" s="196"/>
      <c r="AC339" s="199"/>
    </row>
    <row r="340" spans="1:29" ht="20.100000000000001" customHeight="1" x14ac:dyDescent="0.25">
      <c r="A340" s="36"/>
      <c r="B340" s="128">
        <f t="shared" si="47"/>
        <v>305</v>
      </c>
      <c r="C340" s="68">
        <v>231</v>
      </c>
      <c r="D340" s="64" t="str">
        <f>HYPERLINK("https://sites.wustl.edu/meteoritesite/items/lm_nwa_07834_clan/",W340)</f>
        <v>Northwest Africa 10291</v>
      </c>
      <c r="E340" s="376" t="s">
        <v>140</v>
      </c>
      <c r="F340" s="377"/>
      <c r="G340" s="377"/>
      <c r="H340" s="378"/>
      <c r="I340" s="379"/>
      <c r="J340" s="380"/>
      <c r="K340" s="380"/>
      <c r="L340" s="400"/>
      <c r="M340" s="379" t="s">
        <v>543</v>
      </c>
      <c r="N340" s="400"/>
      <c r="O340" s="381" t="s">
        <v>884</v>
      </c>
      <c r="P340" s="382"/>
      <c r="Q340" s="383"/>
      <c r="R340" s="376" t="s">
        <v>1573</v>
      </c>
      <c r="S340" s="378"/>
      <c r="T340" s="330">
        <v>1</v>
      </c>
      <c r="U340" s="35">
        <v>1</v>
      </c>
      <c r="W340" s="106" t="s">
        <v>351</v>
      </c>
      <c r="X340" s="61"/>
      <c r="Y340" s="243">
        <v>10.01</v>
      </c>
      <c r="Z340" s="243">
        <f t="shared" si="46"/>
        <v>10.01</v>
      </c>
      <c r="AB340" s="196"/>
      <c r="AC340" s="199"/>
    </row>
    <row r="341" spans="1:29" ht="36" customHeight="1" x14ac:dyDescent="0.25">
      <c r="A341" s="36"/>
      <c r="B341" s="125" t="s">
        <v>402</v>
      </c>
      <c r="C341" s="30" t="s">
        <v>1034</v>
      </c>
      <c r="D341" s="33" t="s">
        <v>915</v>
      </c>
      <c r="E341" s="420" t="s">
        <v>916</v>
      </c>
      <c r="F341" s="421"/>
      <c r="G341" s="421"/>
      <c r="H341" s="422"/>
      <c r="I341" s="423" t="s">
        <v>917</v>
      </c>
      <c r="J341" s="424"/>
      <c r="K341" s="424"/>
      <c r="L341" s="425"/>
      <c r="M341" s="430" t="s">
        <v>918</v>
      </c>
      <c r="N341" s="431"/>
      <c r="O341" s="426" t="s">
        <v>919</v>
      </c>
      <c r="P341" s="427"/>
      <c r="Q341" s="428"/>
      <c r="R341" s="423" t="s">
        <v>920</v>
      </c>
      <c r="S341" s="425"/>
      <c r="T341" s="5" t="s">
        <v>5</v>
      </c>
      <c r="Y341" s="243"/>
      <c r="AB341" s="196"/>
      <c r="AC341" s="199"/>
    </row>
    <row r="342" spans="1:29" ht="20.100000000000001" customHeight="1" x14ac:dyDescent="0.25">
      <c r="A342" s="36"/>
      <c r="B342" s="128">
        <f>B340+1</f>
        <v>306</v>
      </c>
      <c r="C342" s="68">
        <v>234</v>
      </c>
      <c r="D342" s="110" t="str">
        <f>HYPERLINK("https://sites.wustl.edu/meteoritesite/items/lm_nwa_08046_clan/",W342)</f>
        <v>Northwest Africa 10309</v>
      </c>
      <c r="E342" s="376" t="s">
        <v>466</v>
      </c>
      <c r="F342" s="377"/>
      <c r="G342" s="377"/>
      <c r="H342" s="378"/>
      <c r="I342" s="376"/>
      <c r="J342" s="377"/>
      <c r="K342" s="377"/>
      <c r="L342" s="378"/>
      <c r="M342" s="401" t="s">
        <v>1464</v>
      </c>
      <c r="N342" s="400"/>
      <c r="O342" s="381" t="s">
        <v>885</v>
      </c>
      <c r="P342" s="382"/>
      <c r="Q342" s="383"/>
      <c r="R342" s="376" t="s">
        <v>6</v>
      </c>
      <c r="S342" s="378"/>
      <c r="T342" s="330">
        <v>1</v>
      </c>
      <c r="U342" s="35">
        <v>1</v>
      </c>
      <c r="W342" s="106" t="s">
        <v>352</v>
      </c>
      <c r="X342" s="61"/>
      <c r="Y342" s="243">
        <v>16518</v>
      </c>
      <c r="Z342" s="243">
        <f t="shared" si="46"/>
        <v>16518</v>
      </c>
      <c r="AB342" s="196"/>
      <c r="AC342" s="199"/>
    </row>
    <row r="343" spans="1:29" ht="20.100000000000001" customHeight="1" x14ac:dyDescent="0.25">
      <c r="A343" s="36"/>
      <c r="B343" s="128">
        <f t="shared" si="47"/>
        <v>307</v>
      </c>
      <c r="C343" s="68">
        <v>232</v>
      </c>
      <c r="D343" s="64" t="str">
        <f>HYPERLINK("https://sites.wustl.edu/meteoritesite/items/lm_nwa_07834_clan/",W343)</f>
        <v>Northwest Africa 10317</v>
      </c>
      <c r="E343" s="376" t="s">
        <v>140</v>
      </c>
      <c r="F343" s="377"/>
      <c r="G343" s="377"/>
      <c r="H343" s="378"/>
      <c r="I343" s="379"/>
      <c r="J343" s="380"/>
      <c r="K343" s="380"/>
      <c r="L343" s="400"/>
      <c r="M343" s="463">
        <v>11</v>
      </c>
      <c r="N343" s="464"/>
      <c r="O343" s="381" t="s">
        <v>932</v>
      </c>
      <c r="P343" s="382"/>
      <c r="Q343" s="383"/>
      <c r="R343" s="376" t="s">
        <v>1573</v>
      </c>
      <c r="S343" s="378"/>
      <c r="T343" s="330">
        <v>1</v>
      </c>
      <c r="U343" s="35">
        <v>1</v>
      </c>
      <c r="W343" s="106" t="s">
        <v>353</v>
      </c>
      <c r="X343" s="61"/>
      <c r="Y343" s="243">
        <v>11</v>
      </c>
      <c r="Z343" s="243">
        <f t="shared" si="46"/>
        <v>11</v>
      </c>
      <c r="AB343" s="196"/>
      <c r="AC343" s="199"/>
    </row>
    <row r="344" spans="1:29" ht="20.100000000000001" customHeight="1" x14ac:dyDescent="0.25">
      <c r="A344" s="36"/>
      <c r="B344" s="128">
        <f t="shared" si="47"/>
        <v>308</v>
      </c>
      <c r="C344" s="68">
        <v>233</v>
      </c>
      <c r="D344" s="64" t="str">
        <f>HYPERLINK("https://sites.wustl.edu/meteoritesite/items/lm_nwa_05744_clan/",W344)</f>
        <v>Northwest Africa 10318</v>
      </c>
      <c r="E344" s="376" t="s">
        <v>36</v>
      </c>
      <c r="F344" s="377"/>
      <c r="G344" s="377"/>
      <c r="H344" s="378"/>
      <c r="I344" s="379"/>
      <c r="J344" s="380"/>
      <c r="K344" s="380"/>
      <c r="L344" s="400"/>
      <c r="M344" s="463">
        <v>31</v>
      </c>
      <c r="N344" s="464"/>
      <c r="O344" s="381" t="s">
        <v>933</v>
      </c>
      <c r="P344" s="382"/>
      <c r="Q344" s="383"/>
      <c r="R344" s="376" t="s">
        <v>1588</v>
      </c>
      <c r="S344" s="378"/>
      <c r="T344" s="330">
        <v>1</v>
      </c>
      <c r="U344" s="35">
        <v>1</v>
      </c>
      <c r="W344" s="106" t="s">
        <v>354</v>
      </c>
      <c r="X344" s="61"/>
      <c r="Y344" s="243">
        <v>31</v>
      </c>
      <c r="Z344" s="243">
        <f t="shared" si="46"/>
        <v>31</v>
      </c>
      <c r="AB344" s="196"/>
      <c r="AC344" s="199"/>
    </row>
    <row r="345" spans="1:29" ht="20.100000000000001" customHeight="1" x14ac:dyDescent="0.25">
      <c r="A345" s="36"/>
      <c r="B345" s="128">
        <f t="shared" si="47"/>
        <v>309</v>
      </c>
      <c r="C345" s="68">
        <v>235</v>
      </c>
      <c r="D345" s="64" t="str">
        <f>HYPERLINK("https://sites.wustl.edu/meteoritesite/items/lm_nwa_07834_clan/",W345)</f>
        <v>Northwest Africa 10376</v>
      </c>
      <c r="E345" s="376" t="s">
        <v>140</v>
      </c>
      <c r="F345" s="377"/>
      <c r="G345" s="377"/>
      <c r="H345" s="378"/>
      <c r="I345" s="379"/>
      <c r="J345" s="380"/>
      <c r="K345" s="380"/>
      <c r="L345" s="400"/>
      <c r="M345" s="402">
        <v>20</v>
      </c>
      <c r="N345" s="403"/>
      <c r="O345" s="381" t="s">
        <v>883</v>
      </c>
      <c r="P345" s="382"/>
      <c r="Q345" s="383"/>
      <c r="R345" s="376" t="s">
        <v>1573</v>
      </c>
      <c r="S345" s="378"/>
      <c r="T345" s="330">
        <v>1</v>
      </c>
      <c r="U345" s="35">
        <v>1</v>
      </c>
      <c r="W345" s="106" t="s">
        <v>389</v>
      </c>
      <c r="X345" s="61"/>
      <c r="Y345" s="243">
        <v>20</v>
      </c>
      <c r="Z345" s="243">
        <f t="shared" si="46"/>
        <v>20</v>
      </c>
      <c r="AB345" s="196"/>
      <c r="AC345" s="199"/>
    </row>
    <row r="346" spans="1:29" ht="20.100000000000001" customHeight="1" x14ac:dyDescent="0.25">
      <c r="A346" s="36"/>
      <c r="B346" s="128">
        <f t="shared" si="47"/>
        <v>310</v>
      </c>
      <c r="C346" s="68">
        <v>238</v>
      </c>
      <c r="D346" s="64" t="str">
        <f>HYPERLINK("https://sites.wustl.edu/meteoritesite/items/lm_nwa_05744_clan/",W346)</f>
        <v>Northwest Africa 10401</v>
      </c>
      <c r="E346" s="376" t="s">
        <v>36</v>
      </c>
      <c r="F346" s="377"/>
      <c r="G346" s="377"/>
      <c r="H346" s="378"/>
      <c r="I346" s="412"/>
      <c r="J346" s="413"/>
      <c r="K346" s="413"/>
      <c r="L346" s="414"/>
      <c r="M346" s="379" t="s">
        <v>405</v>
      </c>
      <c r="N346" s="400"/>
      <c r="O346" s="381" t="s">
        <v>883</v>
      </c>
      <c r="P346" s="382"/>
      <c r="Q346" s="383"/>
      <c r="R346" s="376" t="s">
        <v>563</v>
      </c>
      <c r="S346" s="378"/>
      <c r="T346" s="157">
        <v>1</v>
      </c>
      <c r="U346" s="35">
        <v>1</v>
      </c>
      <c r="W346" s="106" t="s">
        <v>404</v>
      </c>
      <c r="X346" s="61"/>
      <c r="Y346" s="243">
        <v>354</v>
      </c>
      <c r="Z346" s="243">
        <f t="shared" si="46"/>
        <v>354</v>
      </c>
      <c r="AB346" s="196"/>
      <c r="AC346" s="199"/>
    </row>
    <row r="347" spans="1:29" ht="20.100000000000001" customHeight="1" x14ac:dyDescent="0.25">
      <c r="A347" s="36"/>
      <c r="B347" s="128">
        <f t="shared" si="47"/>
        <v>311</v>
      </c>
      <c r="C347" s="68">
        <v>237</v>
      </c>
      <c r="D347" s="23" t="str">
        <f>HYPERLINK("https://sites.wustl.edu/meteoritesite/items/lm_nwa_10404/",W347)</f>
        <v>Northwest Africa 10404</v>
      </c>
      <c r="E347" s="376"/>
      <c r="F347" s="377"/>
      <c r="G347" s="377"/>
      <c r="H347" s="378"/>
      <c r="I347" s="379"/>
      <c r="J347" s="380"/>
      <c r="K347" s="380"/>
      <c r="L347" s="400"/>
      <c r="M347" s="402">
        <v>229</v>
      </c>
      <c r="N347" s="403"/>
      <c r="O347" s="381" t="s">
        <v>884</v>
      </c>
      <c r="P347" s="382"/>
      <c r="Q347" s="383"/>
      <c r="R347" s="376" t="s">
        <v>6</v>
      </c>
      <c r="S347" s="378"/>
      <c r="T347" s="330">
        <v>1</v>
      </c>
      <c r="U347" s="35">
        <v>1</v>
      </c>
      <c r="W347" s="106" t="s">
        <v>397</v>
      </c>
      <c r="X347" s="61"/>
      <c r="Y347" s="243">
        <v>229</v>
      </c>
      <c r="Z347" s="243">
        <f t="shared" si="46"/>
        <v>229</v>
      </c>
      <c r="AB347" s="196"/>
      <c r="AC347" s="199"/>
    </row>
    <row r="348" spans="1:29" ht="20.100000000000001" customHeight="1" x14ac:dyDescent="0.25">
      <c r="A348" s="36"/>
      <c r="B348" s="141">
        <f t="shared" si="47"/>
        <v>312</v>
      </c>
      <c r="C348" s="86">
        <v>236</v>
      </c>
      <c r="D348" s="23" t="str">
        <f>HYPERLINK("https://sites.wustl.edu/meteoritesite/items/lm_nwa_10141_clan/",W348)</f>
        <v>Northwest Africa 10415</v>
      </c>
      <c r="E348" s="376" t="s">
        <v>560</v>
      </c>
      <c r="F348" s="377"/>
      <c r="G348" s="377"/>
      <c r="H348" s="378"/>
      <c r="I348" s="379"/>
      <c r="J348" s="380"/>
      <c r="K348" s="380"/>
      <c r="L348" s="400"/>
      <c r="M348" s="402" t="s">
        <v>393</v>
      </c>
      <c r="N348" s="403"/>
      <c r="O348" s="473" t="s">
        <v>885</v>
      </c>
      <c r="P348" s="474"/>
      <c r="Q348" s="475"/>
      <c r="R348" s="376" t="s">
        <v>6</v>
      </c>
      <c r="S348" s="378"/>
      <c r="T348" s="330">
        <v>1</v>
      </c>
      <c r="U348" s="35">
        <v>1</v>
      </c>
      <c r="W348" s="106" t="s">
        <v>392</v>
      </c>
      <c r="X348" s="61"/>
      <c r="Y348" s="243">
        <v>164</v>
      </c>
      <c r="Z348" s="243">
        <f t="shared" si="46"/>
        <v>164</v>
      </c>
      <c r="AB348" s="196"/>
      <c r="AC348" s="199"/>
    </row>
    <row r="349" spans="1:29" ht="20.100000000000001" customHeight="1" x14ac:dyDescent="0.25">
      <c r="A349" s="36"/>
      <c r="B349" s="141">
        <f t="shared" si="47"/>
        <v>313</v>
      </c>
      <c r="C349" s="86">
        <v>239</v>
      </c>
      <c r="D349" s="23" t="str">
        <f>HYPERLINK("https://sites.wustl.edu/meteoritesite/items/lm_nwa_10447/",W349)</f>
        <v>Northwest Africa 10447</v>
      </c>
      <c r="E349" s="376"/>
      <c r="F349" s="377"/>
      <c r="G349" s="377"/>
      <c r="H349" s="378"/>
      <c r="I349" s="412"/>
      <c r="J349" s="413"/>
      <c r="K349" s="413"/>
      <c r="L349" s="414"/>
      <c r="M349" s="432">
        <v>21.73</v>
      </c>
      <c r="N349" s="433"/>
      <c r="O349" s="478" t="s">
        <v>884</v>
      </c>
      <c r="P349" s="474"/>
      <c r="Q349" s="475"/>
      <c r="R349" s="376" t="s">
        <v>444</v>
      </c>
      <c r="S349" s="378"/>
      <c r="T349" s="157">
        <v>1</v>
      </c>
      <c r="U349" s="35">
        <v>1</v>
      </c>
      <c r="W349" s="106" t="s">
        <v>406</v>
      </c>
      <c r="X349" s="61"/>
      <c r="Y349" s="243">
        <v>21.73</v>
      </c>
      <c r="Z349" s="243">
        <f t="shared" si="46"/>
        <v>21.73</v>
      </c>
      <c r="AB349" s="196"/>
      <c r="AC349" s="199"/>
    </row>
    <row r="350" spans="1:29" ht="20.100000000000001" customHeight="1" x14ac:dyDescent="0.25">
      <c r="A350" s="36"/>
      <c r="B350" s="142">
        <f t="shared" si="47"/>
        <v>314</v>
      </c>
      <c r="C350" s="87">
        <v>240</v>
      </c>
      <c r="D350" s="110" t="str">
        <f>HYPERLINK("https://sites.wustl.edu/meteoritesite/items/lm_nwa_08046_clan/",W350)</f>
        <v>Northwest Africa 10461</v>
      </c>
      <c r="E350" s="376" t="s">
        <v>466</v>
      </c>
      <c r="F350" s="377"/>
      <c r="G350" s="377"/>
      <c r="H350" s="378"/>
      <c r="I350" s="379"/>
      <c r="J350" s="380"/>
      <c r="K350" s="380"/>
      <c r="L350" s="400"/>
      <c r="M350" s="432" t="s">
        <v>409</v>
      </c>
      <c r="N350" s="433"/>
      <c r="O350" s="473" t="s">
        <v>885</v>
      </c>
      <c r="P350" s="474"/>
      <c r="Q350" s="475"/>
      <c r="R350" s="376" t="s">
        <v>6</v>
      </c>
      <c r="S350" s="378"/>
      <c r="T350" s="330">
        <v>1</v>
      </c>
      <c r="U350" s="35">
        <v>1</v>
      </c>
      <c r="W350" s="106" t="s">
        <v>408</v>
      </c>
      <c r="X350" s="61"/>
      <c r="Y350" s="243">
        <v>285.75</v>
      </c>
      <c r="Z350" s="243">
        <f t="shared" si="46"/>
        <v>285.75</v>
      </c>
      <c r="AB350" s="196"/>
      <c r="AC350" s="199"/>
    </row>
    <row r="351" spans="1:29" ht="20.100000000000001" customHeight="1" x14ac:dyDescent="0.25">
      <c r="A351" s="36"/>
      <c r="B351" s="143">
        <f t="shared" si="47"/>
        <v>315</v>
      </c>
      <c r="C351" s="88">
        <v>241</v>
      </c>
      <c r="D351" s="110" t="str">
        <f>HYPERLINK("https://sites.wustl.edu/meteoritesite/items/lm_nwa_07611_clan/",W351)</f>
        <v>Northwest Africa 10480</v>
      </c>
      <c r="E351" s="376" t="s">
        <v>394</v>
      </c>
      <c r="F351" s="377"/>
      <c r="G351" s="377"/>
      <c r="H351" s="378"/>
      <c r="I351" s="379"/>
      <c r="J351" s="380"/>
      <c r="K351" s="380"/>
      <c r="L351" s="400"/>
      <c r="M351" s="402">
        <v>33</v>
      </c>
      <c r="N351" s="403"/>
      <c r="O351" s="478" t="s">
        <v>934</v>
      </c>
      <c r="P351" s="474"/>
      <c r="Q351" s="475"/>
      <c r="R351" s="376" t="s">
        <v>562</v>
      </c>
      <c r="S351" s="378"/>
      <c r="T351" s="330">
        <v>1</v>
      </c>
      <c r="U351" s="35">
        <v>1</v>
      </c>
      <c r="W351" s="106" t="s">
        <v>410</v>
      </c>
      <c r="X351" s="61"/>
      <c r="Y351" s="243">
        <v>33</v>
      </c>
      <c r="Z351" s="243">
        <f t="shared" si="46"/>
        <v>33</v>
      </c>
      <c r="AB351" s="196"/>
      <c r="AC351" s="199"/>
    </row>
    <row r="352" spans="1:29" ht="20.100000000000001" customHeight="1" x14ac:dyDescent="0.25">
      <c r="A352" s="36"/>
      <c r="B352" s="143">
        <f t="shared" si="47"/>
        <v>316</v>
      </c>
      <c r="C352" s="88">
        <v>242</v>
      </c>
      <c r="D352" s="23" t="str">
        <f>HYPERLINK("https://sites.wustl.edu/meteoritesite/items/lm_nwa_10495/",W352)</f>
        <v>Northwest Africa 10495</v>
      </c>
      <c r="E352" s="376" t="s">
        <v>698</v>
      </c>
      <c r="F352" s="377"/>
      <c r="G352" s="377"/>
      <c r="H352" s="378"/>
      <c r="I352" s="412"/>
      <c r="J352" s="413"/>
      <c r="K352" s="413"/>
      <c r="L352" s="414"/>
      <c r="M352" s="402" t="s">
        <v>1465</v>
      </c>
      <c r="N352" s="403"/>
      <c r="O352" s="478" t="s">
        <v>861</v>
      </c>
      <c r="P352" s="474"/>
      <c r="Q352" s="475"/>
      <c r="R352" s="376" t="s">
        <v>6</v>
      </c>
      <c r="S352" s="378"/>
      <c r="T352" s="330">
        <v>1</v>
      </c>
      <c r="U352" s="35">
        <v>1</v>
      </c>
      <c r="W352" s="106" t="s">
        <v>415</v>
      </c>
      <c r="X352" s="61"/>
      <c r="Y352" s="243">
        <v>15600</v>
      </c>
      <c r="Z352" s="243">
        <f t="shared" si="46"/>
        <v>15600</v>
      </c>
      <c r="AB352" s="196"/>
      <c r="AC352" s="199"/>
    </row>
    <row r="353" spans="1:29" ht="20.100000000000001" customHeight="1" x14ac:dyDescent="0.25">
      <c r="A353" s="36"/>
      <c r="B353" s="143">
        <f t="shared" si="47"/>
        <v>317</v>
      </c>
      <c r="C353" s="88">
        <v>243</v>
      </c>
      <c r="D353" s="23" t="str">
        <f>HYPERLINK("https://sites.wustl.edu/meteoritesite/items/lm_nwa_10509_clan/",W353)</f>
        <v>Northwest Africa 10509</v>
      </c>
      <c r="E353" s="376" t="s">
        <v>978</v>
      </c>
      <c r="F353" s="377"/>
      <c r="G353" s="377"/>
      <c r="H353" s="378"/>
      <c r="I353" s="379"/>
      <c r="J353" s="380"/>
      <c r="K353" s="380"/>
      <c r="L353" s="400"/>
      <c r="M353" s="402">
        <v>660</v>
      </c>
      <c r="N353" s="403"/>
      <c r="O353" s="478" t="s">
        <v>935</v>
      </c>
      <c r="P353" s="474"/>
      <c r="Q353" s="475"/>
      <c r="R353" s="376" t="s">
        <v>6</v>
      </c>
      <c r="S353" s="378"/>
      <c r="T353" s="330">
        <v>1</v>
      </c>
      <c r="U353" s="35">
        <v>1</v>
      </c>
      <c r="W353" s="106" t="s">
        <v>426</v>
      </c>
      <c r="X353" s="61"/>
      <c r="Y353" s="243">
        <v>660</v>
      </c>
      <c r="Z353" s="243">
        <f t="shared" si="46"/>
        <v>660</v>
      </c>
      <c r="AB353" s="196"/>
      <c r="AC353" s="199"/>
    </row>
    <row r="354" spans="1:29" ht="20.100000000000001" customHeight="1" x14ac:dyDescent="0.25">
      <c r="A354" s="36"/>
      <c r="B354" s="143">
        <f t="shared" si="47"/>
        <v>318</v>
      </c>
      <c r="C354" s="88">
        <v>244</v>
      </c>
      <c r="D354" s="64" t="str">
        <f>HYPERLINK("https://sites.wustl.edu/meteoritesite/items/lm_nwa_07834_clan/",W354)</f>
        <v>Northwest Africa 10546</v>
      </c>
      <c r="E354" s="376" t="s">
        <v>140</v>
      </c>
      <c r="F354" s="377"/>
      <c r="G354" s="377"/>
      <c r="H354" s="378"/>
      <c r="I354" s="379"/>
      <c r="J354" s="380"/>
      <c r="K354" s="380"/>
      <c r="L354" s="400"/>
      <c r="M354" s="432">
        <v>43.35</v>
      </c>
      <c r="N354" s="433"/>
      <c r="O354" s="478" t="s">
        <v>934</v>
      </c>
      <c r="P354" s="474"/>
      <c r="Q354" s="475"/>
      <c r="R354" s="376" t="s">
        <v>1573</v>
      </c>
      <c r="S354" s="378"/>
      <c r="T354" s="330">
        <v>1</v>
      </c>
      <c r="U354" s="35">
        <v>1</v>
      </c>
      <c r="W354" s="106" t="s">
        <v>427</v>
      </c>
      <c r="X354" s="61"/>
      <c r="Y354" s="243">
        <v>43.35</v>
      </c>
      <c r="Z354" s="243">
        <f t="shared" si="46"/>
        <v>43.35</v>
      </c>
      <c r="AB354" s="196"/>
      <c r="AC354" s="199"/>
    </row>
    <row r="355" spans="1:29" ht="20.100000000000001" customHeight="1" x14ac:dyDescent="0.25">
      <c r="A355" s="36"/>
      <c r="B355" s="143">
        <f t="shared" si="47"/>
        <v>319</v>
      </c>
      <c r="C355" s="88">
        <v>245</v>
      </c>
      <c r="D355" s="110" t="str">
        <f>HYPERLINK("https://sites.wustl.edu/meteoritesite/items/lm_nwa_07611_clan/",W355)</f>
        <v>Northwest Africa 10566</v>
      </c>
      <c r="E355" s="376" t="s">
        <v>394</v>
      </c>
      <c r="F355" s="377"/>
      <c r="G355" s="377"/>
      <c r="H355" s="378"/>
      <c r="I355" s="379"/>
      <c r="J355" s="380"/>
      <c r="K355" s="380"/>
      <c r="L355" s="400"/>
      <c r="M355" s="402">
        <v>130</v>
      </c>
      <c r="N355" s="403"/>
      <c r="O355" s="478" t="s">
        <v>879</v>
      </c>
      <c r="P355" s="474"/>
      <c r="Q355" s="475"/>
      <c r="R355" s="376" t="s">
        <v>1589</v>
      </c>
      <c r="S355" s="378"/>
      <c r="T355" s="330">
        <v>1</v>
      </c>
      <c r="U355" s="35">
        <v>1</v>
      </c>
      <c r="W355" s="106" t="s">
        <v>448</v>
      </c>
      <c r="X355" s="61"/>
      <c r="Y355" s="243">
        <v>130</v>
      </c>
      <c r="Z355" s="243">
        <f t="shared" si="46"/>
        <v>130</v>
      </c>
      <c r="AB355" s="196"/>
      <c r="AC355" s="199"/>
    </row>
    <row r="356" spans="1:29" ht="20.100000000000001" customHeight="1" x14ac:dyDescent="0.25">
      <c r="A356" s="36"/>
      <c r="B356" s="143">
        <f t="shared" si="47"/>
        <v>320</v>
      </c>
      <c r="C356" s="88">
        <v>246</v>
      </c>
      <c r="D356" s="110" t="str">
        <f>HYPERLINK("https://sites.wustl.edu/meteoritesite/items/lm_nwa_04734-10597/",W356)</f>
        <v>Northwest Africa 10597</v>
      </c>
      <c r="E356" s="376">
        <v>4734</v>
      </c>
      <c r="F356" s="377"/>
      <c r="G356" s="377"/>
      <c r="H356" s="378"/>
      <c r="I356" s="379"/>
      <c r="J356" s="380"/>
      <c r="K356" s="380"/>
      <c r="L356" s="400"/>
      <c r="M356" s="402">
        <v>350</v>
      </c>
      <c r="N356" s="403"/>
      <c r="O356" s="478" t="s">
        <v>896</v>
      </c>
      <c r="P356" s="474"/>
      <c r="Q356" s="475"/>
      <c r="R356" s="376" t="s">
        <v>8</v>
      </c>
      <c r="S356" s="378"/>
      <c r="T356" s="330">
        <v>1</v>
      </c>
      <c r="U356" s="35">
        <v>1</v>
      </c>
      <c r="W356" s="106" t="s">
        <v>428</v>
      </c>
      <c r="X356" s="61"/>
      <c r="Y356" s="243">
        <v>350</v>
      </c>
      <c r="Z356" s="243">
        <f t="shared" si="46"/>
        <v>350</v>
      </c>
      <c r="AB356" s="196"/>
      <c r="AC356" s="199"/>
    </row>
    <row r="357" spans="1:29" ht="20.100000000000001" customHeight="1" x14ac:dyDescent="0.25">
      <c r="A357" s="36"/>
      <c r="B357" s="143">
        <f t="shared" si="47"/>
        <v>321</v>
      </c>
      <c r="C357" s="88">
        <v>247</v>
      </c>
      <c r="D357" s="110" t="str">
        <f>HYPERLINK("https://sites.wustl.edu/meteoritesite/items/lm_nwa_07834_clan/",W357)</f>
        <v>Northwest Africa 10599</v>
      </c>
      <c r="E357" s="376" t="s">
        <v>140</v>
      </c>
      <c r="F357" s="377"/>
      <c r="G357" s="377"/>
      <c r="H357" s="378"/>
      <c r="I357" s="379"/>
      <c r="J357" s="380"/>
      <c r="K357" s="380"/>
      <c r="L357" s="400"/>
      <c r="M357" s="463">
        <v>77.8</v>
      </c>
      <c r="N357" s="464"/>
      <c r="O357" s="478" t="s">
        <v>883</v>
      </c>
      <c r="P357" s="474"/>
      <c r="Q357" s="475"/>
      <c r="R357" s="376" t="s">
        <v>1573</v>
      </c>
      <c r="S357" s="378"/>
      <c r="T357" s="330">
        <v>1</v>
      </c>
      <c r="U357" s="35">
        <v>1</v>
      </c>
      <c r="W357" s="106" t="s">
        <v>429</v>
      </c>
      <c r="X357" s="61"/>
      <c r="Y357" s="243">
        <v>77.8</v>
      </c>
      <c r="Z357" s="243">
        <f t="shared" ref="Z357:Z426" si="48">Y357</f>
        <v>77.8</v>
      </c>
      <c r="AB357" s="196"/>
      <c r="AC357" s="199"/>
    </row>
    <row r="358" spans="1:29" ht="36" customHeight="1" x14ac:dyDescent="0.25">
      <c r="A358" s="36"/>
      <c r="B358" s="125" t="s">
        <v>402</v>
      </c>
      <c r="C358" s="30" t="s">
        <v>1034</v>
      </c>
      <c r="D358" s="33" t="s">
        <v>915</v>
      </c>
      <c r="E358" s="420" t="s">
        <v>916</v>
      </c>
      <c r="F358" s="421"/>
      <c r="G358" s="421"/>
      <c r="H358" s="422"/>
      <c r="I358" s="423" t="s">
        <v>917</v>
      </c>
      <c r="J358" s="424"/>
      <c r="K358" s="424"/>
      <c r="L358" s="425"/>
      <c r="M358" s="430" t="s">
        <v>918</v>
      </c>
      <c r="N358" s="431"/>
      <c r="O358" s="426" t="s">
        <v>919</v>
      </c>
      <c r="P358" s="427"/>
      <c r="Q358" s="428"/>
      <c r="R358" s="423" t="s">
        <v>920</v>
      </c>
      <c r="S358" s="425"/>
      <c r="T358" s="5" t="s">
        <v>5</v>
      </c>
      <c r="Y358" s="243"/>
      <c r="AB358" s="196"/>
      <c r="AC358" s="199"/>
    </row>
    <row r="359" spans="1:29" ht="20.100000000000001" customHeight="1" x14ac:dyDescent="0.25">
      <c r="A359" s="36"/>
      <c r="B359" s="143">
        <f>B357+1</f>
        <v>322</v>
      </c>
      <c r="C359" s="88">
        <v>248</v>
      </c>
      <c r="D359" s="23" t="str">
        <f>HYPERLINK("https://sites.wustl.edu/meteoritesite/items/lm_nwa_10608/",W359)</f>
        <v>Northwest Africa 10608</v>
      </c>
      <c r="E359" s="376" t="s">
        <v>647</v>
      </c>
      <c r="F359" s="377"/>
      <c r="G359" s="377"/>
      <c r="H359" s="378"/>
      <c r="I359" s="379"/>
      <c r="J359" s="380"/>
      <c r="K359" s="380"/>
      <c r="L359" s="400"/>
      <c r="M359" s="402">
        <v>2014</v>
      </c>
      <c r="N359" s="403"/>
      <c r="O359" s="478" t="s">
        <v>886</v>
      </c>
      <c r="P359" s="474"/>
      <c r="Q359" s="475"/>
      <c r="R359" s="376" t="s">
        <v>6</v>
      </c>
      <c r="S359" s="378"/>
      <c r="T359" s="330">
        <v>0</v>
      </c>
      <c r="U359" s="35">
        <v>1</v>
      </c>
      <c r="W359" s="106" t="s">
        <v>432</v>
      </c>
      <c r="X359" s="61"/>
      <c r="Y359" s="243">
        <v>2014</v>
      </c>
      <c r="Z359" s="243">
        <f t="shared" si="48"/>
        <v>2014</v>
      </c>
      <c r="AB359" s="196"/>
      <c r="AC359" s="199"/>
    </row>
    <row r="360" spans="1:29" ht="20.100000000000001" customHeight="1" x14ac:dyDescent="0.25">
      <c r="A360" s="36"/>
      <c r="B360" s="143">
        <f t="shared" si="47"/>
        <v>323</v>
      </c>
      <c r="C360" s="88">
        <v>249</v>
      </c>
      <c r="D360" s="110" t="str">
        <f>HYPERLINK("https://sites.wustl.edu/meteoritesite/items/lm_nwa_08046_clan/",W360)</f>
        <v>Northwest Africa 10609</v>
      </c>
      <c r="E360" s="376" t="s">
        <v>466</v>
      </c>
      <c r="F360" s="377"/>
      <c r="G360" s="377"/>
      <c r="H360" s="378"/>
      <c r="I360" s="379"/>
      <c r="J360" s="380"/>
      <c r="K360" s="380"/>
      <c r="L360" s="400"/>
      <c r="M360" s="432">
        <v>43.02</v>
      </c>
      <c r="N360" s="433"/>
      <c r="O360" s="478" t="s">
        <v>886</v>
      </c>
      <c r="P360" s="474"/>
      <c r="Q360" s="475"/>
      <c r="R360" s="376" t="s">
        <v>6</v>
      </c>
      <c r="S360" s="378"/>
      <c r="T360" s="330">
        <v>1</v>
      </c>
      <c r="U360" s="35">
        <v>1</v>
      </c>
      <c r="W360" s="106" t="s">
        <v>433</v>
      </c>
      <c r="X360" s="61"/>
      <c r="Y360" s="243">
        <v>43.02</v>
      </c>
      <c r="Z360" s="243">
        <f t="shared" si="48"/>
        <v>43.02</v>
      </c>
      <c r="AB360" s="196"/>
      <c r="AC360" s="199"/>
    </row>
    <row r="361" spans="1:29" ht="20.100000000000001" customHeight="1" x14ac:dyDescent="0.25">
      <c r="A361" s="36"/>
      <c r="B361" s="143">
        <f t="shared" si="47"/>
        <v>324</v>
      </c>
      <c r="C361" s="88">
        <v>250</v>
      </c>
      <c r="D361" s="110" t="str">
        <f>HYPERLINK("https://sites.wustl.edu/meteoritesite/items/lm_nwa_08455_clan/",W361)</f>
        <v>Northwest Africa 10621</v>
      </c>
      <c r="E361" s="376" t="s">
        <v>80</v>
      </c>
      <c r="F361" s="377"/>
      <c r="G361" s="377"/>
      <c r="H361" s="378"/>
      <c r="I361" s="379"/>
      <c r="J361" s="380"/>
      <c r="K361" s="380"/>
      <c r="L361" s="400"/>
      <c r="M361" s="402" t="s">
        <v>544</v>
      </c>
      <c r="N361" s="403"/>
      <c r="O361" s="478" t="s">
        <v>880</v>
      </c>
      <c r="P361" s="474"/>
      <c r="Q361" s="475"/>
      <c r="R361" s="376" t="s">
        <v>6</v>
      </c>
      <c r="S361" s="378"/>
      <c r="T361" s="330">
        <v>1</v>
      </c>
      <c r="U361" s="35">
        <v>1</v>
      </c>
      <c r="W361" s="106" t="s">
        <v>430</v>
      </c>
      <c r="X361" s="61"/>
      <c r="Y361" s="243">
        <v>22</v>
      </c>
      <c r="Z361" s="243">
        <f t="shared" si="48"/>
        <v>22</v>
      </c>
      <c r="AB361" s="196"/>
      <c r="AC361" s="199"/>
    </row>
    <row r="362" spans="1:29" ht="20.100000000000001" customHeight="1" x14ac:dyDescent="0.25">
      <c r="A362" s="36"/>
      <c r="B362" s="143">
        <f t="shared" si="47"/>
        <v>325</v>
      </c>
      <c r="C362" s="88">
        <v>251</v>
      </c>
      <c r="D362" s="110" t="str">
        <f>HYPERLINK("https://sites.wustl.edu/meteoritesite/items/lm_nwa_10626/",W362)</f>
        <v>Northwest Africa 10626</v>
      </c>
      <c r="E362" s="376" t="s">
        <v>979</v>
      </c>
      <c r="F362" s="377"/>
      <c r="G362" s="377"/>
      <c r="H362" s="378"/>
      <c r="I362" s="412"/>
      <c r="J362" s="413"/>
      <c r="K362" s="413"/>
      <c r="L362" s="414"/>
      <c r="M362" s="402">
        <v>1849</v>
      </c>
      <c r="N362" s="403"/>
      <c r="O362" s="478" t="s">
        <v>934</v>
      </c>
      <c r="P362" s="474"/>
      <c r="Q362" s="475"/>
      <c r="R362" s="376" t="s">
        <v>6</v>
      </c>
      <c r="S362" s="378"/>
      <c r="T362" s="330">
        <v>1</v>
      </c>
      <c r="U362" s="35">
        <v>1</v>
      </c>
      <c r="W362" s="106" t="s">
        <v>431</v>
      </c>
      <c r="X362" s="61"/>
      <c r="Y362" s="243">
        <v>1849</v>
      </c>
      <c r="Z362" s="243">
        <f t="shared" si="48"/>
        <v>1849</v>
      </c>
      <c r="AB362" s="196"/>
      <c r="AC362" s="199"/>
    </row>
    <row r="363" spans="1:29" ht="20.100000000000001" customHeight="1" x14ac:dyDescent="0.25">
      <c r="A363" s="36"/>
      <c r="B363" s="143">
        <f t="shared" si="47"/>
        <v>326</v>
      </c>
      <c r="C363" s="88">
        <v>255</v>
      </c>
      <c r="D363" s="110" t="str">
        <f>HYPERLINK("https://sites.wustl.edu/meteoritesite/items/lm_nwa_08046_clan/",W363)</f>
        <v>Northwest Africa 10643</v>
      </c>
      <c r="E363" s="376" t="s">
        <v>466</v>
      </c>
      <c r="F363" s="377"/>
      <c r="G363" s="377"/>
      <c r="H363" s="378"/>
      <c r="I363" s="379"/>
      <c r="J363" s="380"/>
      <c r="K363" s="380"/>
      <c r="L363" s="400"/>
      <c r="M363" s="432">
        <v>43.56</v>
      </c>
      <c r="N363" s="433"/>
      <c r="O363" s="478" t="s">
        <v>936</v>
      </c>
      <c r="P363" s="474"/>
      <c r="Q363" s="475"/>
      <c r="R363" s="376" t="s">
        <v>6</v>
      </c>
      <c r="S363" s="378"/>
      <c r="T363" s="330">
        <v>1</v>
      </c>
      <c r="U363" s="35">
        <v>1</v>
      </c>
      <c r="W363" s="106" t="s">
        <v>441</v>
      </c>
      <c r="X363" s="61"/>
      <c r="Y363" s="243">
        <v>43.56</v>
      </c>
      <c r="Z363" s="243">
        <f t="shared" si="48"/>
        <v>43.56</v>
      </c>
      <c r="AB363" s="196"/>
      <c r="AC363" s="199"/>
    </row>
    <row r="364" spans="1:29" ht="20.100000000000001" customHeight="1" x14ac:dyDescent="0.25">
      <c r="A364" s="36"/>
      <c r="B364" s="143">
        <f t="shared" si="47"/>
        <v>327</v>
      </c>
      <c r="C364" s="88">
        <v>256</v>
      </c>
      <c r="D364" s="64" t="str">
        <f>HYPERLINK("https://sites.wustl.edu/meteoritesite/items/lm_nwa_07834_clan/",W364)</f>
        <v>Northwest Africa 10644</v>
      </c>
      <c r="E364" s="376" t="s">
        <v>140</v>
      </c>
      <c r="F364" s="377"/>
      <c r="G364" s="377"/>
      <c r="H364" s="378"/>
      <c r="I364" s="379"/>
      <c r="J364" s="380"/>
      <c r="K364" s="380"/>
      <c r="L364" s="400"/>
      <c r="M364" s="402">
        <v>166</v>
      </c>
      <c r="N364" s="403"/>
      <c r="O364" s="478" t="s">
        <v>896</v>
      </c>
      <c r="P364" s="474"/>
      <c r="Q364" s="475"/>
      <c r="R364" s="376" t="s">
        <v>1573</v>
      </c>
      <c r="S364" s="378"/>
      <c r="T364" s="330">
        <v>1</v>
      </c>
      <c r="U364" s="35">
        <v>1</v>
      </c>
      <c r="W364" s="106" t="s">
        <v>442</v>
      </c>
      <c r="X364" s="61"/>
      <c r="Y364" s="243">
        <v>166</v>
      </c>
      <c r="Z364" s="243">
        <f t="shared" si="48"/>
        <v>166</v>
      </c>
      <c r="AB364" s="196"/>
      <c r="AC364" s="199"/>
    </row>
    <row r="365" spans="1:29" ht="20.100000000000001" customHeight="1" x14ac:dyDescent="0.25">
      <c r="A365" s="36"/>
      <c r="B365" s="143">
        <f t="shared" si="47"/>
        <v>328</v>
      </c>
      <c r="C365" s="88">
        <v>257</v>
      </c>
      <c r="D365" s="110" t="str">
        <f>HYPERLINK("https://sites.wustl.edu/meteoritesite/items/lm_nwa_08046_clan/",W365)</f>
        <v>Northwest Africa 10649</v>
      </c>
      <c r="E365" s="376" t="s">
        <v>466</v>
      </c>
      <c r="F365" s="377"/>
      <c r="G365" s="377"/>
      <c r="H365" s="378"/>
      <c r="I365" s="379"/>
      <c r="J365" s="380"/>
      <c r="K365" s="380"/>
      <c r="L365" s="400"/>
      <c r="M365" s="463">
        <v>41.3</v>
      </c>
      <c r="N365" s="464"/>
      <c r="O365" s="478" t="s">
        <v>936</v>
      </c>
      <c r="P365" s="474"/>
      <c r="Q365" s="475"/>
      <c r="R365" s="376" t="s">
        <v>6</v>
      </c>
      <c r="S365" s="378"/>
      <c r="T365" s="330">
        <v>1</v>
      </c>
      <c r="U365" s="35">
        <v>1</v>
      </c>
      <c r="W365" s="106" t="s">
        <v>434</v>
      </c>
      <c r="X365" s="61"/>
      <c r="Y365" s="243">
        <v>41.3</v>
      </c>
      <c r="Z365" s="243">
        <f t="shared" si="48"/>
        <v>41.3</v>
      </c>
      <c r="AB365" s="196"/>
      <c r="AC365" s="199"/>
    </row>
    <row r="366" spans="1:29" ht="20.100000000000001" customHeight="1" x14ac:dyDescent="0.25">
      <c r="A366" s="36"/>
      <c r="B366" s="143">
        <f t="shared" si="47"/>
        <v>329</v>
      </c>
      <c r="C366" s="88">
        <v>263</v>
      </c>
      <c r="D366" s="64" t="str">
        <f>HYPERLINK("https://sites.wustl.edu/meteoritesite/items/lm_nwa_00773_clan/",W366)</f>
        <v>Northwest Africa 10656</v>
      </c>
      <c r="E366" s="376" t="s">
        <v>76</v>
      </c>
      <c r="F366" s="377"/>
      <c r="G366" s="377"/>
      <c r="H366" s="378"/>
      <c r="I366" s="379"/>
      <c r="J366" s="380"/>
      <c r="K366" s="380"/>
      <c r="L366" s="400"/>
      <c r="M366" s="471">
        <v>262.5</v>
      </c>
      <c r="N366" s="472"/>
      <c r="O366" s="478" t="s">
        <v>937</v>
      </c>
      <c r="P366" s="474"/>
      <c r="Q366" s="475"/>
      <c r="R366" s="376" t="s">
        <v>564</v>
      </c>
      <c r="S366" s="378"/>
      <c r="T366" s="330">
        <v>1</v>
      </c>
      <c r="U366" s="35">
        <v>1</v>
      </c>
      <c r="W366" s="106" t="s">
        <v>435</v>
      </c>
      <c r="X366" s="61"/>
      <c r="Y366" s="243">
        <v>262.5</v>
      </c>
      <c r="Z366" s="243">
        <f t="shared" si="48"/>
        <v>262.5</v>
      </c>
      <c r="AA366" s="197"/>
      <c r="AB366" s="196"/>
      <c r="AC366" s="199"/>
    </row>
    <row r="367" spans="1:29" ht="20.100000000000001" customHeight="1" x14ac:dyDescent="0.25">
      <c r="A367" s="36"/>
      <c r="B367" s="143">
        <f t="shared" si="47"/>
        <v>330</v>
      </c>
      <c r="C367" s="88">
        <v>258</v>
      </c>
      <c r="D367" s="23" t="str">
        <f>HYPERLINK("https://sites.wustl.edu/meteoritesite/items/lm_nwa_10665/",W367)</f>
        <v>Northwest Africa 10665</v>
      </c>
      <c r="E367" s="376" t="s">
        <v>979</v>
      </c>
      <c r="F367" s="377"/>
      <c r="G367" s="377"/>
      <c r="H367" s="378"/>
      <c r="I367" s="376" t="s">
        <v>457</v>
      </c>
      <c r="J367" s="377"/>
      <c r="K367" s="377"/>
      <c r="L367" s="378"/>
      <c r="M367" s="784">
        <v>24.73</v>
      </c>
      <c r="N367" s="785"/>
      <c r="O367" s="478" t="s">
        <v>938</v>
      </c>
      <c r="P367" s="474"/>
      <c r="Q367" s="475"/>
      <c r="R367" s="376" t="s">
        <v>1573</v>
      </c>
      <c r="S367" s="378"/>
      <c r="T367" s="330">
        <v>1</v>
      </c>
      <c r="U367" s="35">
        <v>1</v>
      </c>
      <c r="W367" s="106" t="s">
        <v>450</v>
      </c>
      <c r="X367" s="61"/>
      <c r="Y367" s="243">
        <v>24.73</v>
      </c>
      <c r="Z367" s="243">
        <f t="shared" si="48"/>
        <v>24.73</v>
      </c>
      <c r="AB367" s="196"/>
      <c r="AC367" s="199"/>
    </row>
    <row r="368" spans="1:29" ht="20.100000000000001" customHeight="1" x14ac:dyDescent="0.25">
      <c r="A368" s="36"/>
      <c r="B368" s="143">
        <f t="shared" si="47"/>
        <v>331</v>
      </c>
      <c r="C368" s="88">
        <v>260</v>
      </c>
      <c r="D368" s="23" t="str">
        <f>HYPERLINK("https://sites.wustl.edu/meteoritesite/items/lm_nwa_10678/",W368)</f>
        <v>Northwest Africa 10678</v>
      </c>
      <c r="E368" s="376" t="s">
        <v>1040</v>
      </c>
      <c r="F368" s="377"/>
      <c r="G368" s="377"/>
      <c r="H368" s="378"/>
      <c r="I368" s="379"/>
      <c r="J368" s="380"/>
      <c r="K368" s="380"/>
      <c r="L368" s="400"/>
      <c r="M368" s="784">
        <v>49.15</v>
      </c>
      <c r="N368" s="785"/>
      <c r="O368" s="478" t="s">
        <v>896</v>
      </c>
      <c r="P368" s="474"/>
      <c r="Q368" s="475"/>
      <c r="R368" s="376" t="s">
        <v>6</v>
      </c>
      <c r="S368" s="378"/>
      <c r="T368" s="330">
        <v>1</v>
      </c>
      <c r="U368" s="35">
        <v>1</v>
      </c>
      <c r="W368" s="106" t="s">
        <v>449</v>
      </c>
      <c r="X368" s="61"/>
      <c r="Y368" s="243">
        <v>49.15</v>
      </c>
      <c r="Z368" s="243">
        <f t="shared" si="48"/>
        <v>49.15</v>
      </c>
      <c r="AB368" s="196"/>
      <c r="AC368" s="199"/>
    </row>
    <row r="369" spans="1:29" ht="20.100000000000001" customHeight="1" x14ac:dyDescent="0.25">
      <c r="A369" s="36"/>
      <c r="B369" s="143">
        <f t="shared" si="47"/>
        <v>332</v>
      </c>
      <c r="C369" s="88">
        <v>259</v>
      </c>
      <c r="D369" s="23" t="str">
        <f>HYPERLINK("https://sites.wustl.edu/meteoritesite/items/lm_nwa_10713/",W369)</f>
        <v>Northwest Africa 10713</v>
      </c>
      <c r="E369" s="376" t="s">
        <v>603</v>
      </c>
      <c r="F369" s="377"/>
      <c r="G369" s="377"/>
      <c r="H369" s="378"/>
      <c r="I369" s="379"/>
      <c r="J369" s="380"/>
      <c r="K369" s="380"/>
      <c r="L369" s="400"/>
      <c r="M369" s="471">
        <v>60.2</v>
      </c>
      <c r="N369" s="472"/>
      <c r="O369" s="473" t="s">
        <v>939</v>
      </c>
      <c r="P369" s="479"/>
      <c r="Q369" s="480"/>
      <c r="R369" s="376" t="s">
        <v>6</v>
      </c>
      <c r="S369" s="378"/>
      <c r="T369" s="330">
        <v>0</v>
      </c>
      <c r="U369" s="35">
        <v>1</v>
      </c>
      <c r="W369" s="106" t="s">
        <v>451</v>
      </c>
      <c r="X369" s="61"/>
      <c r="Y369" s="243">
        <v>60.2</v>
      </c>
      <c r="Z369" s="243">
        <f t="shared" si="48"/>
        <v>60.2</v>
      </c>
      <c r="AB369" s="196"/>
      <c r="AC369" s="199"/>
    </row>
    <row r="370" spans="1:29" ht="20.100000000000001" customHeight="1" x14ac:dyDescent="0.25">
      <c r="A370" s="36"/>
      <c r="B370" s="143">
        <f t="shared" si="47"/>
        <v>333</v>
      </c>
      <c r="C370" s="88">
        <v>261</v>
      </c>
      <c r="D370" s="110" t="str">
        <f>HYPERLINK("https://sites.wustl.edu/meteoritesite/items/lm_nwa_08046_clan/",W370)</f>
        <v>Northwest Africa 10756</v>
      </c>
      <c r="E370" s="376" t="s">
        <v>466</v>
      </c>
      <c r="F370" s="377"/>
      <c r="G370" s="377"/>
      <c r="H370" s="378"/>
      <c r="I370" s="379"/>
      <c r="J370" s="380"/>
      <c r="K370" s="380"/>
      <c r="L370" s="400"/>
      <c r="M370" s="471">
        <v>125</v>
      </c>
      <c r="N370" s="472"/>
      <c r="O370" s="473" t="s">
        <v>887</v>
      </c>
      <c r="P370" s="474"/>
      <c r="Q370" s="475"/>
      <c r="R370" s="376" t="s">
        <v>6</v>
      </c>
      <c r="S370" s="378"/>
      <c r="T370" s="330">
        <v>1</v>
      </c>
      <c r="U370" s="35">
        <v>1</v>
      </c>
      <c r="W370" s="106" t="s">
        <v>458</v>
      </c>
      <c r="X370" s="61"/>
      <c r="Y370" s="243">
        <v>125</v>
      </c>
      <c r="Z370" s="243">
        <f t="shared" si="48"/>
        <v>125</v>
      </c>
      <c r="AB370" s="196"/>
      <c r="AC370" s="199"/>
    </row>
    <row r="371" spans="1:29" ht="20.100000000000001" customHeight="1" x14ac:dyDescent="0.25">
      <c r="A371" s="36"/>
      <c r="B371" s="143">
        <f t="shared" si="47"/>
        <v>334</v>
      </c>
      <c r="C371" s="88">
        <v>267</v>
      </c>
      <c r="D371" s="64" t="str">
        <f>HYPERLINK("https://sites.wustl.edu/meteoritesite/items/lm_nwa_07834_clan/",W371)</f>
        <v>Northwest Africa 10782</v>
      </c>
      <c r="E371" s="376" t="s">
        <v>140</v>
      </c>
      <c r="F371" s="377"/>
      <c r="G371" s="377"/>
      <c r="H371" s="378"/>
      <c r="I371" s="379"/>
      <c r="J371" s="380"/>
      <c r="K371" s="380"/>
      <c r="L371" s="400"/>
      <c r="M371" s="471">
        <v>39</v>
      </c>
      <c r="N371" s="472"/>
      <c r="O371" s="478" t="s">
        <v>879</v>
      </c>
      <c r="P371" s="474"/>
      <c r="Q371" s="475"/>
      <c r="R371" s="376" t="s">
        <v>1573</v>
      </c>
      <c r="S371" s="378"/>
      <c r="T371" s="330">
        <v>1</v>
      </c>
      <c r="U371" s="35">
        <v>1</v>
      </c>
      <c r="W371" s="106" t="s">
        <v>468</v>
      </c>
      <c r="X371" s="61"/>
      <c r="Y371" s="243">
        <v>39</v>
      </c>
      <c r="Z371" s="243">
        <f t="shared" si="48"/>
        <v>39</v>
      </c>
      <c r="AB371" s="196"/>
      <c r="AC371" s="199"/>
    </row>
    <row r="372" spans="1:29" ht="20.100000000000001" customHeight="1" x14ac:dyDescent="0.25">
      <c r="A372" s="36"/>
      <c r="B372" s="143">
        <f t="shared" si="47"/>
        <v>335</v>
      </c>
      <c r="C372" s="88">
        <v>268</v>
      </c>
      <c r="D372" s="23" t="str">
        <f>HYPERLINK("https://sites.wustl.edu/meteoritesite/items/lm_nwa_10783/",W372)</f>
        <v>Northwest Africa 10783</v>
      </c>
      <c r="E372" s="376"/>
      <c r="F372" s="377"/>
      <c r="G372" s="377"/>
      <c r="H372" s="378"/>
      <c r="I372" s="379"/>
      <c r="J372" s="380"/>
      <c r="K372" s="380"/>
      <c r="L372" s="400"/>
      <c r="M372" s="471">
        <v>22</v>
      </c>
      <c r="N372" s="472"/>
      <c r="O372" s="478" t="s">
        <v>940</v>
      </c>
      <c r="P372" s="474"/>
      <c r="Q372" s="475"/>
      <c r="R372" s="376" t="s">
        <v>6</v>
      </c>
      <c r="S372" s="378"/>
      <c r="T372" s="330">
        <v>1</v>
      </c>
      <c r="U372" s="35">
        <v>1</v>
      </c>
      <c r="W372" s="106" t="s">
        <v>469</v>
      </c>
      <c r="X372" s="61"/>
      <c r="Y372" s="243">
        <v>22</v>
      </c>
      <c r="Z372" s="243">
        <f t="shared" si="48"/>
        <v>22</v>
      </c>
      <c r="AB372" s="196"/>
      <c r="AC372" s="199"/>
    </row>
    <row r="373" spans="1:29" ht="20.100000000000001" customHeight="1" x14ac:dyDescent="0.25">
      <c r="A373" s="36"/>
      <c r="B373" s="143">
        <f t="shared" si="47"/>
        <v>336</v>
      </c>
      <c r="C373" s="88">
        <v>266</v>
      </c>
      <c r="D373" s="23" t="str">
        <f>HYPERLINK("https://sites.wustl.edu/meteoritesite/items/lm_nwa_10509_clan/",W373)</f>
        <v>Northwest Africa 10798</v>
      </c>
      <c r="E373" s="376" t="s">
        <v>546</v>
      </c>
      <c r="F373" s="377"/>
      <c r="G373" s="377"/>
      <c r="H373" s="378"/>
      <c r="I373" s="376" t="s">
        <v>453</v>
      </c>
      <c r="J373" s="377"/>
      <c r="K373" s="377"/>
      <c r="L373" s="378"/>
      <c r="M373" s="463" t="s">
        <v>465</v>
      </c>
      <c r="N373" s="472"/>
      <c r="O373" s="478" t="s">
        <v>888</v>
      </c>
      <c r="P373" s="474"/>
      <c r="Q373" s="475"/>
      <c r="R373" s="376" t="s">
        <v>6</v>
      </c>
      <c r="S373" s="378"/>
      <c r="T373" s="330">
        <v>1</v>
      </c>
      <c r="U373" s="35">
        <v>1</v>
      </c>
      <c r="W373" s="106" t="s">
        <v>464</v>
      </c>
      <c r="X373" s="61"/>
      <c r="Y373" s="243">
        <v>318.60000000000002</v>
      </c>
      <c r="Z373" s="243">
        <f t="shared" si="48"/>
        <v>318.60000000000002</v>
      </c>
      <c r="AB373" s="196"/>
      <c r="AC373" s="199"/>
    </row>
    <row r="374" spans="1:29" ht="20.100000000000001" customHeight="1" x14ac:dyDescent="0.25">
      <c r="A374" s="36"/>
      <c r="B374" s="143">
        <f t="shared" si="47"/>
        <v>337</v>
      </c>
      <c r="C374" s="88">
        <v>262</v>
      </c>
      <c r="D374" s="64" t="str">
        <f>HYPERLINK("https://sites.wustl.edu/meteoritesite/items/lm_nwa_07834_clan/",W374)</f>
        <v>Northwest Africa 10810</v>
      </c>
      <c r="E374" s="376" t="s">
        <v>140</v>
      </c>
      <c r="F374" s="377"/>
      <c r="G374" s="377"/>
      <c r="H374" s="378"/>
      <c r="I374" s="379"/>
      <c r="J374" s="380"/>
      <c r="K374" s="380"/>
      <c r="L374" s="400"/>
      <c r="M374" s="463" t="s">
        <v>460</v>
      </c>
      <c r="N374" s="472"/>
      <c r="O374" s="473" t="s">
        <v>883</v>
      </c>
      <c r="P374" s="474"/>
      <c r="Q374" s="475"/>
      <c r="R374" s="376" t="s">
        <v>1573</v>
      </c>
      <c r="S374" s="378"/>
      <c r="T374" s="330">
        <v>1</v>
      </c>
      <c r="U374" s="35">
        <v>1</v>
      </c>
      <c r="W374" s="106" t="s">
        <v>459</v>
      </c>
      <c r="X374" s="61"/>
      <c r="Y374" s="243">
        <v>402.4</v>
      </c>
      <c r="Z374" s="243">
        <f t="shared" si="48"/>
        <v>402.4</v>
      </c>
      <c r="AB374" s="196"/>
      <c r="AC374" s="199"/>
    </row>
    <row r="375" spans="1:29" ht="20.100000000000001" customHeight="1" x14ac:dyDescent="0.25">
      <c r="A375" s="36"/>
      <c r="B375" s="143">
        <f t="shared" si="47"/>
        <v>338</v>
      </c>
      <c r="C375" s="88">
        <v>264</v>
      </c>
      <c r="D375" s="110" t="str">
        <f>HYPERLINK("https://sites.wustl.edu/meteoritesite/items/lm_nwa_08046_clan/",W375)</f>
        <v>Northwest Africa 10822</v>
      </c>
      <c r="E375" s="376" t="s">
        <v>466</v>
      </c>
      <c r="F375" s="377"/>
      <c r="G375" s="377"/>
      <c r="H375" s="378"/>
      <c r="I375" s="379"/>
      <c r="J375" s="380"/>
      <c r="K375" s="380"/>
      <c r="L375" s="400"/>
      <c r="M375" s="402">
        <v>56</v>
      </c>
      <c r="N375" s="403"/>
      <c r="O375" s="478" t="s">
        <v>861</v>
      </c>
      <c r="P375" s="474"/>
      <c r="Q375" s="475"/>
      <c r="R375" s="376" t="s">
        <v>6</v>
      </c>
      <c r="S375" s="378"/>
      <c r="T375" s="330">
        <v>1</v>
      </c>
      <c r="U375" s="35">
        <v>1</v>
      </c>
      <c r="W375" s="106" t="s">
        <v>461</v>
      </c>
      <c r="X375" s="61"/>
      <c r="Y375" s="243">
        <v>56</v>
      </c>
      <c r="Z375" s="243">
        <f t="shared" si="48"/>
        <v>56</v>
      </c>
      <c r="AB375" s="196"/>
      <c r="AC375" s="199"/>
    </row>
    <row r="376" spans="1:29" ht="20.100000000000001" customHeight="1" x14ac:dyDescent="0.25">
      <c r="A376" s="36"/>
      <c r="B376" s="143">
        <f t="shared" si="47"/>
        <v>339</v>
      </c>
      <c r="C376" s="88">
        <v>265</v>
      </c>
      <c r="D376" s="23" t="str">
        <f>HYPERLINK("https://sites.wustl.edu/meteoritesite/items/lm_nwa_08222_clan/",W376)</f>
        <v>Northwest Africa 10823</v>
      </c>
      <c r="E376" s="376" t="s">
        <v>487</v>
      </c>
      <c r="F376" s="377"/>
      <c r="G376" s="377"/>
      <c r="H376" s="378"/>
      <c r="I376" s="379"/>
      <c r="J376" s="380"/>
      <c r="K376" s="380"/>
      <c r="L376" s="400"/>
      <c r="M376" s="463" t="s">
        <v>463</v>
      </c>
      <c r="N376" s="472"/>
      <c r="O376" s="473" t="s">
        <v>886</v>
      </c>
      <c r="P376" s="479"/>
      <c r="Q376" s="480"/>
      <c r="R376" s="376" t="s">
        <v>6</v>
      </c>
      <c r="S376" s="378"/>
      <c r="T376" s="330">
        <v>1</v>
      </c>
      <c r="U376" s="35">
        <v>1</v>
      </c>
      <c r="W376" s="106" t="s">
        <v>462</v>
      </c>
      <c r="X376" s="61"/>
      <c r="Y376" s="243">
        <v>202</v>
      </c>
      <c r="Z376" s="243">
        <f t="shared" si="48"/>
        <v>202</v>
      </c>
      <c r="AB376" s="196"/>
      <c r="AC376" s="199"/>
    </row>
    <row r="377" spans="1:29" ht="36" customHeight="1" x14ac:dyDescent="0.25">
      <c r="A377" s="36"/>
      <c r="B377" s="125" t="s">
        <v>402</v>
      </c>
      <c r="C377" s="30" t="s">
        <v>1034</v>
      </c>
      <c r="D377" s="33" t="s">
        <v>915</v>
      </c>
      <c r="E377" s="420" t="s">
        <v>916</v>
      </c>
      <c r="F377" s="421"/>
      <c r="G377" s="421"/>
      <c r="H377" s="422"/>
      <c r="I377" s="423" t="s">
        <v>917</v>
      </c>
      <c r="J377" s="424"/>
      <c r="K377" s="424"/>
      <c r="L377" s="425"/>
      <c r="M377" s="430" t="s">
        <v>918</v>
      </c>
      <c r="N377" s="431"/>
      <c r="O377" s="426" t="s">
        <v>919</v>
      </c>
      <c r="P377" s="427"/>
      <c r="Q377" s="428"/>
      <c r="R377" s="423" t="s">
        <v>920</v>
      </c>
      <c r="S377" s="425"/>
      <c r="T377" s="5" t="s">
        <v>5</v>
      </c>
      <c r="Y377" s="243"/>
      <c r="AB377" s="196"/>
      <c r="AC377" s="199"/>
    </row>
    <row r="378" spans="1:29" ht="20.100000000000001" customHeight="1" x14ac:dyDescent="0.25">
      <c r="A378" s="36"/>
      <c r="B378" s="143">
        <f>B376+1</f>
        <v>340</v>
      </c>
      <c r="C378" s="88">
        <v>269</v>
      </c>
      <c r="D378" s="110" t="str">
        <f>HYPERLINK("https://sites.wustl.edu/meteoritesite/items/lm_nwa_08046_clan/",W378)</f>
        <v>Northwest Africa 10901</v>
      </c>
      <c r="E378" s="376" t="s">
        <v>466</v>
      </c>
      <c r="F378" s="377"/>
      <c r="G378" s="377"/>
      <c r="H378" s="378"/>
      <c r="I378" s="281"/>
      <c r="J378" s="282"/>
      <c r="K378" s="282"/>
      <c r="L378" s="283"/>
      <c r="M378" s="432">
        <v>68.040000000000006</v>
      </c>
      <c r="N378" s="433"/>
      <c r="O378" s="478" t="s">
        <v>883</v>
      </c>
      <c r="P378" s="474"/>
      <c r="Q378" s="475"/>
      <c r="R378" s="376" t="s">
        <v>6</v>
      </c>
      <c r="S378" s="378"/>
      <c r="T378" s="330">
        <v>1</v>
      </c>
      <c r="U378" s="35">
        <v>1</v>
      </c>
      <c r="W378" s="106" t="s">
        <v>470</v>
      </c>
      <c r="X378" s="61"/>
      <c r="Y378" s="243">
        <v>68.040000000000006</v>
      </c>
      <c r="Z378" s="243">
        <f t="shared" si="48"/>
        <v>68.040000000000006</v>
      </c>
      <c r="AB378" s="196"/>
      <c r="AC378" s="199"/>
    </row>
    <row r="379" spans="1:29" ht="20.100000000000001" customHeight="1" x14ac:dyDescent="0.25">
      <c r="A379" s="36"/>
      <c r="B379" s="143">
        <f t="shared" si="47"/>
        <v>341</v>
      </c>
      <c r="C379" s="88">
        <v>270</v>
      </c>
      <c r="D379" s="110" t="str">
        <f>HYPERLINK("https://sites.wustl.edu/meteoritesite/items/lm_nwa_08673_clan/",W379)</f>
        <v>Northwest Africa 10902</v>
      </c>
      <c r="E379" s="376" t="s">
        <v>82</v>
      </c>
      <c r="F379" s="377"/>
      <c r="G379" s="377"/>
      <c r="H379" s="378"/>
      <c r="I379" s="281"/>
      <c r="J379" s="282"/>
      <c r="K379" s="282"/>
      <c r="L379" s="283"/>
      <c r="M379" s="784">
        <v>36.28</v>
      </c>
      <c r="N379" s="785"/>
      <c r="O379" s="478" t="s">
        <v>883</v>
      </c>
      <c r="P379" s="474"/>
      <c r="Q379" s="475"/>
      <c r="R379" s="376" t="s">
        <v>1573</v>
      </c>
      <c r="S379" s="378"/>
      <c r="T379" s="330">
        <v>1</v>
      </c>
      <c r="U379" s="35">
        <v>1</v>
      </c>
      <c r="W379" s="106" t="s">
        <v>471</v>
      </c>
      <c r="X379" s="61"/>
      <c r="Y379" s="243">
        <v>36.28</v>
      </c>
      <c r="Z379" s="243">
        <f t="shared" si="48"/>
        <v>36.28</v>
      </c>
      <c r="AB379" s="196"/>
      <c r="AC379" s="199"/>
    </row>
    <row r="380" spans="1:29" ht="20.100000000000001" customHeight="1" x14ac:dyDescent="0.25">
      <c r="A380" s="36"/>
      <c r="B380" s="143">
        <f t="shared" si="47"/>
        <v>342</v>
      </c>
      <c r="C380" s="88">
        <v>284</v>
      </c>
      <c r="D380" s="110" t="str">
        <f>HYPERLINK("https://sites.wustl.edu/meteoritesite/items/lm_nwa_08455_clan/",W380)</f>
        <v>Northwest Africa 10953</v>
      </c>
      <c r="E380" s="376" t="s">
        <v>80</v>
      </c>
      <c r="F380" s="377"/>
      <c r="G380" s="377"/>
      <c r="H380" s="378"/>
      <c r="I380" s="281"/>
      <c r="J380" s="282"/>
      <c r="K380" s="282"/>
      <c r="L380" s="283"/>
      <c r="M380" s="471">
        <v>55</v>
      </c>
      <c r="N380" s="472"/>
      <c r="O380" s="473" t="s">
        <v>888</v>
      </c>
      <c r="P380" s="474"/>
      <c r="Q380" s="475"/>
      <c r="R380" s="376" t="s">
        <v>6</v>
      </c>
      <c r="S380" s="378"/>
      <c r="T380" s="330">
        <v>1</v>
      </c>
      <c r="U380" s="35">
        <v>1</v>
      </c>
      <c r="W380" s="106" t="s">
        <v>480</v>
      </c>
      <c r="X380" s="61"/>
      <c r="Y380" s="243">
        <v>55</v>
      </c>
      <c r="Z380" s="243">
        <f t="shared" si="48"/>
        <v>55</v>
      </c>
      <c r="AB380" s="196"/>
      <c r="AC380" s="199"/>
    </row>
    <row r="381" spans="1:29" ht="20.100000000000001" customHeight="1" x14ac:dyDescent="0.25">
      <c r="A381" s="36"/>
      <c r="B381" s="143">
        <f t="shared" si="47"/>
        <v>343</v>
      </c>
      <c r="C381" s="88">
        <v>271</v>
      </c>
      <c r="D381" s="110" t="str">
        <f>HYPERLINK("https://sites.wustl.edu/meteoritesite/items/lm_nwa_08673_clan/",W381)</f>
        <v>Northwest Africa 10964</v>
      </c>
      <c r="E381" s="376" t="s">
        <v>82</v>
      </c>
      <c r="F381" s="377"/>
      <c r="G381" s="377"/>
      <c r="H381" s="378"/>
      <c r="I381" s="379"/>
      <c r="J381" s="380"/>
      <c r="K381" s="380"/>
      <c r="L381" s="400"/>
      <c r="M381" s="402" t="s">
        <v>485</v>
      </c>
      <c r="N381" s="782"/>
      <c r="O381" s="478" t="s">
        <v>861</v>
      </c>
      <c r="P381" s="474"/>
      <c r="Q381" s="475"/>
      <c r="R381" s="376" t="s">
        <v>1573</v>
      </c>
      <c r="S381" s="378"/>
      <c r="T381" s="330">
        <v>1</v>
      </c>
      <c r="U381" s="35">
        <v>1</v>
      </c>
      <c r="W381" s="106" t="s">
        <v>474</v>
      </c>
      <c r="X381" s="61"/>
      <c r="Y381" s="243">
        <v>26</v>
      </c>
      <c r="Z381" s="243">
        <f t="shared" si="48"/>
        <v>26</v>
      </c>
      <c r="AB381" s="196"/>
      <c r="AC381" s="199"/>
    </row>
    <row r="382" spans="1:29" ht="20.100000000000001" customHeight="1" x14ac:dyDescent="0.25">
      <c r="A382" s="36"/>
      <c r="B382" s="143">
        <f t="shared" si="47"/>
        <v>344</v>
      </c>
      <c r="C382" s="88">
        <v>272</v>
      </c>
      <c r="D382" s="23" t="str">
        <f>HYPERLINK("https://sites.wustl.edu/meteoritesite/items/lm_nwa_10973/",W382)</f>
        <v>Northwest Africa 10973</v>
      </c>
      <c r="E382" s="376"/>
      <c r="F382" s="377"/>
      <c r="G382" s="377"/>
      <c r="H382" s="378"/>
      <c r="I382" s="379"/>
      <c r="J382" s="380"/>
      <c r="K382" s="380"/>
      <c r="L382" s="400"/>
      <c r="M382" s="783">
        <v>25</v>
      </c>
      <c r="N382" s="782"/>
      <c r="O382" s="478" t="s">
        <v>804</v>
      </c>
      <c r="P382" s="474"/>
      <c r="Q382" s="475"/>
      <c r="R382" s="376" t="s">
        <v>6</v>
      </c>
      <c r="S382" s="378"/>
      <c r="T382" s="330">
        <v>1</v>
      </c>
      <c r="U382" s="35">
        <v>1</v>
      </c>
      <c r="W382" s="106" t="s">
        <v>475</v>
      </c>
      <c r="X382" s="61"/>
      <c r="Y382" s="243">
        <v>25</v>
      </c>
      <c r="Z382" s="243">
        <f t="shared" si="48"/>
        <v>25</v>
      </c>
      <c r="AB382" s="196"/>
      <c r="AC382" s="199"/>
    </row>
    <row r="383" spans="1:29" ht="20.100000000000001" customHeight="1" x14ac:dyDescent="0.25">
      <c r="A383" s="36"/>
      <c r="B383" s="143">
        <f t="shared" si="47"/>
        <v>345</v>
      </c>
      <c r="C383" s="88">
        <v>273</v>
      </c>
      <c r="D383" s="64" t="str">
        <f>HYPERLINK("https://sites.wustl.edu/meteoritesite/items/lm_nwa_00773_clan/",W383)</f>
        <v>Northwest Africa 10985</v>
      </c>
      <c r="E383" s="376" t="s">
        <v>76</v>
      </c>
      <c r="F383" s="377"/>
      <c r="G383" s="377"/>
      <c r="H383" s="378"/>
      <c r="I383" s="379"/>
      <c r="J383" s="380"/>
      <c r="K383" s="380"/>
      <c r="L383" s="400"/>
      <c r="M383" s="783">
        <v>250</v>
      </c>
      <c r="N383" s="782"/>
      <c r="O383" s="478" t="s">
        <v>883</v>
      </c>
      <c r="P383" s="474"/>
      <c r="Q383" s="475"/>
      <c r="R383" s="376" t="s">
        <v>1189</v>
      </c>
      <c r="S383" s="378"/>
      <c r="T383" s="330">
        <v>1</v>
      </c>
      <c r="U383" s="35">
        <v>1</v>
      </c>
      <c r="W383" s="106" t="s">
        <v>476</v>
      </c>
      <c r="X383" s="61"/>
      <c r="Y383" s="243">
        <v>250</v>
      </c>
      <c r="Z383" s="243">
        <f t="shared" si="48"/>
        <v>250</v>
      </c>
      <c r="AB383" s="196"/>
      <c r="AC383" s="199"/>
    </row>
    <row r="384" spans="1:29" ht="20.100000000000001" customHeight="1" x14ac:dyDescent="0.25">
      <c r="A384" s="36"/>
      <c r="B384" s="143">
        <f t="shared" si="47"/>
        <v>346</v>
      </c>
      <c r="C384" s="88">
        <v>274</v>
      </c>
      <c r="D384" s="64" t="str">
        <f>HYPERLINK("https://sites.wustl.edu/meteoritesite/items/lm_nwa_10509_clan/",W384)</f>
        <v>Northwest Africa 10986</v>
      </c>
      <c r="E384" s="376" t="s">
        <v>977</v>
      </c>
      <c r="F384" s="377"/>
      <c r="G384" s="377"/>
      <c r="H384" s="378"/>
      <c r="I384" s="379"/>
      <c r="J384" s="380"/>
      <c r="K384" s="380"/>
      <c r="L384" s="400"/>
      <c r="M384" s="463" t="s">
        <v>1466</v>
      </c>
      <c r="N384" s="472"/>
      <c r="O384" s="478" t="s">
        <v>941</v>
      </c>
      <c r="P384" s="474"/>
      <c r="Q384" s="475"/>
      <c r="R384" s="376" t="s">
        <v>1573</v>
      </c>
      <c r="S384" s="378"/>
      <c r="T384" s="330">
        <v>0</v>
      </c>
      <c r="U384" s="35">
        <v>1</v>
      </c>
      <c r="W384" s="106" t="s">
        <v>477</v>
      </c>
      <c r="X384" s="61"/>
      <c r="Y384" s="243">
        <v>108.2</v>
      </c>
      <c r="Z384" s="243">
        <f t="shared" si="48"/>
        <v>108.2</v>
      </c>
      <c r="AB384" s="196"/>
      <c r="AC384" s="199"/>
    </row>
    <row r="385" spans="1:29" ht="20.100000000000001" customHeight="1" x14ac:dyDescent="0.25">
      <c r="A385" s="36"/>
      <c r="B385" s="143">
        <f t="shared" si="47"/>
        <v>347</v>
      </c>
      <c r="C385" s="88">
        <v>275</v>
      </c>
      <c r="D385" s="64" t="str">
        <f>HYPERLINK("https://sites.wustl.edu/meteoritesite/items/lm_nwa_07834_clan/",W385)</f>
        <v>Northwest Africa 10989</v>
      </c>
      <c r="E385" s="376" t="s">
        <v>140</v>
      </c>
      <c r="F385" s="377"/>
      <c r="G385" s="377"/>
      <c r="H385" s="378"/>
      <c r="I385" s="379"/>
      <c r="J385" s="380"/>
      <c r="K385" s="380"/>
      <c r="L385" s="400"/>
      <c r="M385" s="463">
        <v>14.4</v>
      </c>
      <c r="N385" s="464"/>
      <c r="O385" s="473" t="s">
        <v>883</v>
      </c>
      <c r="P385" s="479"/>
      <c r="Q385" s="480"/>
      <c r="R385" s="376" t="s">
        <v>1573</v>
      </c>
      <c r="S385" s="378"/>
      <c r="T385" s="330">
        <v>1</v>
      </c>
      <c r="U385" s="35">
        <v>1</v>
      </c>
      <c r="W385" s="106" t="s">
        <v>478</v>
      </c>
      <c r="X385" s="61"/>
      <c r="Y385" s="243">
        <v>14.4</v>
      </c>
      <c r="Z385" s="243">
        <f t="shared" si="48"/>
        <v>14.4</v>
      </c>
      <c r="AB385" s="196"/>
      <c r="AC385" s="199"/>
    </row>
    <row r="386" spans="1:29" ht="20.100000000000001" customHeight="1" x14ac:dyDescent="0.25">
      <c r="A386" s="36"/>
      <c r="B386" s="143">
        <f t="shared" si="47"/>
        <v>348</v>
      </c>
      <c r="C386" s="88">
        <v>276</v>
      </c>
      <c r="D386" s="23" t="str">
        <f>HYPERLINK("https://sites.wustl.edu/meteoritesite/items/lm_nwa_11006/",W386)</f>
        <v>Northwest Africa 11006</v>
      </c>
      <c r="E386" s="376"/>
      <c r="F386" s="377"/>
      <c r="G386" s="377"/>
      <c r="H386" s="378"/>
      <c r="I386" s="379"/>
      <c r="J386" s="380"/>
      <c r="K386" s="380"/>
      <c r="L386" s="400"/>
      <c r="M386" s="402">
        <v>2245</v>
      </c>
      <c r="N386" s="403"/>
      <c r="O386" s="473" t="s">
        <v>889</v>
      </c>
      <c r="P386" s="479"/>
      <c r="Q386" s="480"/>
      <c r="R386" s="376" t="s">
        <v>6</v>
      </c>
      <c r="S386" s="378"/>
      <c r="T386" s="330">
        <v>1</v>
      </c>
      <c r="U386" s="35">
        <v>1</v>
      </c>
      <c r="W386" s="106" t="s">
        <v>486</v>
      </c>
      <c r="X386" s="61"/>
      <c r="Y386" s="243">
        <v>2245</v>
      </c>
      <c r="Z386" s="243">
        <f t="shared" si="48"/>
        <v>2245</v>
      </c>
      <c r="AB386" s="196"/>
      <c r="AC386" s="199"/>
    </row>
    <row r="387" spans="1:29" ht="20.100000000000001" customHeight="1" x14ac:dyDescent="0.25">
      <c r="A387" s="36"/>
      <c r="B387" s="143">
        <f t="shared" ref="B387:B454" si="49">B386+1</f>
        <v>349</v>
      </c>
      <c r="C387" s="88">
        <v>277</v>
      </c>
      <c r="D387" s="110" t="str">
        <f>HYPERLINK("https://sites.wustl.edu/meteoritesite/items/lm_nwa_08046_clan/",W387)</f>
        <v>Northwest Africa 11029</v>
      </c>
      <c r="E387" s="376" t="s">
        <v>466</v>
      </c>
      <c r="F387" s="377"/>
      <c r="G387" s="377"/>
      <c r="H387" s="378"/>
      <c r="I387" s="53"/>
      <c r="J387" s="54"/>
      <c r="K387" s="54"/>
      <c r="L387" s="55"/>
      <c r="M387" s="402">
        <v>75</v>
      </c>
      <c r="N387" s="403"/>
      <c r="O387" s="473" t="s">
        <v>893</v>
      </c>
      <c r="P387" s="479"/>
      <c r="Q387" s="480"/>
      <c r="R387" s="376" t="s">
        <v>6</v>
      </c>
      <c r="S387" s="378"/>
      <c r="T387" s="330">
        <v>1</v>
      </c>
      <c r="U387" s="35">
        <v>1</v>
      </c>
      <c r="W387" s="106" t="s">
        <v>479</v>
      </c>
      <c r="X387" s="61"/>
      <c r="Y387" s="243">
        <v>75</v>
      </c>
      <c r="Z387" s="243">
        <f t="shared" si="48"/>
        <v>75</v>
      </c>
      <c r="AB387" s="196"/>
      <c r="AC387" s="199"/>
    </row>
    <row r="388" spans="1:29" ht="20.100000000000001" customHeight="1" x14ac:dyDescent="0.25">
      <c r="A388" s="36"/>
      <c r="B388" s="143">
        <f t="shared" si="49"/>
        <v>350</v>
      </c>
      <c r="C388" s="88">
        <v>278</v>
      </c>
      <c r="D388" s="23" t="str">
        <f>HYPERLINK("https://sites.wustl.edu/meteoritesite/items/lm_nwa_11061/",W388)</f>
        <v>Northwest Africa 11061</v>
      </c>
      <c r="E388" s="376"/>
      <c r="F388" s="377"/>
      <c r="G388" s="377"/>
      <c r="H388" s="378"/>
      <c r="I388" s="281"/>
      <c r="J388" s="282"/>
      <c r="K388" s="282"/>
      <c r="L388" s="283"/>
      <c r="M388" s="379">
        <v>1040</v>
      </c>
      <c r="N388" s="400"/>
      <c r="O388" s="381" t="s">
        <v>792</v>
      </c>
      <c r="P388" s="382"/>
      <c r="Q388" s="383"/>
      <c r="R388" s="376" t="s">
        <v>6</v>
      </c>
      <c r="S388" s="378"/>
      <c r="T388" s="157">
        <v>1</v>
      </c>
      <c r="U388" s="35">
        <v>1</v>
      </c>
      <c r="W388" s="106" t="s">
        <v>488</v>
      </c>
      <c r="X388" s="61"/>
      <c r="Y388" s="243">
        <v>1040</v>
      </c>
      <c r="Z388" s="243">
        <f t="shared" si="48"/>
        <v>1040</v>
      </c>
      <c r="AB388" s="196"/>
      <c r="AC388" s="199"/>
    </row>
    <row r="389" spans="1:29" ht="20.100000000000001" customHeight="1" x14ac:dyDescent="0.25">
      <c r="A389" s="36"/>
      <c r="B389" s="143">
        <f t="shared" si="49"/>
        <v>351</v>
      </c>
      <c r="C389" s="88">
        <v>279</v>
      </c>
      <c r="D389" s="23" t="str">
        <f>HYPERLINK("https://sites.wustl.edu/meteoritesite/items/lm_nwa_11077/",W389)</f>
        <v>Northwest Africa 11077</v>
      </c>
      <c r="E389" s="376"/>
      <c r="F389" s="377"/>
      <c r="G389" s="377"/>
      <c r="H389" s="378"/>
      <c r="I389" s="281"/>
      <c r="J389" s="282"/>
      <c r="K389" s="282"/>
      <c r="L389" s="283"/>
      <c r="M389" s="379">
        <v>1139.7</v>
      </c>
      <c r="N389" s="400"/>
      <c r="O389" s="381" t="s">
        <v>792</v>
      </c>
      <c r="P389" s="382"/>
      <c r="Q389" s="383"/>
      <c r="R389" s="376" t="s">
        <v>6</v>
      </c>
      <c r="S389" s="378"/>
      <c r="T389" s="157">
        <v>1</v>
      </c>
      <c r="U389" s="35">
        <v>1</v>
      </c>
      <c r="W389" s="106" t="s">
        <v>489</v>
      </c>
      <c r="X389" s="61"/>
      <c r="Y389" s="247">
        <v>1139.7</v>
      </c>
      <c r="Z389" s="243">
        <f t="shared" si="48"/>
        <v>1139.7</v>
      </c>
      <c r="AB389" s="196"/>
      <c r="AC389" s="199"/>
    </row>
    <row r="390" spans="1:29" ht="20.100000000000001" customHeight="1" x14ac:dyDescent="0.25">
      <c r="A390" s="36"/>
      <c r="B390" s="143">
        <f t="shared" si="49"/>
        <v>352</v>
      </c>
      <c r="C390" s="88">
        <v>281</v>
      </c>
      <c r="D390" s="110" t="str">
        <f>HYPERLINK("https://sites.wustl.edu/meteoritesite/items/lm_nwa_07834_clan/",W390)</f>
        <v>Northwest Africa 11109</v>
      </c>
      <c r="E390" s="376" t="s">
        <v>140</v>
      </c>
      <c r="F390" s="377"/>
      <c r="G390" s="377"/>
      <c r="H390" s="378"/>
      <c r="I390" s="53"/>
      <c r="J390" s="54"/>
      <c r="K390" s="54"/>
      <c r="L390" s="55"/>
      <c r="M390" s="379" t="s">
        <v>497</v>
      </c>
      <c r="N390" s="400"/>
      <c r="O390" s="381" t="s">
        <v>890</v>
      </c>
      <c r="P390" s="382"/>
      <c r="Q390" s="383"/>
      <c r="R390" s="376" t="s">
        <v>1573</v>
      </c>
      <c r="S390" s="378"/>
      <c r="T390" s="330">
        <v>1</v>
      </c>
      <c r="U390" s="35">
        <v>1</v>
      </c>
      <c r="W390" s="106" t="s">
        <v>491</v>
      </c>
      <c r="X390" s="61"/>
      <c r="Y390" s="247">
        <v>77</v>
      </c>
      <c r="Z390" s="243">
        <f t="shared" si="48"/>
        <v>77</v>
      </c>
      <c r="AB390" s="196"/>
      <c r="AC390" s="199"/>
    </row>
    <row r="391" spans="1:29" ht="20.100000000000001" customHeight="1" x14ac:dyDescent="0.25">
      <c r="A391" s="36"/>
      <c r="B391" s="143">
        <f t="shared" si="49"/>
        <v>353</v>
      </c>
      <c r="C391" s="88">
        <v>282</v>
      </c>
      <c r="D391" s="110" t="str">
        <f>HYPERLINK("https://sites.wustl.edu/meteoritesite/items/lm_nwa_08673_clan/",W391)</f>
        <v>Northwest Africa 11110</v>
      </c>
      <c r="E391" s="376" t="s">
        <v>82</v>
      </c>
      <c r="F391" s="377"/>
      <c r="G391" s="377"/>
      <c r="H391" s="378"/>
      <c r="I391" s="53"/>
      <c r="J391" s="54"/>
      <c r="K391" s="54"/>
      <c r="L391" s="55"/>
      <c r="M391" s="379" t="s">
        <v>498</v>
      </c>
      <c r="N391" s="400"/>
      <c r="O391" s="381" t="s">
        <v>890</v>
      </c>
      <c r="P391" s="382"/>
      <c r="Q391" s="383"/>
      <c r="R391" s="376" t="s">
        <v>1573</v>
      </c>
      <c r="S391" s="378"/>
      <c r="T391" s="330">
        <v>1</v>
      </c>
      <c r="U391" s="35">
        <v>1</v>
      </c>
      <c r="W391" s="106" t="s">
        <v>492</v>
      </c>
      <c r="X391" s="61"/>
      <c r="Y391" s="247">
        <v>62</v>
      </c>
      <c r="Z391" s="243">
        <f t="shared" si="48"/>
        <v>62</v>
      </c>
      <c r="AB391" s="196"/>
      <c r="AC391" s="199"/>
    </row>
    <row r="392" spans="1:29" ht="20.100000000000001" customHeight="1" x14ac:dyDescent="0.25">
      <c r="A392" s="36"/>
      <c r="B392" s="143">
        <f t="shared" si="49"/>
        <v>354</v>
      </c>
      <c r="C392" s="88">
        <v>283</v>
      </c>
      <c r="D392" s="23" t="str">
        <f>HYPERLINK("https://sites.wustl.edu/meteoritesite/items/lm_nwa_10141_clan/",W392)</f>
        <v>Northwest Africa 11111</v>
      </c>
      <c r="E392" s="376" t="s">
        <v>560</v>
      </c>
      <c r="F392" s="377"/>
      <c r="G392" s="377"/>
      <c r="H392" s="378"/>
      <c r="I392" s="53"/>
      <c r="J392" s="54"/>
      <c r="K392" s="54"/>
      <c r="L392" s="55"/>
      <c r="M392" s="379" t="s">
        <v>494</v>
      </c>
      <c r="N392" s="400"/>
      <c r="O392" s="381" t="s">
        <v>890</v>
      </c>
      <c r="P392" s="382"/>
      <c r="Q392" s="383"/>
      <c r="R392" s="376" t="s">
        <v>6</v>
      </c>
      <c r="S392" s="378"/>
      <c r="T392" s="330">
        <v>1</v>
      </c>
      <c r="U392" s="35">
        <v>1</v>
      </c>
      <c r="W392" s="106" t="s">
        <v>493</v>
      </c>
      <c r="X392" s="61"/>
      <c r="Y392" s="247">
        <v>111</v>
      </c>
      <c r="Z392" s="243">
        <f t="shared" si="48"/>
        <v>111</v>
      </c>
      <c r="AB392" s="196"/>
      <c r="AC392" s="199"/>
    </row>
    <row r="393" spans="1:29" ht="20.100000000000001" customHeight="1" x14ac:dyDescent="0.25">
      <c r="A393" s="36"/>
      <c r="B393" s="128">
        <f t="shared" si="49"/>
        <v>355</v>
      </c>
      <c r="C393" s="68">
        <v>287</v>
      </c>
      <c r="D393" s="23" t="str">
        <f>HYPERLINK("https://sites.wustl.edu/meteoritesite/items/lm_nwa_11127/",W393)</f>
        <v>Northwest Africa 11127</v>
      </c>
      <c r="E393" s="376"/>
      <c r="F393" s="377"/>
      <c r="G393" s="377"/>
      <c r="H393" s="378"/>
      <c r="I393" s="379"/>
      <c r="J393" s="380"/>
      <c r="K393" s="380"/>
      <c r="L393" s="400"/>
      <c r="M393" s="379">
        <v>474.6</v>
      </c>
      <c r="N393" s="400"/>
      <c r="O393" s="381" t="s">
        <v>891</v>
      </c>
      <c r="P393" s="382"/>
      <c r="Q393" s="383"/>
      <c r="R393" s="376" t="s">
        <v>6</v>
      </c>
      <c r="S393" s="378"/>
      <c r="T393" s="157">
        <v>1</v>
      </c>
      <c r="U393" s="35">
        <v>1</v>
      </c>
      <c r="W393" s="106" t="s">
        <v>496</v>
      </c>
      <c r="X393" s="61"/>
      <c r="Y393" s="243">
        <v>474.6</v>
      </c>
      <c r="Z393" s="243">
        <f t="shared" si="48"/>
        <v>474.6</v>
      </c>
      <c r="AB393" s="196"/>
      <c r="AC393" s="199"/>
    </row>
    <row r="394" spans="1:29" ht="20.100000000000001" customHeight="1" x14ac:dyDescent="0.25">
      <c r="A394" s="36"/>
      <c r="B394" s="143">
        <f t="shared" si="49"/>
        <v>356</v>
      </c>
      <c r="C394" s="88">
        <v>285</v>
      </c>
      <c r="D394" s="64" t="str">
        <f>HYPERLINK("https://sites.wustl.edu/meteoritesite/items/lm_nwa_11159/",W394)</f>
        <v>Northwest Africa 11159</v>
      </c>
      <c r="E394" s="376" t="s">
        <v>603</v>
      </c>
      <c r="F394" s="377"/>
      <c r="G394" s="377"/>
      <c r="H394" s="378"/>
      <c r="I394" s="53"/>
      <c r="J394" s="54"/>
      <c r="K394" s="54"/>
      <c r="L394" s="55"/>
      <c r="M394" s="379">
        <v>10.7</v>
      </c>
      <c r="N394" s="400"/>
      <c r="O394" s="381" t="s">
        <v>886</v>
      </c>
      <c r="P394" s="382"/>
      <c r="Q394" s="383"/>
      <c r="R394" s="376" t="s">
        <v>6</v>
      </c>
      <c r="S394" s="378"/>
      <c r="T394" s="330">
        <v>0</v>
      </c>
      <c r="U394" s="35">
        <v>1</v>
      </c>
      <c r="W394" s="106" t="s">
        <v>500</v>
      </c>
      <c r="X394" s="61"/>
      <c r="Y394" s="243">
        <v>10.7</v>
      </c>
      <c r="Z394" s="243">
        <f t="shared" si="48"/>
        <v>10.7</v>
      </c>
      <c r="AB394" s="196"/>
      <c r="AC394" s="199"/>
    </row>
    <row r="395" spans="1:29" ht="20.100000000000001" customHeight="1" x14ac:dyDescent="0.25">
      <c r="A395" s="36"/>
      <c r="B395" s="143">
        <f t="shared" si="49"/>
        <v>357</v>
      </c>
      <c r="C395" s="88">
        <v>288</v>
      </c>
      <c r="D395" s="23" t="str">
        <f>HYPERLINK("https://sites.wustl.edu/meteoritesite/items/lm_nwa_11182/",W395)</f>
        <v>Northwest Africa 11182</v>
      </c>
      <c r="E395" s="376"/>
      <c r="F395" s="377"/>
      <c r="G395" s="377"/>
      <c r="H395" s="378"/>
      <c r="I395" s="53"/>
      <c r="J395" s="54"/>
      <c r="K395" s="54"/>
      <c r="L395" s="55"/>
      <c r="M395" s="379">
        <v>60</v>
      </c>
      <c r="N395" s="400"/>
      <c r="O395" s="381" t="s">
        <v>892</v>
      </c>
      <c r="P395" s="382"/>
      <c r="Q395" s="383"/>
      <c r="R395" s="376" t="s">
        <v>6</v>
      </c>
      <c r="S395" s="378"/>
      <c r="T395" s="330">
        <v>1</v>
      </c>
      <c r="U395" s="35">
        <v>1</v>
      </c>
      <c r="W395" s="106" t="s">
        <v>505</v>
      </c>
      <c r="X395" s="61"/>
      <c r="Y395" s="247">
        <v>60</v>
      </c>
      <c r="Z395" s="243">
        <f t="shared" si="48"/>
        <v>60</v>
      </c>
      <c r="AB395" s="196"/>
      <c r="AC395" s="199"/>
    </row>
    <row r="396" spans="1:29" ht="20.100000000000001" customHeight="1" x14ac:dyDescent="0.25">
      <c r="A396" s="36"/>
      <c r="B396" s="128">
        <f t="shared" si="49"/>
        <v>358</v>
      </c>
      <c r="C396" s="68">
        <v>289</v>
      </c>
      <c r="D396" s="64" t="str">
        <f>HYPERLINK("https://sites.wustl.edu/meteoritesite/items/lm_nwa_07834_clan/",W396)</f>
        <v>Northwest Africa 11185</v>
      </c>
      <c r="E396" s="376" t="s">
        <v>140</v>
      </c>
      <c r="F396" s="377"/>
      <c r="G396" s="377"/>
      <c r="H396" s="378"/>
      <c r="I396" s="281"/>
      <c r="J396" s="282"/>
      <c r="K396" s="282"/>
      <c r="L396" s="283"/>
      <c r="M396" s="379" t="s">
        <v>508</v>
      </c>
      <c r="N396" s="400"/>
      <c r="O396" s="381" t="s">
        <v>893</v>
      </c>
      <c r="P396" s="382"/>
      <c r="Q396" s="383"/>
      <c r="R396" s="376" t="s">
        <v>1573</v>
      </c>
      <c r="S396" s="378"/>
      <c r="T396" s="157">
        <v>1</v>
      </c>
      <c r="U396" s="35">
        <v>1</v>
      </c>
      <c r="W396" s="111" t="s">
        <v>502</v>
      </c>
      <c r="X396" s="61"/>
      <c r="Y396" s="243">
        <v>94.02</v>
      </c>
      <c r="Z396" s="243">
        <f t="shared" si="48"/>
        <v>94.02</v>
      </c>
      <c r="AB396" s="196"/>
      <c r="AC396" s="199"/>
    </row>
    <row r="397" spans="1:29" ht="20.100000000000001" customHeight="1" x14ac:dyDescent="0.25">
      <c r="A397" s="36"/>
      <c r="B397" s="128">
        <f t="shared" si="49"/>
        <v>359</v>
      </c>
      <c r="C397" s="68">
        <v>290</v>
      </c>
      <c r="D397" s="110" t="str">
        <f>HYPERLINK("https://sites.wustl.edu/meteoritesite/items/lm_nwa_08673_clan/",W397)</f>
        <v>Northwest Africa 11193</v>
      </c>
      <c r="E397" s="376" t="s">
        <v>82</v>
      </c>
      <c r="F397" s="377"/>
      <c r="G397" s="377"/>
      <c r="H397" s="378"/>
      <c r="I397" s="281"/>
      <c r="J397" s="282"/>
      <c r="K397" s="282"/>
      <c r="L397" s="283"/>
      <c r="M397" s="379">
        <v>155</v>
      </c>
      <c r="N397" s="400"/>
      <c r="O397" s="381" t="s">
        <v>893</v>
      </c>
      <c r="P397" s="382"/>
      <c r="Q397" s="383"/>
      <c r="R397" s="376" t="s">
        <v>1573</v>
      </c>
      <c r="S397" s="378"/>
      <c r="T397" s="157">
        <v>1</v>
      </c>
      <c r="U397" s="35">
        <v>1</v>
      </c>
      <c r="W397" s="111" t="s">
        <v>503</v>
      </c>
      <c r="X397" s="61"/>
      <c r="Y397" s="243">
        <v>155</v>
      </c>
      <c r="Z397" s="243">
        <f t="shared" si="48"/>
        <v>155</v>
      </c>
      <c r="AB397" s="196"/>
      <c r="AC397" s="199"/>
    </row>
    <row r="398" spans="1:29" ht="36" customHeight="1" x14ac:dyDescent="0.25">
      <c r="A398" s="36"/>
      <c r="B398" s="125" t="s">
        <v>402</v>
      </c>
      <c r="C398" s="30" t="s">
        <v>1034</v>
      </c>
      <c r="D398" s="33" t="s">
        <v>915</v>
      </c>
      <c r="E398" s="420" t="s">
        <v>916</v>
      </c>
      <c r="F398" s="421"/>
      <c r="G398" s="421"/>
      <c r="H398" s="422"/>
      <c r="I398" s="423" t="s">
        <v>917</v>
      </c>
      <c r="J398" s="424"/>
      <c r="K398" s="424"/>
      <c r="L398" s="425"/>
      <c r="M398" s="430" t="s">
        <v>918</v>
      </c>
      <c r="N398" s="431"/>
      <c r="O398" s="426" t="s">
        <v>919</v>
      </c>
      <c r="P398" s="427"/>
      <c r="Q398" s="428"/>
      <c r="R398" s="423" t="s">
        <v>920</v>
      </c>
      <c r="S398" s="425"/>
      <c r="T398" s="5" t="s">
        <v>5</v>
      </c>
      <c r="Y398" s="243"/>
      <c r="AB398" s="196"/>
      <c r="AC398" s="199"/>
    </row>
    <row r="399" spans="1:29" ht="20.100000000000001" customHeight="1" x14ac:dyDescent="0.25">
      <c r="A399" s="36"/>
      <c r="B399" s="143">
        <f>B397+1</f>
        <v>360</v>
      </c>
      <c r="C399" s="88">
        <v>291</v>
      </c>
      <c r="D399" s="23" t="str">
        <f>HYPERLINK("https://sites.wustl.edu/meteoritesite/items/lm_nwa_08222_clan/",W399)</f>
        <v>Northwest Africa 11212</v>
      </c>
      <c r="E399" s="376" t="s">
        <v>487</v>
      </c>
      <c r="F399" s="377"/>
      <c r="G399" s="377"/>
      <c r="H399" s="378"/>
      <c r="I399" s="379"/>
      <c r="J399" s="380"/>
      <c r="K399" s="380"/>
      <c r="L399" s="400"/>
      <c r="M399" s="379" t="s">
        <v>511</v>
      </c>
      <c r="N399" s="400"/>
      <c r="O399" s="381" t="s">
        <v>889</v>
      </c>
      <c r="P399" s="382"/>
      <c r="Q399" s="383"/>
      <c r="R399" s="376" t="s">
        <v>6</v>
      </c>
      <c r="S399" s="378"/>
      <c r="T399" s="330">
        <v>1</v>
      </c>
      <c r="U399" s="35">
        <v>1</v>
      </c>
      <c r="W399" s="111" t="s">
        <v>509</v>
      </c>
      <c r="X399" s="61"/>
      <c r="Y399" s="243">
        <v>197.5</v>
      </c>
      <c r="Z399" s="243">
        <f t="shared" si="48"/>
        <v>197.5</v>
      </c>
      <c r="AB399" s="196"/>
      <c r="AC399" s="199"/>
    </row>
    <row r="400" spans="1:29" ht="20.100000000000001" customHeight="1" x14ac:dyDescent="0.25">
      <c r="A400" s="36"/>
      <c r="B400" s="143">
        <f t="shared" si="49"/>
        <v>361</v>
      </c>
      <c r="C400" s="88">
        <v>292</v>
      </c>
      <c r="D400" s="110" t="str">
        <f>HYPERLINK("https://sites.wustl.edu/meteoritesite/items/lm_nwa_08673_clan/",W400)</f>
        <v>Northwest Africa 11216</v>
      </c>
      <c r="E400" s="376" t="s">
        <v>82</v>
      </c>
      <c r="F400" s="377"/>
      <c r="G400" s="377"/>
      <c r="H400" s="378"/>
      <c r="I400" s="379"/>
      <c r="J400" s="380"/>
      <c r="K400" s="380"/>
      <c r="L400" s="400"/>
      <c r="M400" s="476" t="s">
        <v>514</v>
      </c>
      <c r="N400" s="477"/>
      <c r="O400" s="381" t="s">
        <v>894</v>
      </c>
      <c r="P400" s="382"/>
      <c r="Q400" s="383"/>
      <c r="R400" s="376" t="s">
        <v>1573</v>
      </c>
      <c r="S400" s="378"/>
      <c r="T400" s="330">
        <v>1</v>
      </c>
      <c r="U400" s="35">
        <v>1</v>
      </c>
      <c r="W400" s="111" t="s">
        <v>510</v>
      </c>
      <c r="X400" s="61"/>
      <c r="Y400" s="243">
        <v>222.34</v>
      </c>
      <c r="Z400" s="243">
        <f t="shared" si="48"/>
        <v>222.34</v>
      </c>
      <c r="AB400" s="196"/>
      <c r="AC400" s="199"/>
    </row>
    <row r="401" spans="1:29" ht="20.100000000000001" customHeight="1" x14ac:dyDescent="0.25">
      <c r="A401" s="36"/>
      <c r="B401" s="143">
        <f t="shared" si="49"/>
        <v>362</v>
      </c>
      <c r="C401" s="88">
        <v>294</v>
      </c>
      <c r="D401" s="23" t="str">
        <f>HYPERLINK("https://sites.wustl.edu/meteoritesite/items/lm_nwa_11223/",W401)</f>
        <v>Northwest Africa 11223</v>
      </c>
      <c r="E401" s="376">
        <v>11809</v>
      </c>
      <c r="F401" s="377"/>
      <c r="G401" s="377"/>
      <c r="H401" s="378"/>
      <c r="I401" s="379"/>
      <c r="J401" s="380"/>
      <c r="K401" s="380"/>
      <c r="L401" s="400"/>
      <c r="M401" s="481">
        <v>28</v>
      </c>
      <c r="N401" s="482"/>
      <c r="O401" s="381" t="s">
        <v>897</v>
      </c>
      <c r="P401" s="382"/>
      <c r="Q401" s="383"/>
      <c r="R401" s="376" t="s">
        <v>6</v>
      </c>
      <c r="S401" s="378"/>
      <c r="T401" s="330">
        <v>1</v>
      </c>
      <c r="U401" s="35">
        <v>1</v>
      </c>
      <c r="W401" s="111" t="s">
        <v>516</v>
      </c>
      <c r="X401" s="61"/>
      <c r="Y401" s="243">
        <v>28</v>
      </c>
      <c r="Z401" s="243">
        <f t="shared" si="48"/>
        <v>28</v>
      </c>
      <c r="AB401" s="196"/>
      <c r="AC401" s="199"/>
    </row>
    <row r="402" spans="1:29" ht="20.100000000000001" customHeight="1" x14ac:dyDescent="0.25">
      <c r="A402" s="36"/>
      <c r="B402" s="143">
        <f t="shared" si="49"/>
        <v>363</v>
      </c>
      <c r="C402" s="88">
        <v>295</v>
      </c>
      <c r="D402" s="110" t="str">
        <f>HYPERLINK("https://sites.wustl.edu/meteoritesite/items/lm_nwa_08673_clan/",W402)</f>
        <v>Northwest Africa 11228</v>
      </c>
      <c r="E402" s="376" t="s">
        <v>82</v>
      </c>
      <c r="F402" s="377"/>
      <c r="G402" s="377"/>
      <c r="H402" s="378"/>
      <c r="I402" s="407"/>
      <c r="J402" s="804"/>
      <c r="K402" s="804"/>
      <c r="L402" s="408"/>
      <c r="M402" s="476">
        <v>140</v>
      </c>
      <c r="N402" s="477"/>
      <c r="O402" s="381" t="s">
        <v>895</v>
      </c>
      <c r="P402" s="382"/>
      <c r="Q402" s="383"/>
      <c r="R402" s="376" t="s">
        <v>1573</v>
      </c>
      <c r="S402" s="378"/>
      <c r="T402" s="330">
        <v>1</v>
      </c>
      <c r="U402" s="35">
        <v>1</v>
      </c>
      <c r="W402" s="111" t="s">
        <v>517</v>
      </c>
      <c r="X402" s="61"/>
      <c r="Y402" s="243">
        <v>140</v>
      </c>
      <c r="Z402" s="243">
        <f t="shared" si="48"/>
        <v>140</v>
      </c>
      <c r="AB402" s="196"/>
      <c r="AC402" s="199"/>
    </row>
    <row r="403" spans="1:29" ht="20.100000000000001" customHeight="1" x14ac:dyDescent="0.25">
      <c r="A403" s="36"/>
      <c r="B403" s="143">
        <f t="shared" si="49"/>
        <v>364</v>
      </c>
      <c r="C403" s="88">
        <v>296</v>
      </c>
      <c r="D403" s="23" t="str">
        <f>HYPERLINK("https://sites.wustl.edu/meteoritesite/items/lm_nwa_08222_clan/",W403)</f>
        <v>Northwest Africa 11237</v>
      </c>
      <c r="E403" s="376" t="s">
        <v>487</v>
      </c>
      <c r="F403" s="377"/>
      <c r="G403" s="377"/>
      <c r="H403" s="378"/>
      <c r="I403" s="501"/>
      <c r="J403" s="502"/>
      <c r="K403" s="502"/>
      <c r="L403" s="503"/>
      <c r="M403" s="504">
        <v>583</v>
      </c>
      <c r="N403" s="505"/>
      <c r="O403" s="381" t="s">
        <v>897</v>
      </c>
      <c r="P403" s="382"/>
      <c r="Q403" s="383"/>
      <c r="R403" s="376" t="s">
        <v>6</v>
      </c>
      <c r="S403" s="378"/>
      <c r="T403" s="330">
        <v>1</v>
      </c>
      <c r="U403" s="35">
        <v>1</v>
      </c>
      <c r="W403" s="111" t="s">
        <v>518</v>
      </c>
      <c r="X403" s="61"/>
      <c r="Y403" s="243">
        <v>583</v>
      </c>
      <c r="Z403" s="243">
        <f t="shared" si="48"/>
        <v>583</v>
      </c>
      <c r="AB403" s="196"/>
      <c r="AC403" s="199"/>
    </row>
    <row r="404" spans="1:29" ht="20.100000000000001" customHeight="1" x14ac:dyDescent="0.25">
      <c r="A404" s="36"/>
      <c r="B404" s="143">
        <f t="shared" si="49"/>
        <v>365</v>
      </c>
      <c r="C404" s="88">
        <v>298</v>
      </c>
      <c r="D404" s="23" t="str">
        <f>HYPERLINK("https://sites.wustl.edu/meteoritesite/items/lm_nwa_11243/",W404)</f>
        <v>Northwest Africa 11243</v>
      </c>
      <c r="E404" s="376" t="s">
        <v>619</v>
      </c>
      <c r="F404" s="377"/>
      <c r="G404" s="377"/>
      <c r="H404" s="378"/>
      <c r="I404" s="284"/>
      <c r="J404" s="331"/>
      <c r="K404" s="331"/>
      <c r="L404" s="332"/>
      <c r="M404" s="481">
        <v>80</v>
      </c>
      <c r="N404" s="482"/>
      <c r="O404" s="381" t="s">
        <v>890</v>
      </c>
      <c r="P404" s="382"/>
      <c r="Q404" s="383"/>
      <c r="R404" s="376" t="s">
        <v>6</v>
      </c>
      <c r="S404" s="378"/>
      <c r="T404" s="330">
        <v>1</v>
      </c>
      <c r="U404" s="35">
        <v>1</v>
      </c>
      <c r="W404" s="106" t="s">
        <v>520</v>
      </c>
      <c r="X404" s="61"/>
      <c r="Y404" s="243">
        <v>80</v>
      </c>
      <c r="Z404" s="243">
        <f t="shared" si="48"/>
        <v>80</v>
      </c>
      <c r="AB404" s="196"/>
      <c r="AC404" s="199"/>
    </row>
    <row r="405" spans="1:29" ht="20.100000000000001" customHeight="1" x14ac:dyDescent="0.25">
      <c r="A405" s="36"/>
      <c r="B405" s="143">
        <f t="shared" si="49"/>
        <v>366</v>
      </c>
      <c r="C405" s="88">
        <v>299</v>
      </c>
      <c r="D405" s="64" t="str">
        <f>HYPERLINK("https://sites.wustl.edu/meteoritesite/items/lm_nwa_07834_clan/",W405)</f>
        <v>Northwest Africa 11249</v>
      </c>
      <c r="E405" s="376" t="s">
        <v>140</v>
      </c>
      <c r="F405" s="377"/>
      <c r="G405" s="377"/>
      <c r="H405" s="378"/>
      <c r="I405" s="284"/>
      <c r="J405" s="331"/>
      <c r="K405" s="331"/>
      <c r="L405" s="332"/>
      <c r="M405" s="463">
        <v>73.599999999999994</v>
      </c>
      <c r="N405" s="464"/>
      <c r="O405" s="381" t="s">
        <v>897</v>
      </c>
      <c r="P405" s="382"/>
      <c r="Q405" s="383"/>
      <c r="R405" s="376" t="s">
        <v>1573</v>
      </c>
      <c r="S405" s="378"/>
      <c r="T405" s="330">
        <v>1</v>
      </c>
      <c r="U405" s="35">
        <v>1</v>
      </c>
      <c r="W405" s="111" t="s">
        <v>521</v>
      </c>
      <c r="X405" s="61"/>
      <c r="Y405" s="243">
        <v>73.599999999999994</v>
      </c>
      <c r="Z405" s="243">
        <f t="shared" si="48"/>
        <v>73.599999999999994</v>
      </c>
      <c r="AB405" s="196"/>
      <c r="AC405" s="199"/>
    </row>
    <row r="406" spans="1:29" ht="20.100000000000001" customHeight="1" x14ac:dyDescent="0.25">
      <c r="A406" s="36"/>
      <c r="B406" s="143">
        <f t="shared" si="49"/>
        <v>367</v>
      </c>
      <c r="C406" s="88">
        <v>300</v>
      </c>
      <c r="D406" s="64" t="str">
        <f>HYPERLINK("https://sites.wustl.edu/meteoritesite/items/lm_nwa_05744_clan/",W406)</f>
        <v>Northwest Africa 11252</v>
      </c>
      <c r="E406" s="376" t="s">
        <v>36</v>
      </c>
      <c r="F406" s="377"/>
      <c r="G406" s="377"/>
      <c r="H406" s="378"/>
      <c r="I406" s="284"/>
      <c r="J406" s="331"/>
      <c r="K406" s="331"/>
      <c r="L406" s="332"/>
      <c r="M406" s="463">
        <v>22.9</v>
      </c>
      <c r="N406" s="464"/>
      <c r="O406" s="381" t="s">
        <v>897</v>
      </c>
      <c r="P406" s="382"/>
      <c r="Q406" s="383"/>
      <c r="R406" s="376" t="s">
        <v>6</v>
      </c>
      <c r="S406" s="378"/>
      <c r="T406" s="330">
        <v>1</v>
      </c>
      <c r="U406" s="35">
        <v>1</v>
      </c>
      <c r="W406" s="111" t="s">
        <v>522</v>
      </c>
      <c r="X406" s="61"/>
      <c r="Y406" s="243">
        <v>22.9</v>
      </c>
      <c r="Z406" s="243">
        <f t="shared" si="48"/>
        <v>22.9</v>
      </c>
      <c r="AB406" s="196"/>
      <c r="AC406" s="199"/>
    </row>
    <row r="407" spans="1:29" ht="20.100000000000001" customHeight="1" x14ac:dyDescent="0.25">
      <c r="A407" s="36"/>
      <c r="B407" s="143">
        <f t="shared" si="49"/>
        <v>368</v>
      </c>
      <c r="C407" s="88">
        <v>301</v>
      </c>
      <c r="D407" s="110" t="str">
        <f>HYPERLINK("https://sites.wustl.edu/meteoritesite/items/lm_nwa_08046_clan/",W407)</f>
        <v>Northwest Africa 11266</v>
      </c>
      <c r="E407" s="376" t="s">
        <v>466</v>
      </c>
      <c r="F407" s="377"/>
      <c r="G407" s="377"/>
      <c r="H407" s="378"/>
      <c r="I407" s="284"/>
      <c r="J407" s="331"/>
      <c r="K407" s="331"/>
      <c r="L407" s="332"/>
      <c r="M407" s="463" t="s">
        <v>527</v>
      </c>
      <c r="N407" s="464"/>
      <c r="O407" s="381" t="s">
        <v>898</v>
      </c>
      <c r="P407" s="382"/>
      <c r="Q407" s="383"/>
      <c r="R407" s="376" t="s">
        <v>6</v>
      </c>
      <c r="S407" s="378"/>
      <c r="T407" s="330">
        <v>1</v>
      </c>
      <c r="U407" s="35">
        <v>1</v>
      </c>
      <c r="W407" s="111" t="s">
        <v>525</v>
      </c>
      <c r="X407" s="61"/>
      <c r="Y407" s="243">
        <v>1017</v>
      </c>
      <c r="Z407" s="243">
        <f t="shared" si="48"/>
        <v>1017</v>
      </c>
      <c r="AB407" s="196"/>
      <c r="AC407" s="199"/>
    </row>
    <row r="408" spans="1:29" ht="20.100000000000001" customHeight="1" x14ac:dyDescent="0.25">
      <c r="A408" s="36"/>
      <c r="B408" s="143">
        <f t="shared" si="49"/>
        <v>369</v>
      </c>
      <c r="C408" s="88">
        <v>302</v>
      </c>
      <c r="D408" s="110" t="str">
        <f>HYPERLINK("https://sites.wustl.edu/meteoritesite/items/lm_nwa_08046_clan/",W408)</f>
        <v>Northwest Africa 11269</v>
      </c>
      <c r="E408" s="376" t="s">
        <v>466</v>
      </c>
      <c r="F408" s="377"/>
      <c r="G408" s="377"/>
      <c r="H408" s="378"/>
      <c r="I408" s="284"/>
      <c r="J408" s="331"/>
      <c r="K408" s="331"/>
      <c r="L408" s="332"/>
      <c r="M408" s="402">
        <v>220</v>
      </c>
      <c r="N408" s="403"/>
      <c r="O408" s="381" t="s">
        <v>898</v>
      </c>
      <c r="P408" s="382"/>
      <c r="Q408" s="383"/>
      <c r="R408" s="376" t="s">
        <v>6</v>
      </c>
      <c r="S408" s="378"/>
      <c r="T408" s="330">
        <v>1</v>
      </c>
      <c r="U408" s="35">
        <v>1</v>
      </c>
      <c r="W408" s="111" t="s">
        <v>526</v>
      </c>
      <c r="X408" s="61"/>
      <c r="Y408" s="243">
        <v>220</v>
      </c>
      <c r="Z408" s="243">
        <f t="shared" si="48"/>
        <v>220</v>
      </c>
      <c r="AB408" s="196"/>
      <c r="AC408" s="199"/>
    </row>
    <row r="409" spans="1:29" ht="20.100000000000001" customHeight="1" x14ac:dyDescent="0.25">
      <c r="A409" s="36"/>
      <c r="B409" s="143">
        <f t="shared" si="49"/>
        <v>370</v>
      </c>
      <c r="C409" s="88">
        <v>312</v>
      </c>
      <c r="D409" s="110" t="str">
        <f>HYPERLINK("https://sites.wustl.edu/meteoritesite/items/lm_nwa_08046_clan/",W409)</f>
        <v>Northwest Africa 11273</v>
      </c>
      <c r="E409" s="376" t="s">
        <v>466</v>
      </c>
      <c r="F409" s="377"/>
      <c r="G409" s="377"/>
      <c r="H409" s="378"/>
      <c r="I409" s="284"/>
      <c r="J409" s="331"/>
      <c r="K409" s="331"/>
      <c r="L409" s="332"/>
      <c r="M409" s="402" t="s">
        <v>552</v>
      </c>
      <c r="N409" s="403"/>
      <c r="O409" s="381" t="s">
        <v>898</v>
      </c>
      <c r="P409" s="382"/>
      <c r="Q409" s="383"/>
      <c r="R409" s="376" t="s">
        <v>6</v>
      </c>
      <c r="S409" s="378"/>
      <c r="T409" s="330">
        <v>1</v>
      </c>
      <c r="U409" s="35">
        <v>1</v>
      </c>
      <c r="W409" s="111" t="s">
        <v>551</v>
      </c>
      <c r="X409" s="61"/>
      <c r="Y409" s="243">
        <v>2808</v>
      </c>
      <c r="Z409" s="243">
        <f t="shared" si="48"/>
        <v>2808</v>
      </c>
      <c r="AB409" s="196"/>
      <c r="AC409" s="199"/>
    </row>
    <row r="410" spans="1:29" ht="20.100000000000001" customHeight="1" x14ac:dyDescent="0.25">
      <c r="A410" s="36"/>
      <c r="B410" s="143">
        <f t="shared" si="49"/>
        <v>371</v>
      </c>
      <c r="C410" s="88">
        <v>329</v>
      </c>
      <c r="D410" s="110" t="str">
        <f>HYPERLINK("https://sites.wustl.edu/meteoritesite/items/lm_nwa_08046_clan/",W410)</f>
        <v>Northwest Africa 11303</v>
      </c>
      <c r="E410" s="376" t="s">
        <v>466</v>
      </c>
      <c r="F410" s="377"/>
      <c r="G410" s="377"/>
      <c r="H410" s="378"/>
      <c r="I410" s="284"/>
      <c r="J410" s="331"/>
      <c r="K410" s="331"/>
      <c r="L410" s="332"/>
      <c r="M410" s="402" t="s">
        <v>585</v>
      </c>
      <c r="N410" s="403"/>
      <c r="O410" s="381" t="s">
        <v>899</v>
      </c>
      <c r="P410" s="382"/>
      <c r="Q410" s="383"/>
      <c r="R410" s="376" t="s">
        <v>6</v>
      </c>
      <c r="S410" s="378"/>
      <c r="T410" s="330">
        <v>1</v>
      </c>
      <c r="U410" s="35">
        <v>1</v>
      </c>
      <c r="W410" s="111" t="s">
        <v>584</v>
      </c>
      <c r="X410" s="61"/>
      <c r="Y410" s="243">
        <v>6000</v>
      </c>
      <c r="Z410" s="243">
        <f t="shared" si="48"/>
        <v>6000</v>
      </c>
      <c r="AB410" s="196"/>
      <c r="AC410" s="199"/>
    </row>
    <row r="411" spans="1:29" ht="20.100000000000001" customHeight="1" x14ac:dyDescent="0.25">
      <c r="A411" s="36"/>
      <c r="B411" s="143">
        <f t="shared" si="49"/>
        <v>372</v>
      </c>
      <c r="C411" s="88">
        <v>303</v>
      </c>
      <c r="D411" s="110" t="str">
        <f>HYPERLINK("https://sites.wustl.edu/meteoritesite/items/lm_nwa_08046_clan/",W411)</f>
        <v>Northwest Africa 11331</v>
      </c>
      <c r="E411" s="376" t="s">
        <v>571</v>
      </c>
      <c r="F411" s="377"/>
      <c r="G411" s="377"/>
      <c r="H411" s="378"/>
      <c r="I411" s="284"/>
      <c r="J411" s="331" t="s">
        <v>565</v>
      </c>
      <c r="K411" s="331"/>
      <c r="L411" s="332"/>
      <c r="M411" s="402" t="s">
        <v>1467</v>
      </c>
      <c r="N411" s="403"/>
      <c r="O411" s="381" t="s">
        <v>898</v>
      </c>
      <c r="P411" s="382"/>
      <c r="Q411" s="383"/>
      <c r="R411" s="376" t="s">
        <v>6</v>
      </c>
      <c r="S411" s="378"/>
      <c r="T411" s="330">
        <v>0</v>
      </c>
      <c r="U411" s="35">
        <v>1</v>
      </c>
      <c r="W411" s="111" t="s">
        <v>528</v>
      </c>
      <c r="X411" s="61"/>
      <c r="Y411" s="243">
        <v>318</v>
      </c>
      <c r="Z411" s="243">
        <f t="shared" si="48"/>
        <v>318</v>
      </c>
      <c r="AB411" s="196"/>
      <c r="AC411" s="199"/>
    </row>
    <row r="412" spans="1:29" ht="20.100000000000001" customHeight="1" x14ac:dyDescent="0.25">
      <c r="A412" s="36"/>
      <c r="B412" s="143">
        <f t="shared" si="49"/>
        <v>373</v>
      </c>
      <c r="C412" s="88">
        <v>304</v>
      </c>
      <c r="D412" s="23" t="str">
        <f>HYPERLINK("https://sites.wustl.edu/meteoritesite/items/lm_nwa_11352/",W412)</f>
        <v>Northwest Africa 11352</v>
      </c>
      <c r="E412" s="376"/>
      <c r="F412" s="377"/>
      <c r="G412" s="377"/>
      <c r="H412" s="378"/>
      <c r="I412" s="284"/>
      <c r="J412" s="331"/>
      <c r="K412" s="331"/>
      <c r="L412" s="332"/>
      <c r="M412" s="463">
        <v>74.5</v>
      </c>
      <c r="N412" s="464"/>
      <c r="O412" s="381" t="s">
        <v>894</v>
      </c>
      <c r="P412" s="382"/>
      <c r="Q412" s="383"/>
      <c r="R412" s="376" t="s">
        <v>6</v>
      </c>
      <c r="S412" s="378"/>
      <c r="T412" s="330">
        <v>1</v>
      </c>
      <c r="U412" s="35">
        <v>1</v>
      </c>
      <c r="W412" s="111" t="s">
        <v>529</v>
      </c>
      <c r="X412" s="61"/>
      <c r="Y412" s="243">
        <v>74.5</v>
      </c>
      <c r="Z412" s="243">
        <f t="shared" si="48"/>
        <v>74.5</v>
      </c>
      <c r="AB412" s="196"/>
      <c r="AC412" s="199"/>
    </row>
    <row r="413" spans="1:29" ht="20.100000000000001" customHeight="1" x14ac:dyDescent="0.25">
      <c r="A413" s="36"/>
      <c r="B413" s="143">
        <f t="shared" si="49"/>
        <v>374</v>
      </c>
      <c r="C413" s="88">
        <v>313</v>
      </c>
      <c r="D413" s="110" t="str">
        <f>HYPERLINK("https://sites.wustl.edu/meteoritesite/items/lm_nwa_11367/",W413)</f>
        <v>Northwest Africa 11367</v>
      </c>
      <c r="E413" s="376" t="s">
        <v>603</v>
      </c>
      <c r="F413" s="377"/>
      <c r="G413" s="377"/>
      <c r="H413" s="378"/>
      <c r="I413" s="284"/>
      <c r="J413" s="331"/>
      <c r="K413" s="331"/>
      <c r="L413" s="332"/>
      <c r="M413" s="463" t="s">
        <v>555</v>
      </c>
      <c r="N413" s="464"/>
      <c r="O413" s="381" t="s">
        <v>898</v>
      </c>
      <c r="P413" s="382"/>
      <c r="Q413" s="383"/>
      <c r="R413" s="376" t="s">
        <v>6</v>
      </c>
      <c r="S413" s="378"/>
      <c r="T413" s="330">
        <v>0</v>
      </c>
      <c r="U413" s="35">
        <v>1</v>
      </c>
      <c r="W413" s="111" t="s">
        <v>553</v>
      </c>
      <c r="X413" s="61"/>
      <c r="Y413" s="243">
        <v>305</v>
      </c>
      <c r="Z413" s="243">
        <f t="shared" si="48"/>
        <v>305</v>
      </c>
      <c r="AB413" s="196"/>
      <c r="AC413" s="199"/>
    </row>
    <row r="414" spans="1:29" ht="20.100000000000001" customHeight="1" x14ac:dyDescent="0.25">
      <c r="A414" s="36"/>
      <c r="B414" s="143">
        <f t="shared" si="49"/>
        <v>375</v>
      </c>
      <c r="C414" s="88">
        <v>306</v>
      </c>
      <c r="D414" s="110" t="str">
        <f>HYPERLINK("https://sites.wustl.edu/meteoritesite/items/lm_nwa_08046_clan/",W414)</f>
        <v>Northwest Africa 11379</v>
      </c>
      <c r="E414" s="376" t="s">
        <v>466</v>
      </c>
      <c r="F414" s="377"/>
      <c r="G414" s="377"/>
      <c r="H414" s="378"/>
      <c r="I414" s="284"/>
      <c r="J414" s="331"/>
      <c r="K414" s="331"/>
      <c r="L414" s="332"/>
      <c r="M414" s="432">
        <v>150.87</v>
      </c>
      <c r="N414" s="433"/>
      <c r="O414" s="381" t="s">
        <v>900</v>
      </c>
      <c r="P414" s="382"/>
      <c r="Q414" s="383"/>
      <c r="R414" s="376" t="s">
        <v>6</v>
      </c>
      <c r="S414" s="378"/>
      <c r="T414" s="330">
        <v>1</v>
      </c>
      <c r="U414" s="35">
        <v>1</v>
      </c>
      <c r="W414" s="111" t="s">
        <v>536</v>
      </c>
      <c r="X414" s="61"/>
      <c r="Y414" s="243">
        <v>150.87</v>
      </c>
      <c r="Z414" s="243">
        <f t="shared" si="48"/>
        <v>150.87</v>
      </c>
      <c r="AB414" s="196"/>
      <c r="AC414" s="199"/>
    </row>
    <row r="415" spans="1:29" ht="36" customHeight="1" x14ac:dyDescent="0.25">
      <c r="A415" s="36"/>
      <c r="B415" s="125" t="s">
        <v>402</v>
      </c>
      <c r="C415" s="30" t="s">
        <v>1034</v>
      </c>
      <c r="D415" s="33" t="s">
        <v>915</v>
      </c>
      <c r="E415" s="420" t="s">
        <v>916</v>
      </c>
      <c r="F415" s="421"/>
      <c r="G415" s="421"/>
      <c r="H415" s="422"/>
      <c r="I415" s="423" t="s">
        <v>917</v>
      </c>
      <c r="J415" s="424"/>
      <c r="K415" s="424"/>
      <c r="L415" s="425"/>
      <c r="M415" s="430" t="s">
        <v>918</v>
      </c>
      <c r="N415" s="431"/>
      <c r="O415" s="426" t="s">
        <v>919</v>
      </c>
      <c r="P415" s="427"/>
      <c r="Q415" s="428"/>
      <c r="R415" s="423" t="s">
        <v>920</v>
      </c>
      <c r="S415" s="425"/>
      <c r="T415" s="5" t="s">
        <v>5</v>
      </c>
      <c r="Y415" s="243"/>
      <c r="AB415" s="196"/>
      <c r="AC415" s="199"/>
    </row>
    <row r="416" spans="1:29" ht="20.100000000000001" customHeight="1" x14ac:dyDescent="0.25">
      <c r="A416" s="36"/>
      <c r="B416" s="143">
        <f>B414+1</f>
        <v>376</v>
      </c>
      <c r="C416" s="88">
        <v>307</v>
      </c>
      <c r="D416" s="110" t="str">
        <f>HYPERLINK("https://sites.wustl.edu/meteoritesite/items/lm_nwa_08046_clan/",W416)</f>
        <v>Northwest Africa 11407</v>
      </c>
      <c r="E416" s="376" t="s">
        <v>571</v>
      </c>
      <c r="F416" s="377"/>
      <c r="G416" s="377"/>
      <c r="H416" s="378"/>
      <c r="I416" s="284"/>
      <c r="J416" s="331"/>
      <c r="K416" s="331"/>
      <c r="L416" s="332"/>
      <c r="M416" s="402" t="s">
        <v>1468</v>
      </c>
      <c r="N416" s="403"/>
      <c r="O416" s="381" t="s">
        <v>892</v>
      </c>
      <c r="P416" s="382"/>
      <c r="Q416" s="383"/>
      <c r="R416" s="376" t="s">
        <v>6</v>
      </c>
      <c r="S416" s="378"/>
      <c r="T416" s="330">
        <v>0</v>
      </c>
      <c r="U416" s="35">
        <v>1</v>
      </c>
      <c r="W416" s="111" t="s">
        <v>547</v>
      </c>
      <c r="X416" s="61"/>
      <c r="Y416" s="243">
        <v>700</v>
      </c>
      <c r="Z416" s="243">
        <f t="shared" si="48"/>
        <v>700</v>
      </c>
      <c r="AB416" s="196"/>
      <c r="AC416" s="199"/>
    </row>
    <row r="417" spans="1:29" ht="20.100000000000001" customHeight="1" x14ac:dyDescent="0.25">
      <c r="A417" s="36"/>
      <c r="B417" s="143">
        <f t="shared" si="49"/>
        <v>377</v>
      </c>
      <c r="C417" s="88">
        <v>311</v>
      </c>
      <c r="D417" s="110" t="str">
        <f>HYPERLINK("https://sites.wustl.edu/meteoritesite/items/lm_nwa_08046_clan/",W417)</f>
        <v>Northwest Africa 11421</v>
      </c>
      <c r="E417" s="376" t="s">
        <v>571</v>
      </c>
      <c r="F417" s="377"/>
      <c r="G417" s="377"/>
      <c r="H417" s="378"/>
      <c r="I417" s="284"/>
      <c r="J417" s="331"/>
      <c r="K417" s="331"/>
      <c r="L417" s="332"/>
      <c r="M417" s="402" t="s">
        <v>550</v>
      </c>
      <c r="N417" s="403"/>
      <c r="O417" s="381" t="s">
        <v>892</v>
      </c>
      <c r="P417" s="382"/>
      <c r="Q417" s="383"/>
      <c r="R417" s="376" t="s">
        <v>6</v>
      </c>
      <c r="S417" s="378"/>
      <c r="T417" s="330">
        <v>0</v>
      </c>
      <c r="U417" s="35">
        <v>1</v>
      </c>
      <c r="W417" s="111" t="s">
        <v>549</v>
      </c>
      <c r="X417" s="61"/>
      <c r="Y417" s="243">
        <v>912</v>
      </c>
      <c r="Z417" s="243">
        <f t="shared" si="48"/>
        <v>912</v>
      </c>
      <c r="AB417" s="196"/>
      <c r="AC417" s="199"/>
    </row>
    <row r="418" spans="1:29" ht="20.100000000000001" customHeight="1" x14ac:dyDescent="0.25">
      <c r="A418" s="36"/>
      <c r="B418" s="143">
        <f t="shared" si="49"/>
        <v>378</v>
      </c>
      <c r="C418" s="88">
        <v>314</v>
      </c>
      <c r="D418" s="110" t="str">
        <f>HYPERLINK("https://sites.wustl.edu/meteoritesite/items/lm_nwa_08046_clan/",W418)</f>
        <v>Northwest Africa 11428</v>
      </c>
      <c r="E418" s="376" t="s">
        <v>466</v>
      </c>
      <c r="F418" s="377"/>
      <c r="G418" s="377"/>
      <c r="H418" s="378"/>
      <c r="I418" s="284"/>
      <c r="J418" s="331"/>
      <c r="K418" s="331"/>
      <c r="L418" s="332"/>
      <c r="M418" s="402" t="s">
        <v>1469</v>
      </c>
      <c r="N418" s="403"/>
      <c r="O418" s="381" t="s">
        <v>901</v>
      </c>
      <c r="P418" s="382"/>
      <c r="Q418" s="383"/>
      <c r="R418" s="376" t="s">
        <v>6</v>
      </c>
      <c r="S418" s="378"/>
      <c r="T418" s="330">
        <v>1</v>
      </c>
      <c r="U418" s="35">
        <v>1</v>
      </c>
      <c r="W418" s="111" t="s">
        <v>554</v>
      </c>
      <c r="X418" s="61"/>
      <c r="Y418" s="243">
        <v>783.39</v>
      </c>
      <c r="Z418" s="243">
        <f t="shared" si="48"/>
        <v>783.39</v>
      </c>
      <c r="AB418" s="196"/>
      <c r="AC418" s="199"/>
    </row>
    <row r="419" spans="1:29" ht="20.100000000000001" customHeight="1" x14ac:dyDescent="0.25">
      <c r="A419" s="36"/>
      <c r="B419" s="143">
        <f t="shared" si="49"/>
        <v>379</v>
      </c>
      <c r="C419" s="88">
        <v>315</v>
      </c>
      <c r="D419" s="110" t="str">
        <f>HYPERLINK("https://sites.wustl.edu/meteoritesite/items/lm_nwa_08046_clan/",W419)</f>
        <v>Northwest Africa 11444</v>
      </c>
      <c r="E419" s="376" t="s">
        <v>571</v>
      </c>
      <c r="F419" s="377"/>
      <c r="G419" s="377"/>
      <c r="H419" s="378"/>
      <c r="I419" s="284"/>
      <c r="J419" s="331"/>
      <c r="K419" s="331"/>
      <c r="L419" s="332"/>
      <c r="M419" s="402" t="s">
        <v>557</v>
      </c>
      <c r="N419" s="403"/>
      <c r="O419" s="381" t="s">
        <v>892</v>
      </c>
      <c r="P419" s="382"/>
      <c r="Q419" s="383"/>
      <c r="R419" s="376" t="s">
        <v>6</v>
      </c>
      <c r="S419" s="378"/>
      <c r="T419" s="330">
        <v>0</v>
      </c>
      <c r="U419" s="35">
        <v>1</v>
      </c>
      <c r="W419" s="111" t="s">
        <v>558</v>
      </c>
      <c r="X419" s="61"/>
      <c r="Y419" s="243">
        <v>1323</v>
      </c>
      <c r="Z419" s="243">
        <f t="shared" si="48"/>
        <v>1323</v>
      </c>
      <c r="AB419" s="196"/>
      <c r="AC419" s="199"/>
    </row>
    <row r="420" spans="1:29" ht="20.100000000000001" customHeight="1" x14ac:dyDescent="0.25">
      <c r="A420" s="36"/>
      <c r="B420" s="143">
        <f t="shared" si="49"/>
        <v>380</v>
      </c>
      <c r="C420" s="88">
        <v>316</v>
      </c>
      <c r="D420" s="110" t="str">
        <f>HYPERLINK("https://sites.wustl.edu/meteoritesite/items/lm_nwa_11457/",W420)</f>
        <v>Northwest Africa 11457</v>
      </c>
      <c r="E420" s="376" t="s">
        <v>603</v>
      </c>
      <c r="F420" s="377"/>
      <c r="G420" s="377"/>
      <c r="H420" s="378"/>
      <c r="I420" s="284"/>
      <c r="J420" s="331"/>
      <c r="K420" s="331"/>
      <c r="L420" s="332"/>
      <c r="M420" s="402" t="s">
        <v>559</v>
      </c>
      <c r="N420" s="403"/>
      <c r="O420" s="381" t="s">
        <v>888</v>
      </c>
      <c r="P420" s="382"/>
      <c r="Q420" s="383"/>
      <c r="R420" s="376" t="s">
        <v>6</v>
      </c>
      <c r="S420" s="378"/>
      <c r="T420" s="330">
        <v>0</v>
      </c>
      <c r="U420" s="35">
        <v>1</v>
      </c>
      <c r="W420" s="111" t="s">
        <v>556</v>
      </c>
      <c r="X420" s="61"/>
      <c r="Y420" s="243">
        <v>273</v>
      </c>
      <c r="Z420" s="243">
        <f t="shared" si="48"/>
        <v>273</v>
      </c>
      <c r="AB420" s="196"/>
      <c r="AC420" s="199"/>
    </row>
    <row r="421" spans="1:29" ht="20.100000000000001" customHeight="1" x14ac:dyDescent="0.25">
      <c r="A421" s="36"/>
      <c r="B421" s="143">
        <f t="shared" si="49"/>
        <v>381</v>
      </c>
      <c r="C421" s="88">
        <v>317</v>
      </c>
      <c r="D421" s="110" t="str">
        <f>HYPERLINK("https://sites.wustl.edu/meteoritesite/items/lm_nwa_08046_clan/",W421)</f>
        <v>Northwest Africa 11460</v>
      </c>
      <c r="E421" s="376" t="s">
        <v>466</v>
      </c>
      <c r="F421" s="377"/>
      <c r="G421" s="377"/>
      <c r="H421" s="378"/>
      <c r="I421" s="284"/>
      <c r="J421" s="331"/>
      <c r="K421" s="331"/>
      <c r="L421" s="332"/>
      <c r="M421" s="402" t="s">
        <v>1470</v>
      </c>
      <c r="N421" s="403"/>
      <c r="O421" s="381" t="s">
        <v>892</v>
      </c>
      <c r="P421" s="382"/>
      <c r="Q421" s="383"/>
      <c r="R421" s="376" t="s">
        <v>6</v>
      </c>
      <c r="S421" s="378"/>
      <c r="T421" s="330">
        <v>1</v>
      </c>
      <c r="U421" s="35">
        <v>1</v>
      </c>
      <c r="W421" s="111" t="s">
        <v>561</v>
      </c>
      <c r="X421" s="61"/>
      <c r="Y421" s="243">
        <v>286</v>
      </c>
      <c r="Z421" s="243">
        <f t="shared" si="48"/>
        <v>286</v>
      </c>
      <c r="AB421" s="196"/>
      <c r="AC421" s="199"/>
    </row>
    <row r="422" spans="1:29" ht="20.100000000000001" customHeight="1" x14ac:dyDescent="0.25">
      <c r="A422" s="36"/>
      <c r="B422" s="143">
        <f t="shared" si="49"/>
        <v>382</v>
      </c>
      <c r="C422" s="88">
        <v>318</v>
      </c>
      <c r="D422" s="110" t="str">
        <f>HYPERLINK("https://sites.wustl.edu/meteoritesite/items/lm_nwa_11472/",W422)</f>
        <v>Northwest Africa 11472</v>
      </c>
      <c r="E422" s="376" t="s">
        <v>571</v>
      </c>
      <c r="F422" s="377"/>
      <c r="G422" s="377"/>
      <c r="H422" s="378"/>
      <c r="I422" s="284"/>
      <c r="J422" s="331"/>
      <c r="K422" s="331"/>
      <c r="L422" s="332"/>
      <c r="M422" s="402">
        <v>840</v>
      </c>
      <c r="N422" s="403"/>
      <c r="O422" s="381" t="s">
        <v>863</v>
      </c>
      <c r="P422" s="382"/>
      <c r="Q422" s="383"/>
      <c r="R422" s="376" t="s">
        <v>6</v>
      </c>
      <c r="S422" s="378"/>
      <c r="T422" s="330">
        <v>0</v>
      </c>
      <c r="U422" s="35">
        <v>1</v>
      </c>
      <c r="W422" s="111" t="s">
        <v>566</v>
      </c>
      <c r="X422" s="61"/>
      <c r="Y422" s="243">
        <v>840</v>
      </c>
      <c r="Z422" s="243">
        <f t="shared" si="48"/>
        <v>840</v>
      </c>
      <c r="AB422" s="196"/>
      <c r="AC422" s="199"/>
    </row>
    <row r="423" spans="1:29" ht="20.100000000000001" customHeight="1" x14ac:dyDescent="0.25">
      <c r="A423" s="36"/>
      <c r="B423" s="143">
        <f t="shared" si="49"/>
        <v>383</v>
      </c>
      <c r="C423" s="88">
        <v>319</v>
      </c>
      <c r="D423" s="110" t="str">
        <f>HYPERLINK("https://sites.wustl.edu/meteoritesite/items/lm_nwa_11474/",W423)</f>
        <v>Northwest Africa 11474</v>
      </c>
      <c r="E423" s="376" t="s">
        <v>571</v>
      </c>
      <c r="F423" s="377"/>
      <c r="G423" s="377"/>
      <c r="H423" s="378"/>
      <c r="I423" s="284"/>
      <c r="J423" s="331"/>
      <c r="K423" s="331"/>
      <c r="L423" s="332"/>
      <c r="M423" s="402" t="s">
        <v>569</v>
      </c>
      <c r="N423" s="403"/>
      <c r="O423" s="381" t="s">
        <v>942</v>
      </c>
      <c r="P423" s="382"/>
      <c r="Q423" s="383"/>
      <c r="R423" s="376" t="s">
        <v>6</v>
      </c>
      <c r="S423" s="378"/>
      <c r="T423" s="330">
        <v>0</v>
      </c>
      <c r="U423" s="35">
        <v>1</v>
      </c>
      <c r="W423" s="111" t="s">
        <v>567</v>
      </c>
      <c r="X423" s="61"/>
      <c r="Y423" s="243">
        <v>586</v>
      </c>
      <c r="Z423" s="243">
        <f t="shared" si="48"/>
        <v>586</v>
      </c>
      <c r="AB423" s="196"/>
      <c r="AC423" s="199"/>
    </row>
    <row r="424" spans="1:29" ht="20.100000000000001" customHeight="1" x14ac:dyDescent="0.25">
      <c r="A424" s="36"/>
      <c r="B424" s="143">
        <f t="shared" si="49"/>
        <v>384</v>
      </c>
      <c r="C424" s="88">
        <v>320</v>
      </c>
      <c r="D424" s="110" t="str">
        <f>HYPERLINK("https://sites.wustl.edu/meteoritesite/items/lm_nwa_08046_clan/",W424)</f>
        <v>Northwest Africa 11479</v>
      </c>
      <c r="E424" s="376" t="s">
        <v>466</v>
      </c>
      <c r="F424" s="377"/>
      <c r="G424" s="377"/>
      <c r="H424" s="378"/>
      <c r="I424" s="284"/>
      <c r="J424" s="331"/>
      <c r="K424" s="331"/>
      <c r="L424" s="332"/>
      <c r="M424" s="402">
        <v>504</v>
      </c>
      <c r="N424" s="403"/>
      <c r="O424" s="381" t="s">
        <v>906</v>
      </c>
      <c r="P424" s="382"/>
      <c r="Q424" s="383"/>
      <c r="R424" s="376" t="s">
        <v>6</v>
      </c>
      <c r="S424" s="378"/>
      <c r="T424" s="330">
        <v>1</v>
      </c>
      <c r="U424" s="35">
        <v>1</v>
      </c>
      <c r="W424" s="111" t="s">
        <v>568</v>
      </c>
      <c r="X424" s="61"/>
      <c r="Y424" s="243">
        <v>504</v>
      </c>
      <c r="Z424" s="243">
        <f t="shared" si="48"/>
        <v>504</v>
      </c>
      <c r="AB424" s="196"/>
      <c r="AC424" s="199"/>
    </row>
    <row r="425" spans="1:29" ht="20.100000000000001" customHeight="1" x14ac:dyDescent="0.25">
      <c r="A425" s="36"/>
      <c r="B425" s="143">
        <f t="shared" si="49"/>
        <v>385</v>
      </c>
      <c r="C425" s="88">
        <v>321</v>
      </c>
      <c r="D425" s="110" t="str">
        <f>HYPERLINK("https://sites.wustl.edu/meteoritesite/items/lm_nwa_08046_clan/",W425)</f>
        <v>Northwest Africa 11515</v>
      </c>
      <c r="E425" s="376" t="s">
        <v>466</v>
      </c>
      <c r="F425" s="377"/>
      <c r="G425" s="377"/>
      <c r="H425" s="378"/>
      <c r="I425" s="284"/>
      <c r="J425" s="331"/>
      <c r="K425" s="331"/>
      <c r="L425" s="332"/>
      <c r="M425" s="402" t="s">
        <v>570</v>
      </c>
      <c r="N425" s="403"/>
      <c r="O425" s="381" t="s">
        <v>892</v>
      </c>
      <c r="P425" s="382"/>
      <c r="Q425" s="383"/>
      <c r="R425" s="376" t="s">
        <v>6</v>
      </c>
      <c r="S425" s="378"/>
      <c r="T425" s="330">
        <v>1</v>
      </c>
      <c r="U425" s="35">
        <v>1</v>
      </c>
      <c r="W425" s="111" t="s">
        <v>572</v>
      </c>
      <c r="X425" s="61"/>
      <c r="Y425" s="243">
        <v>330</v>
      </c>
      <c r="Z425" s="243">
        <f t="shared" si="48"/>
        <v>330</v>
      </c>
      <c r="AB425" s="196"/>
      <c r="AC425" s="199"/>
    </row>
    <row r="426" spans="1:29" ht="20.100000000000001" customHeight="1" x14ac:dyDescent="0.25">
      <c r="A426" s="36"/>
      <c r="B426" s="143">
        <f t="shared" si="49"/>
        <v>386</v>
      </c>
      <c r="C426" s="88">
        <v>330</v>
      </c>
      <c r="D426" s="110" t="str">
        <f>HYPERLINK("https://sites.wustl.edu/meteoritesite/items/lm_nwa_08046_clan/",W426)</f>
        <v>Northwest Africa 11517</v>
      </c>
      <c r="E426" s="376" t="s">
        <v>571</v>
      </c>
      <c r="F426" s="377"/>
      <c r="G426" s="377"/>
      <c r="H426" s="378"/>
      <c r="I426" s="284"/>
      <c r="J426" s="331"/>
      <c r="K426" s="331"/>
      <c r="L426" s="332"/>
      <c r="M426" s="402" t="s">
        <v>587</v>
      </c>
      <c r="N426" s="403"/>
      <c r="O426" s="381" t="s">
        <v>902</v>
      </c>
      <c r="P426" s="382"/>
      <c r="Q426" s="383"/>
      <c r="R426" s="376" t="s">
        <v>6</v>
      </c>
      <c r="S426" s="378"/>
      <c r="T426" s="330">
        <v>0</v>
      </c>
      <c r="U426" s="35">
        <v>1</v>
      </c>
      <c r="W426" s="111" t="s">
        <v>586</v>
      </c>
      <c r="X426" s="61"/>
      <c r="Y426" s="243">
        <v>88</v>
      </c>
      <c r="Z426" s="243">
        <f t="shared" si="48"/>
        <v>88</v>
      </c>
      <c r="AB426" s="196"/>
      <c r="AC426" s="199"/>
    </row>
    <row r="427" spans="1:29" ht="20.100000000000001" customHeight="1" x14ac:dyDescent="0.25">
      <c r="A427" s="36"/>
      <c r="B427" s="143">
        <f t="shared" si="49"/>
        <v>387</v>
      </c>
      <c r="C427" s="88">
        <v>322</v>
      </c>
      <c r="D427" s="110" t="str">
        <f>HYPERLINK("https://sites.wustl.edu/meteoritesite/items/lm_nwa_11523/",W427)</f>
        <v>Northwest Africa 11523</v>
      </c>
      <c r="E427" s="376" t="s">
        <v>603</v>
      </c>
      <c r="F427" s="377"/>
      <c r="G427" s="377"/>
      <c r="H427" s="378"/>
      <c r="I427" s="284"/>
      <c r="J427" s="331"/>
      <c r="K427" s="331"/>
      <c r="L427" s="332"/>
      <c r="M427" s="402">
        <v>3362</v>
      </c>
      <c r="N427" s="403"/>
      <c r="O427" s="381" t="s">
        <v>899</v>
      </c>
      <c r="P427" s="382"/>
      <c r="Q427" s="383"/>
      <c r="R427" s="376" t="s">
        <v>6</v>
      </c>
      <c r="S427" s="378"/>
      <c r="T427" s="330">
        <v>0</v>
      </c>
      <c r="U427" s="35">
        <v>1</v>
      </c>
      <c r="W427" s="111" t="s">
        <v>573</v>
      </c>
      <c r="X427" s="61"/>
      <c r="Y427" s="243">
        <v>3362</v>
      </c>
      <c r="Z427" s="243">
        <f t="shared" ref="Z427:Z443" si="50">Y427</f>
        <v>3362</v>
      </c>
      <c r="AB427" s="196"/>
      <c r="AC427" s="199"/>
    </row>
    <row r="428" spans="1:29" ht="20.100000000000001" customHeight="1" x14ac:dyDescent="0.25">
      <c r="A428" s="36"/>
      <c r="B428" s="143">
        <f t="shared" si="49"/>
        <v>388</v>
      </c>
      <c r="C428" s="88">
        <v>323</v>
      </c>
      <c r="D428" s="23" t="str">
        <f>HYPERLINK("https://sites.wustl.edu/meteoritesite/items/lm_nwa_11524/",W428)</f>
        <v>Northwest Africa 11524</v>
      </c>
      <c r="E428" s="376"/>
      <c r="F428" s="377"/>
      <c r="G428" s="377"/>
      <c r="H428" s="378"/>
      <c r="I428" s="284"/>
      <c r="J428" s="331"/>
      <c r="K428" s="331"/>
      <c r="L428" s="332"/>
      <c r="M428" s="402">
        <v>820</v>
      </c>
      <c r="N428" s="403"/>
      <c r="O428" s="381" t="s">
        <v>902</v>
      </c>
      <c r="P428" s="382"/>
      <c r="Q428" s="383"/>
      <c r="R428" s="376" t="s">
        <v>562</v>
      </c>
      <c r="S428" s="378"/>
      <c r="T428" s="330">
        <v>0</v>
      </c>
      <c r="U428" s="35">
        <v>1</v>
      </c>
      <c r="W428" s="111" t="s">
        <v>574</v>
      </c>
      <c r="X428" s="61"/>
      <c r="Y428" s="243">
        <v>820</v>
      </c>
      <c r="Z428" s="243">
        <f t="shared" si="50"/>
        <v>820</v>
      </c>
      <c r="AB428" s="196"/>
      <c r="AC428" s="199"/>
    </row>
    <row r="429" spans="1:29" ht="20.100000000000001" customHeight="1" x14ac:dyDescent="0.25">
      <c r="A429" s="36"/>
      <c r="B429" s="143">
        <f t="shared" si="49"/>
        <v>389</v>
      </c>
      <c r="C429" s="88">
        <v>324</v>
      </c>
      <c r="D429" s="110" t="str">
        <f>HYPERLINK("https://sites.wustl.edu/meteoritesite/items/lm_nwa_08046_clan/",W429)</f>
        <v>Northwest Africa 11532</v>
      </c>
      <c r="E429" s="376" t="s">
        <v>571</v>
      </c>
      <c r="F429" s="377"/>
      <c r="G429" s="377"/>
      <c r="H429" s="378"/>
      <c r="I429" s="284"/>
      <c r="J429" s="331"/>
      <c r="K429" s="331"/>
      <c r="L429" s="332"/>
      <c r="M429" s="402" t="s">
        <v>1471</v>
      </c>
      <c r="N429" s="403"/>
      <c r="O429" s="381" t="s">
        <v>892</v>
      </c>
      <c r="P429" s="382"/>
      <c r="Q429" s="383"/>
      <c r="R429" s="376" t="s">
        <v>6</v>
      </c>
      <c r="S429" s="378"/>
      <c r="T429" s="330">
        <v>0</v>
      </c>
      <c r="U429" s="35">
        <v>1</v>
      </c>
      <c r="W429" s="111" t="s">
        <v>575</v>
      </c>
      <c r="X429" s="61"/>
      <c r="Y429" s="243">
        <v>70</v>
      </c>
      <c r="Z429" s="243">
        <f t="shared" si="50"/>
        <v>70</v>
      </c>
      <c r="AB429" s="196"/>
      <c r="AC429" s="199"/>
    </row>
    <row r="430" spans="1:29" ht="20.100000000000001" customHeight="1" x14ac:dyDescent="0.25">
      <c r="A430" s="36"/>
      <c r="B430" s="143">
        <f t="shared" si="49"/>
        <v>390</v>
      </c>
      <c r="C430" s="88">
        <v>325</v>
      </c>
      <c r="D430" s="64" t="str">
        <f>HYPERLINK("https://sites.wustl.edu/meteoritesite/items/lm_nwa_07834_clan/",W430)</f>
        <v>Northwest Africa 11563</v>
      </c>
      <c r="E430" s="376" t="s">
        <v>140</v>
      </c>
      <c r="F430" s="377"/>
      <c r="G430" s="377"/>
      <c r="H430" s="378"/>
      <c r="I430" s="284"/>
      <c r="J430" s="331"/>
      <c r="K430" s="331"/>
      <c r="L430" s="332"/>
      <c r="M430" s="463">
        <v>54.5</v>
      </c>
      <c r="N430" s="464"/>
      <c r="O430" s="381" t="s">
        <v>893</v>
      </c>
      <c r="P430" s="382"/>
      <c r="Q430" s="383"/>
      <c r="R430" s="376" t="s">
        <v>1573</v>
      </c>
      <c r="S430" s="378"/>
      <c r="T430" s="330">
        <v>1</v>
      </c>
      <c r="U430" s="35">
        <v>1</v>
      </c>
      <c r="W430" s="111" t="s">
        <v>576</v>
      </c>
      <c r="X430" s="61"/>
      <c r="Y430" s="243">
        <v>54.5</v>
      </c>
      <c r="Z430" s="243">
        <f t="shared" si="50"/>
        <v>54.5</v>
      </c>
      <c r="AB430" s="196"/>
      <c r="AC430" s="199"/>
    </row>
    <row r="431" spans="1:29" ht="20.100000000000001" customHeight="1" x14ac:dyDescent="0.25">
      <c r="A431" s="36"/>
      <c r="B431" s="143">
        <f t="shared" si="49"/>
        <v>391</v>
      </c>
      <c r="C431" s="88">
        <v>328</v>
      </c>
      <c r="D431" s="64" t="str">
        <f>HYPERLINK("https://sites.wustl.edu/meteoritesite/items/lm_nwa_00773_clan/",W431)</f>
        <v>Northwest Africa 11616</v>
      </c>
      <c r="E431" s="376" t="s">
        <v>582</v>
      </c>
      <c r="F431" s="377"/>
      <c r="G431" s="377"/>
      <c r="H431" s="378"/>
      <c r="I431" s="284"/>
      <c r="J431" s="331"/>
      <c r="K431" s="331"/>
      <c r="L431" s="332"/>
      <c r="M431" s="463">
        <v>2550.8000000000002</v>
      </c>
      <c r="N431" s="464"/>
      <c r="O431" s="381" t="s">
        <v>899</v>
      </c>
      <c r="P431" s="382"/>
      <c r="Q431" s="383"/>
      <c r="R431" s="376" t="s">
        <v>583</v>
      </c>
      <c r="S431" s="378"/>
      <c r="T431" s="330">
        <v>1</v>
      </c>
      <c r="U431" s="35">
        <v>1</v>
      </c>
      <c r="W431" s="111" t="s">
        <v>581</v>
      </c>
      <c r="X431" s="61"/>
      <c r="Y431" s="243">
        <v>2550.8000000000002</v>
      </c>
      <c r="Z431" s="243">
        <f t="shared" si="50"/>
        <v>2550.8000000000002</v>
      </c>
      <c r="AB431" s="196"/>
      <c r="AC431" s="199"/>
    </row>
    <row r="432" spans="1:29" ht="20.100000000000001" customHeight="1" x14ac:dyDescent="0.25">
      <c r="A432" s="36"/>
      <c r="B432" s="143">
        <f t="shared" si="49"/>
        <v>392</v>
      </c>
      <c r="C432" s="88">
        <v>331</v>
      </c>
      <c r="D432" s="110" t="str">
        <f>HYPERLINK("https://sites.wustl.edu/meteoritesite/items/lm_nwa_08046_clan/",W432)</f>
        <v>Northwest Africa 11695</v>
      </c>
      <c r="E432" s="376" t="s">
        <v>571</v>
      </c>
      <c r="F432" s="377"/>
      <c r="G432" s="377"/>
      <c r="H432" s="378"/>
      <c r="I432" s="284"/>
      <c r="J432" s="331"/>
      <c r="K432" s="331"/>
      <c r="L432" s="332"/>
      <c r="M432" s="402" t="s">
        <v>591</v>
      </c>
      <c r="N432" s="403"/>
      <c r="O432" s="381" t="s">
        <v>863</v>
      </c>
      <c r="P432" s="382"/>
      <c r="Q432" s="383"/>
      <c r="R432" s="376" t="s">
        <v>6</v>
      </c>
      <c r="S432" s="378"/>
      <c r="T432" s="330">
        <v>0</v>
      </c>
      <c r="U432" s="35">
        <v>1</v>
      </c>
      <c r="W432" s="111" t="s">
        <v>589</v>
      </c>
      <c r="X432" s="61"/>
      <c r="Y432" s="243">
        <v>350</v>
      </c>
      <c r="Z432" s="243">
        <f t="shared" si="50"/>
        <v>350</v>
      </c>
      <c r="AB432" s="196"/>
      <c r="AC432" s="199"/>
    </row>
    <row r="433" spans="1:29" ht="36" customHeight="1" x14ac:dyDescent="0.25">
      <c r="A433" s="36"/>
      <c r="B433" s="125" t="s">
        <v>402</v>
      </c>
      <c r="C433" s="30" t="s">
        <v>1034</v>
      </c>
      <c r="D433" s="33" t="s">
        <v>915</v>
      </c>
      <c r="E433" s="420" t="s">
        <v>916</v>
      </c>
      <c r="F433" s="421"/>
      <c r="G433" s="421"/>
      <c r="H433" s="422"/>
      <c r="I433" s="423" t="s">
        <v>917</v>
      </c>
      <c r="J433" s="424"/>
      <c r="K433" s="424"/>
      <c r="L433" s="425"/>
      <c r="M433" s="430" t="s">
        <v>918</v>
      </c>
      <c r="N433" s="431"/>
      <c r="O433" s="426" t="s">
        <v>919</v>
      </c>
      <c r="P433" s="427"/>
      <c r="Q433" s="428"/>
      <c r="R433" s="423" t="s">
        <v>920</v>
      </c>
      <c r="S433" s="425"/>
      <c r="T433" s="5" t="s">
        <v>5</v>
      </c>
      <c r="Y433" s="243"/>
      <c r="AB433" s="196"/>
      <c r="AC433" s="199"/>
    </row>
    <row r="434" spans="1:29" ht="20.100000000000001" customHeight="1" x14ac:dyDescent="0.25">
      <c r="A434" s="36"/>
      <c r="B434" s="143">
        <f>B432+1</f>
        <v>393</v>
      </c>
      <c r="C434" s="88">
        <v>332</v>
      </c>
      <c r="D434" s="64" t="str">
        <f>HYPERLINK("https://sites.wustl.edu/meteoritesite/items/lm_nwa_00773_clan/",W434)</f>
        <v>Northwest Africa 11703</v>
      </c>
      <c r="E434" s="376" t="s">
        <v>582</v>
      </c>
      <c r="F434" s="377"/>
      <c r="G434" s="377"/>
      <c r="H434" s="378"/>
      <c r="I434" s="284"/>
      <c r="J434" s="331"/>
      <c r="K434" s="331"/>
      <c r="L434" s="332"/>
      <c r="M434" s="463">
        <v>5309.1</v>
      </c>
      <c r="N434" s="464"/>
      <c r="O434" s="381" t="s">
        <v>881</v>
      </c>
      <c r="P434" s="382"/>
      <c r="Q434" s="383"/>
      <c r="R434" s="376" t="s">
        <v>396</v>
      </c>
      <c r="S434" s="378"/>
      <c r="T434" s="330">
        <v>1</v>
      </c>
      <c r="U434" s="35">
        <v>1</v>
      </c>
      <c r="W434" s="111" t="s">
        <v>590</v>
      </c>
      <c r="X434" s="61"/>
      <c r="Y434" s="243">
        <v>5309.1</v>
      </c>
      <c r="Z434" s="243">
        <f t="shared" si="50"/>
        <v>5309.1</v>
      </c>
      <c r="AB434" s="196"/>
      <c r="AC434" s="199"/>
    </row>
    <row r="435" spans="1:29" ht="20.100000000000001" customHeight="1" x14ac:dyDescent="0.25">
      <c r="A435" s="36"/>
      <c r="B435" s="143">
        <f t="shared" si="49"/>
        <v>394</v>
      </c>
      <c r="C435" s="88">
        <v>334</v>
      </c>
      <c r="D435" s="64" t="str">
        <f>HYPERLINK("https://sites.wustl.edu/meteoritesite/items/lm_nwa_00773_clan/",W435)</f>
        <v>Northwest Africa 11767</v>
      </c>
      <c r="E435" s="376" t="s">
        <v>582</v>
      </c>
      <c r="F435" s="377"/>
      <c r="G435" s="377"/>
      <c r="H435" s="378"/>
      <c r="I435" s="284"/>
      <c r="J435" s="331"/>
      <c r="K435" s="331"/>
      <c r="L435" s="332"/>
      <c r="M435" s="402" t="s">
        <v>595</v>
      </c>
      <c r="N435" s="403"/>
      <c r="O435" s="381" t="s">
        <v>903</v>
      </c>
      <c r="P435" s="382"/>
      <c r="Q435" s="383"/>
      <c r="R435" s="376" t="s">
        <v>396</v>
      </c>
      <c r="S435" s="378"/>
      <c r="T435" s="330">
        <v>0</v>
      </c>
      <c r="U435" s="35">
        <v>1</v>
      </c>
      <c r="W435" s="111" t="s">
        <v>594</v>
      </c>
      <c r="X435" s="61"/>
      <c r="Y435" s="243">
        <v>15</v>
      </c>
      <c r="Z435" s="243">
        <f t="shared" si="50"/>
        <v>15</v>
      </c>
      <c r="AB435" s="196"/>
      <c r="AC435" s="199"/>
    </row>
    <row r="436" spans="1:29" ht="20.100000000000001" customHeight="1" x14ac:dyDescent="0.25">
      <c r="A436" s="36"/>
      <c r="B436" s="143">
        <f t="shared" si="49"/>
        <v>395</v>
      </c>
      <c r="C436" s="88">
        <v>335</v>
      </c>
      <c r="D436" s="64" t="str">
        <f>HYPERLINK("https://sites.wustl.edu/meteoritesite/items/lm_nwa_11783/",W436)</f>
        <v>Northwest Africa 11783</v>
      </c>
      <c r="E436" s="376" t="s">
        <v>603</v>
      </c>
      <c r="F436" s="377"/>
      <c r="G436" s="377"/>
      <c r="H436" s="378"/>
      <c r="I436" s="284"/>
      <c r="J436" s="331"/>
      <c r="K436" s="331"/>
      <c r="L436" s="332"/>
      <c r="M436" s="402" t="s">
        <v>1472</v>
      </c>
      <c r="N436" s="403"/>
      <c r="O436" s="381" t="s">
        <v>904</v>
      </c>
      <c r="P436" s="382"/>
      <c r="Q436" s="383"/>
      <c r="R436" s="376" t="s">
        <v>6</v>
      </c>
      <c r="S436" s="378"/>
      <c r="T436" s="330">
        <v>0</v>
      </c>
      <c r="U436" s="35">
        <v>1</v>
      </c>
      <c r="W436" s="111" t="s">
        <v>598</v>
      </c>
      <c r="X436" s="61"/>
      <c r="Y436" s="243">
        <v>65</v>
      </c>
      <c r="Z436" s="243">
        <v>65</v>
      </c>
      <c r="AB436" s="196"/>
      <c r="AC436" s="199"/>
    </row>
    <row r="437" spans="1:29" ht="20.100000000000001" customHeight="1" x14ac:dyDescent="0.25">
      <c r="A437" s="36"/>
      <c r="B437" s="143">
        <f t="shared" si="49"/>
        <v>396</v>
      </c>
      <c r="C437" s="88">
        <v>336</v>
      </c>
      <c r="D437" s="64" t="str">
        <f>HYPERLINK("https://sites.wustl.edu/meteoritesite/items/lm_nwa_08046_clan/",W437)</f>
        <v>Northwest Africa 11787</v>
      </c>
      <c r="E437" s="376" t="s">
        <v>571</v>
      </c>
      <c r="F437" s="377"/>
      <c r="G437" s="377"/>
      <c r="H437" s="378"/>
      <c r="I437" s="284"/>
      <c r="J437" s="331"/>
      <c r="K437" s="331"/>
      <c r="L437" s="332"/>
      <c r="M437" s="402" t="s">
        <v>604</v>
      </c>
      <c r="N437" s="403"/>
      <c r="O437" s="381" t="s">
        <v>892</v>
      </c>
      <c r="P437" s="382"/>
      <c r="Q437" s="383"/>
      <c r="R437" s="376" t="s">
        <v>6</v>
      </c>
      <c r="S437" s="378"/>
      <c r="T437" s="330">
        <v>0</v>
      </c>
      <c r="U437" s="35">
        <v>1</v>
      </c>
      <c r="W437" s="111" t="s">
        <v>599</v>
      </c>
      <c r="X437" s="61"/>
      <c r="Y437" s="243">
        <v>23500</v>
      </c>
      <c r="Z437" s="243">
        <f t="shared" si="50"/>
        <v>23500</v>
      </c>
      <c r="AB437" s="196"/>
      <c r="AC437" s="199"/>
    </row>
    <row r="438" spans="1:29" ht="20.100000000000001" customHeight="1" x14ac:dyDescent="0.25">
      <c r="A438" s="36"/>
      <c r="B438" s="143">
        <f t="shared" si="49"/>
        <v>397</v>
      </c>
      <c r="C438" s="88">
        <v>337</v>
      </c>
      <c r="D438" s="110" t="str">
        <f>HYPERLINK("https://sites.wustl.edu/meteoritesite/items/lm_nwa_08673_clan/",W438)</f>
        <v>Northwest Africa 11788</v>
      </c>
      <c r="E438" s="376" t="s">
        <v>971</v>
      </c>
      <c r="F438" s="377"/>
      <c r="G438" s="377"/>
      <c r="H438" s="378"/>
      <c r="I438" s="284"/>
      <c r="J438" s="331"/>
      <c r="K438" s="331"/>
      <c r="L438" s="332"/>
      <c r="M438" s="402" t="s">
        <v>1086</v>
      </c>
      <c r="N438" s="403"/>
      <c r="O438" s="381" t="s">
        <v>892</v>
      </c>
      <c r="P438" s="382"/>
      <c r="Q438" s="383"/>
      <c r="R438" s="376" t="s">
        <v>1573</v>
      </c>
      <c r="S438" s="378"/>
      <c r="T438" s="330">
        <v>0</v>
      </c>
      <c r="U438" s="35">
        <v>1</v>
      </c>
      <c r="W438" s="111" t="s">
        <v>600</v>
      </c>
      <c r="X438" s="61"/>
      <c r="Y438" s="243">
        <v>10441</v>
      </c>
      <c r="Z438" s="243">
        <f t="shared" si="50"/>
        <v>10441</v>
      </c>
      <c r="AB438" s="196"/>
      <c r="AC438" s="199"/>
    </row>
    <row r="439" spans="1:29" ht="20.100000000000001" customHeight="1" x14ac:dyDescent="0.25">
      <c r="A439" s="36"/>
      <c r="B439" s="143">
        <f t="shared" si="49"/>
        <v>398</v>
      </c>
      <c r="C439" s="88">
        <v>338</v>
      </c>
      <c r="D439" s="110" t="str">
        <f>HYPERLINK("https://sites.wustl.edu/meteoritesite/items/lm_nwa_08046_clan/",W439)</f>
        <v>Northwest Africa 11789</v>
      </c>
      <c r="E439" s="376" t="s">
        <v>571</v>
      </c>
      <c r="F439" s="377"/>
      <c r="G439" s="377"/>
      <c r="H439" s="378"/>
      <c r="I439" s="284"/>
      <c r="J439" s="331"/>
      <c r="K439" s="331"/>
      <c r="L439" s="332"/>
      <c r="M439" s="402" t="s">
        <v>605</v>
      </c>
      <c r="N439" s="403"/>
      <c r="O439" s="381" t="s">
        <v>892</v>
      </c>
      <c r="P439" s="382"/>
      <c r="Q439" s="383"/>
      <c r="R439" s="376" t="s">
        <v>6</v>
      </c>
      <c r="S439" s="378"/>
      <c r="T439" s="330">
        <v>0</v>
      </c>
      <c r="U439" s="35">
        <v>1</v>
      </c>
      <c r="W439" s="111" t="s">
        <v>601</v>
      </c>
      <c r="X439" s="61"/>
      <c r="Y439" s="243">
        <v>5492</v>
      </c>
      <c r="Z439" s="243">
        <f t="shared" si="50"/>
        <v>5492</v>
      </c>
      <c r="AB439" s="196"/>
      <c r="AC439" s="199"/>
    </row>
    <row r="440" spans="1:29" ht="20.100000000000001" customHeight="1" x14ac:dyDescent="0.25">
      <c r="A440" s="36"/>
      <c r="B440" s="143">
        <f t="shared" si="49"/>
        <v>399</v>
      </c>
      <c r="C440" s="88">
        <v>340</v>
      </c>
      <c r="D440" s="110" t="str">
        <f>HYPERLINK("https://sites.wustl.edu/meteoritesite/items/lm_nwa_11801/",W440)</f>
        <v>Northwest Africa 11801</v>
      </c>
      <c r="E440" s="376" t="s">
        <v>571</v>
      </c>
      <c r="F440" s="377"/>
      <c r="G440" s="377"/>
      <c r="H440" s="378"/>
      <c r="I440" s="284"/>
      <c r="J440" s="331"/>
      <c r="K440" s="331"/>
      <c r="L440" s="332"/>
      <c r="M440" s="432">
        <v>67.05</v>
      </c>
      <c r="N440" s="433"/>
      <c r="O440" s="381" t="s">
        <v>905</v>
      </c>
      <c r="P440" s="382"/>
      <c r="Q440" s="383"/>
      <c r="R440" s="376" t="s">
        <v>1259</v>
      </c>
      <c r="S440" s="378"/>
      <c r="T440" s="330">
        <v>0</v>
      </c>
      <c r="U440" s="35">
        <v>1</v>
      </c>
      <c r="W440" s="111" t="s">
        <v>606</v>
      </c>
      <c r="X440" s="61"/>
      <c r="Y440" s="244">
        <v>67.05</v>
      </c>
      <c r="Z440" s="243">
        <v>67.05</v>
      </c>
      <c r="AB440" s="196"/>
      <c r="AC440" s="199"/>
    </row>
    <row r="441" spans="1:29" ht="20.100000000000001" customHeight="1" x14ac:dyDescent="0.25">
      <c r="A441" s="36"/>
      <c r="B441" s="143">
        <f t="shared" si="49"/>
        <v>400</v>
      </c>
      <c r="C441" s="88">
        <v>339</v>
      </c>
      <c r="D441" s="110" t="str">
        <f>HYPERLINK("https://sites.wustl.edu/meteoritesite/items/lm_nwa_11223/",W441)</f>
        <v>Northwest Africa 11809</v>
      </c>
      <c r="E441" s="376">
        <v>11223</v>
      </c>
      <c r="F441" s="377"/>
      <c r="G441" s="377"/>
      <c r="H441" s="378"/>
      <c r="I441" s="284"/>
      <c r="J441" s="331"/>
      <c r="K441" s="331"/>
      <c r="L441" s="332"/>
      <c r="M441" s="402">
        <v>67</v>
      </c>
      <c r="N441" s="403"/>
      <c r="O441" s="381" t="s">
        <v>906</v>
      </c>
      <c r="P441" s="382"/>
      <c r="Q441" s="383"/>
      <c r="R441" s="376" t="s">
        <v>6</v>
      </c>
      <c r="S441" s="378"/>
      <c r="T441" s="330">
        <v>1</v>
      </c>
      <c r="U441" s="35">
        <v>1</v>
      </c>
      <c r="W441" s="111" t="s">
        <v>602</v>
      </c>
      <c r="X441" s="61"/>
      <c r="Y441" s="243">
        <v>67</v>
      </c>
      <c r="Z441" s="243">
        <f t="shared" si="50"/>
        <v>67</v>
      </c>
      <c r="AB441" s="196"/>
      <c r="AC441" s="199"/>
    </row>
    <row r="442" spans="1:29" ht="19.5" customHeight="1" x14ac:dyDescent="0.25">
      <c r="A442" s="36"/>
      <c r="B442" s="143">
        <f t="shared" si="49"/>
        <v>401</v>
      </c>
      <c r="C442" s="88">
        <v>341</v>
      </c>
      <c r="D442" s="110" t="str">
        <f>HYPERLINK("https://sites.wustl.edu/meteoritesite/items/lm_nwa_11828/",W442)</f>
        <v>Northwest Africa 11828</v>
      </c>
      <c r="E442" s="376" t="s">
        <v>571</v>
      </c>
      <c r="F442" s="377"/>
      <c r="G442" s="377"/>
      <c r="H442" s="378"/>
      <c r="I442" s="284"/>
      <c r="J442" s="331"/>
      <c r="K442" s="331"/>
      <c r="L442" s="332"/>
      <c r="M442" s="402" t="s">
        <v>607</v>
      </c>
      <c r="N442" s="403"/>
      <c r="O442" s="381" t="s">
        <v>892</v>
      </c>
      <c r="P442" s="382"/>
      <c r="Q442" s="383"/>
      <c r="R442" s="376" t="s">
        <v>6</v>
      </c>
      <c r="S442" s="378"/>
      <c r="T442" s="330">
        <v>0</v>
      </c>
      <c r="U442" s="35">
        <v>1</v>
      </c>
      <c r="W442" s="111" t="s">
        <v>608</v>
      </c>
      <c r="X442" s="61"/>
      <c r="Y442" s="243">
        <v>5340</v>
      </c>
      <c r="Z442" s="243">
        <f t="shared" si="50"/>
        <v>5340</v>
      </c>
      <c r="AB442" s="196"/>
      <c r="AC442" s="199"/>
    </row>
    <row r="443" spans="1:29" ht="19.5" customHeight="1" x14ac:dyDescent="0.25">
      <c r="A443" s="36"/>
      <c r="B443" s="143">
        <f t="shared" si="49"/>
        <v>402</v>
      </c>
      <c r="C443" s="88">
        <v>342</v>
      </c>
      <c r="D443" s="224" t="str">
        <f>HYPERLINK("https://sites.wustl.edu/meteoritesite/items/lm_nwa_11851/",W443)</f>
        <v>Northwest Africa 11851</v>
      </c>
      <c r="E443" s="376"/>
      <c r="F443" s="377"/>
      <c r="G443" s="377"/>
      <c r="H443" s="378"/>
      <c r="I443" s="284"/>
      <c r="J443" s="331"/>
      <c r="K443" s="331"/>
      <c r="L443" s="332"/>
      <c r="M443" s="402">
        <v>227</v>
      </c>
      <c r="N443" s="403"/>
      <c r="O443" s="381" t="s">
        <v>943</v>
      </c>
      <c r="P443" s="382"/>
      <c r="Q443" s="383"/>
      <c r="R443" s="376" t="s">
        <v>6</v>
      </c>
      <c r="S443" s="378"/>
      <c r="T443" s="330">
        <v>1</v>
      </c>
      <c r="U443" s="35">
        <v>1</v>
      </c>
      <c r="W443" s="111" t="s">
        <v>609</v>
      </c>
      <c r="X443" s="61"/>
      <c r="Y443" s="243">
        <v>227</v>
      </c>
      <c r="Z443" s="243">
        <f t="shared" si="50"/>
        <v>227</v>
      </c>
      <c r="AB443" s="196"/>
      <c r="AC443" s="199"/>
    </row>
    <row r="444" spans="1:29" ht="19.5" customHeight="1" x14ac:dyDescent="0.25">
      <c r="A444" s="36"/>
      <c r="B444" s="143">
        <f t="shared" si="49"/>
        <v>403</v>
      </c>
      <c r="C444" s="88">
        <v>343</v>
      </c>
      <c r="D444" s="110" t="str">
        <f>HYPERLINK("https://sites.wustl.edu/meteoritesite/items/lm_nwa_11871/",W444)</f>
        <v>Northwest Africa 11871</v>
      </c>
      <c r="E444" s="376" t="s">
        <v>571</v>
      </c>
      <c r="F444" s="377"/>
      <c r="G444" s="377"/>
      <c r="H444" s="378"/>
      <c r="I444" s="284"/>
      <c r="J444" s="331"/>
      <c r="K444" s="331"/>
      <c r="L444" s="332"/>
      <c r="M444" s="463">
        <v>21.9</v>
      </c>
      <c r="N444" s="464"/>
      <c r="O444" s="381" t="s">
        <v>944</v>
      </c>
      <c r="P444" s="382"/>
      <c r="Q444" s="383"/>
      <c r="R444" s="376" t="s">
        <v>6</v>
      </c>
      <c r="S444" s="378"/>
      <c r="T444" s="330">
        <v>0</v>
      </c>
      <c r="U444" s="35">
        <v>1</v>
      </c>
      <c r="W444" s="111" t="s">
        <v>610</v>
      </c>
      <c r="X444" s="61"/>
      <c r="Y444" s="243">
        <v>21.9</v>
      </c>
      <c r="Z444" s="243">
        <f t="shared" ref="Z444:Z470" si="51">Y444</f>
        <v>21.9</v>
      </c>
      <c r="AB444" s="196"/>
      <c r="AC444" s="199"/>
    </row>
    <row r="445" spans="1:29" ht="19.5" customHeight="1" x14ac:dyDescent="0.25">
      <c r="A445" s="36"/>
      <c r="B445" s="143">
        <f t="shared" si="49"/>
        <v>404</v>
      </c>
      <c r="C445" s="88">
        <v>344</v>
      </c>
      <c r="D445" s="110" t="str">
        <f>HYPERLINK("https://sites.wustl.edu/meteoritesite/items/lm_nwa_11886/",W445)</f>
        <v>Northwest Africa 11886</v>
      </c>
      <c r="E445" s="376"/>
      <c r="F445" s="377"/>
      <c r="G445" s="377"/>
      <c r="H445" s="378"/>
      <c r="I445" s="284"/>
      <c r="J445" s="331"/>
      <c r="K445" s="331"/>
      <c r="L445" s="332"/>
      <c r="M445" s="402">
        <v>36</v>
      </c>
      <c r="N445" s="403"/>
      <c r="O445" s="381" t="s">
        <v>943</v>
      </c>
      <c r="P445" s="382"/>
      <c r="Q445" s="383"/>
      <c r="R445" s="376" t="s">
        <v>6</v>
      </c>
      <c r="S445" s="378"/>
      <c r="T445" s="330">
        <v>1</v>
      </c>
      <c r="U445" s="35">
        <v>1</v>
      </c>
      <c r="W445" s="111" t="s">
        <v>611</v>
      </c>
      <c r="X445" s="61"/>
      <c r="Y445" s="243">
        <v>36</v>
      </c>
      <c r="Z445" s="243">
        <f t="shared" si="51"/>
        <v>36</v>
      </c>
      <c r="AB445" s="196"/>
      <c r="AC445" s="199"/>
    </row>
    <row r="446" spans="1:29" ht="19.5" customHeight="1" x14ac:dyDescent="0.25">
      <c r="A446" s="36"/>
      <c r="B446" s="143">
        <f t="shared" si="49"/>
        <v>405</v>
      </c>
      <c r="C446" s="88">
        <v>345</v>
      </c>
      <c r="D446" s="110" t="str">
        <f>HYPERLINK("https://sites.wustl.edu/meteoritesite/items/lm_nwa_08046_clan/",W446)</f>
        <v>Northwest Africa 11898</v>
      </c>
      <c r="E446" s="376" t="s">
        <v>571</v>
      </c>
      <c r="F446" s="377"/>
      <c r="G446" s="377"/>
      <c r="H446" s="378"/>
      <c r="I446" s="284"/>
      <c r="J446" s="331"/>
      <c r="K446" s="331"/>
      <c r="L446" s="332"/>
      <c r="M446" s="402" t="s">
        <v>1473</v>
      </c>
      <c r="N446" s="403"/>
      <c r="O446" s="381" t="s">
        <v>943</v>
      </c>
      <c r="P446" s="382"/>
      <c r="Q446" s="383"/>
      <c r="R446" s="376" t="s">
        <v>6</v>
      </c>
      <c r="S446" s="378"/>
      <c r="T446" s="330">
        <v>0</v>
      </c>
      <c r="U446" s="35">
        <v>1</v>
      </c>
      <c r="W446" s="111" t="s">
        <v>617</v>
      </c>
      <c r="X446" s="61"/>
      <c r="Y446" s="261">
        <v>767.8</v>
      </c>
      <c r="Z446" s="243">
        <f t="shared" si="51"/>
        <v>767.8</v>
      </c>
      <c r="AB446" s="196"/>
      <c r="AC446" s="199"/>
    </row>
    <row r="447" spans="1:29" ht="19.5" customHeight="1" x14ac:dyDescent="0.25">
      <c r="A447" s="36"/>
      <c r="B447" s="143">
        <f t="shared" si="49"/>
        <v>406</v>
      </c>
      <c r="C447" s="88">
        <v>346</v>
      </c>
      <c r="D447" s="110" t="str">
        <f>HYPERLINK("https://sites.wustl.edu/meteoritesite/items/lm_nwa_04472-4485/",W447)</f>
        <v>Northwest Africa 11962</v>
      </c>
      <c r="E447" s="376" t="s">
        <v>1099</v>
      </c>
      <c r="F447" s="377"/>
      <c r="G447" s="377"/>
      <c r="H447" s="378"/>
      <c r="I447" s="284"/>
      <c r="J447" s="331"/>
      <c r="K447" s="331"/>
      <c r="L447" s="332"/>
      <c r="M447" s="463">
        <v>85.8</v>
      </c>
      <c r="N447" s="464"/>
      <c r="O447" s="381" t="s">
        <v>869</v>
      </c>
      <c r="P447" s="382"/>
      <c r="Q447" s="383"/>
      <c r="R447" s="376" t="s">
        <v>6</v>
      </c>
      <c r="S447" s="378"/>
      <c r="T447" s="330">
        <v>0</v>
      </c>
      <c r="U447" s="35">
        <v>1</v>
      </c>
      <c r="W447" s="111" t="s">
        <v>620</v>
      </c>
      <c r="X447" s="61"/>
      <c r="Y447" s="261">
        <v>85.8</v>
      </c>
      <c r="Z447" s="243">
        <f t="shared" si="51"/>
        <v>85.8</v>
      </c>
      <c r="AB447" s="196"/>
      <c r="AC447" s="199"/>
    </row>
    <row r="448" spans="1:29" ht="19.5" customHeight="1" x14ac:dyDescent="0.25">
      <c r="A448" s="36"/>
      <c r="B448" s="143">
        <f t="shared" si="49"/>
        <v>407</v>
      </c>
      <c r="C448" s="88">
        <v>347</v>
      </c>
      <c r="D448" s="110" t="str">
        <f>HYPERLINK("https://sites.wustl.edu/meteoritesite/items/lm_nwa_08046_clan/",W448)</f>
        <v>Northwest Africa 11966</v>
      </c>
      <c r="E448" s="376" t="s">
        <v>571</v>
      </c>
      <c r="F448" s="377"/>
      <c r="G448" s="377"/>
      <c r="H448" s="378"/>
      <c r="I448" s="284"/>
      <c r="J448" s="331"/>
      <c r="K448" s="331"/>
      <c r="L448" s="332"/>
      <c r="M448" s="432">
        <v>157.13</v>
      </c>
      <c r="N448" s="433"/>
      <c r="O448" s="381" t="s">
        <v>945</v>
      </c>
      <c r="P448" s="382"/>
      <c r="Q448" s="383"/>
      <c r="R448" s="376" t="s">
        <v>6</v>
      </c>
      <c r="S448" s="378"/>
      <c r="T448" s="330">
        <v>0</v>
      </c>
      <c r="V448" s="35">
        <v>1</v>
      </c>
      <c r="W448" s="111" t="s">
        <v>621</v>
      </c>
      <c r="X448" s="61"/>
      <c r="Y448" s="261">
        <v>157.13</v>
      </c>
      <c r="Z448" s="243">
        <f t="shared" si="51"/>
        <v>157.13</v>
      </c>
      <c r="AB448" s="196"/>
      <c r="AC448" s="199"/>
    </row>
    <row r="449" spans="1:29" ht="19.5" customHeight="1" x14ac:dyDescent="0.25">
      <c r="A449" s="36"/>
      <c r="B449" s="143">
        <f t="shared" si="49"/>
        <v>408</v>
      </c>
      <c r="C449" s="88">
        <v>348</v>
      </c>
      <c r="D449" s="110" t="str">
        <f>HYPERLINK("https://sites.wustl.edu/meteoritesite/items/lm_nwa_08046_clan/",W449)</f>
        <v>Northwest Africa 11968</v>
      </c>
      <c r="E449" s="376" t="s">
        <v>571</v>
      </c>
      <c r="F449" s="377"/>
      <c r="G449" s="377"/>
      <c r="H449" s="378"/>
      <c r="I449" s="284"/>
      <c r="J449" s="331"/>
      <c r="K449" s="331"/>
      <c r="L449" s="332"/>
      <c r="M449" s="463">
        <v>427.8</v>
      </c>
      <c r="N449" s="464"/>
      <c r="O449" s="381" t="s">
        <v>883</v>
      </c>
      <c r="P449" s="382"/>
      <c r="Q449" s="383"/>
      <c r="R449" s="376" t="s">
        <v>6</v>
      </c>
      <c r="S449" s="378"/>
      <c r="T449" s="330">
        <v>0</v>
      </c>
      <c r="V449" s="35">
        <v>1</v>
      </c>
      <c r="W449" s="111" t="s">
        <v>622</v>
      </c>
      <c r="X449" s="61"/>
      <c r="Y449" s="261">
        <v>427.8</v>
      </c>
      <c r="Z449" s="243">
        <f t="shared" si="51"/>
        <v>427.8</v>
      </c>
      <c r="AB449" s="196"/>
      <c r="AC449" s="199"/>
    </row>
    <row r="450" spans="1:29" ht="36" customHeight="1" x14ac:dyDescent="0.25">
      <c r="A450" s="36"/>
      <c r="B450" s="125" t="s">
        <v>402</v>
      </c>
      <c r="C450" s="30" t="s">
        <v>1034</v>
      </c>
      <c r="D450" s="33" t="s">
        <v>915</v>
      </c>
      <c r="E450" s="420" t="s">
        <v>916</v>
      </c>
      <c r="F450" s="421"/>
      <c r="G450" s="421"/>
      <c r="H450" s="422"/>
      <c r="I450" s="423" t="s">
        <v>917</v>
      </c>
      <c r="J450" s="424"/>
      <c r="K450" s="424"/>
      <c r="L450" s="425"/>
      <c r="M450" s="430" t="s">
        <v>918</v>
      </c>
      <c r="N450" s="431"/>
      <c r="O450" s="426" t="s">
        <v>919</v>
      </c>
      <c r="P450" s="427"/>
      <c r="Q450" s="428"/>
      <c r="R450" s="423" t="s">
        <v>920</v>
      </c>
      <c r="S450" s="425"/>
      <c r="T450" s="5" t="s">
        <v>5</v>
      </c>
      <c r="Y450" s="243"/>
      <c r="AB450" s="196"/>
      <c r="AC450" s="199"/>
    </row>
    <row r="451" spans="1:29" ht="19.5" customHeight="1" x14ac:dyDescent="0.25">
      <c r="A451" s="36"/>
      <c r="B451" s="143">
        <f>B449+1</f>
        <v>409</v>
      </c>
      <c r="C451" s="88">
        <v>349</v>
      </c>
      <c r="D451" s="110" t="str">
        <f>HYPERLINK("https://sites.wustl.edu/meteoritesite/items/lm_nwa_12008/",W451)</f>
        <v>Northwest Africa 12008</v>
      </c>
      <c r="E451" s="376" t="s">
        <v>603</v>
      </c>
      <c r="F451" s="377"/>
      <c r="G451" s="377"/>
      <c r="H451" s="378"/>
      <c r="I451" s="284"/>
      <c r="J451" s="331"/>
      <c r="K451" s="331"/>
      <c r="L451" s="332"/>
      <c r="M451" s="402">
        <v>577</v>
      </c>
      <c r="N451" s="403"/>
      <c r="O451" s="381" t="s">
        <v>946</v>
      </c>
      <c r="P451" s="382"/>
      <c r="Q451" s="383"/>
      <c r="R451" s="376" t="s">
        <v>623</v>
      </c>
      <c r="S451" s="378"/>
      <c r="T451" s="330">
        <v>0</v>
      </c>
      <c r="V451" s="35">
        <v>1</v>
      </c>
      <c r="W451" s="111" t="s">
        <v>624</v>
      </c>
      <c r="X451" s="61"/>
      <c r="Y451" s="261">
        <v>577</v>
      </c>
      <c r="Z451" s="243">
        <f t="shared" si="51"/>
        <v>577</v>
      </c>
      <c r="AB451" s="196"/>
      <c r="AC451" s="199"/>
    </row>
    <row r="452" spans="1:29" ht="19.5" customHeight="1" x14ac:dyDescent="0.25">
      <c r="A452" s="36"/>
      <c r="B452" s="143">
        <f t="shared" si="49"/>
        <v>410</v>
      </c>
      <c r="C452" s="88">
        <v>355</v>
      </c>
      <c r="D452" s="110" t="str">
        <f>HYPERLINK("https://sites.wustl.edu/meteoritesite/items/lm_nwa_12216/",W452)</f>
        <v>Northwest Africa 12216</v>
      </c>
      <c r="E452" s="376" t="s">
        <v>571</v>
      </c>
      <c r="F452" s="377"/>
      <c r="G452" s="377"/>
      <c r="H452" s="378"/>
      <c r="I452" s="284"/>
      <c r="J452" s="331"/>
      <c r="K452" s="331"/>
      <c r="L452" s="332"/>
      <c r="M452" s="463">
        <v>34.4</v>
      </c>
      <c r="N452" s="464"/>
      <c r="O452" s="381" t="s">
        <v>944</v>
      </c>
      <c r="P452" s="382"/>
      <c r="Q452" s="383"/>
      <c r="R452" s="376" t="s">
        <v>6</v>
      </c>
      <c r="S452" s="378"/>
      <c r="T452" s="330">
        <v>0</v>
      </c>
      <c r="U452" s="35">
        <v>2019</v>
      </c>
      <c r="V452" s="35">
        <v>1</v>
      </c>
      <c r="W452" s="111" t="s">
        <v>635</v>
      </c>
      <c r="X452" s="61"/>
      <c r="Y452" s="261">
        <v>34.4</v>
      </c>
      <c r="Z452" s="243">
        <f t="shared" si="51"/>
        <v>34.4</v>
      </c>
      <c r="AB452" s="196"/>
      <c r="AC452" s="199"/>
    </row>
    <row r="453" spans="1:29" ht="19.5" customHeight="1" x14ac:dyDescent="0.25">
      <c r="A453" s="36"/>
      <c r="B453" s="143">
        <f t="shared" si="49"/>
        <v>411</v>
      </c>
      <c r="C453" s="88">
        <v>350</v>
      </c>
      <c r="D453" s="110" t="str">
        <f>HYPERLINK("https://sites.wustl.edu/meteoritesite/items/lm_nwa_12248/",W453)</f>
        <v>Northwest Africa 12248</v>
      </c>
      <c r="E453" s="376" t="s">
        <v>603</v>
      </c>
      <c r="F453" s="377"/>
      <c r="G453" s="377"/>
      <c r="H453" s="378"/>
      <c r="I453" s="284"/>
      <c r="J453" s="331"/>
      <c r="K453" s="331"/>
      <c r="L453" s="332"/>
      <c r="M453" s="463">
        <v>37.299999999999997</v>
      </c>
      <c r="N453" s="464"/>
      <c r="O453" s="381" t="s">
        <v>944</v>
      </c>
      <c r="P453" s="382"/>
      <c r="Q453" s="383"/>
      <c r="R453" s="376" t="s">
        <v>6</v>
      </c>
      <c r="S453" s="378"/>
      <c r="T453" s="330">
        <v>0</v>
      </c>
      <c r="V453" s="35">
        <v>1</v>
      </c>
      <c r="W453" s="111" t="s">
        <v>625</v>
      </c>
      <c r="X453" s="61"/>
      <c r="Y453" s="261">
        <v>37.299999999999997</v>
      </c>
      <c r="Z453" s="243">
        <f t="shared" si="51"/>
        <v>37.299999999999997</v>
      </c>
      <c r="AB453" s="196"/>
      <c r="AC453" s="199"/>
    </row>
    <row r="454" spans="1:29" ht="19.5" customHeight="1" x14ac:dyDescent="0.25">
      <c r="A454" s="36"/>
      <c r="B454" s="143">
        <f t="shared" si="49"/>
        <v>412</v>
      </c>
      <c r="C454" s="88">
        <v>351</v>
      </c>
      <c r="D454" s="110" t="str">
        <f>HYPERLINK("https://sites.wustl.edu/meteoritesite/items/lm_nwa_12270/",W454)</f>
        <v>Northwest Africa 12270</v>
      </c>
      <c r="E454" s="376" t="s">
        <v>571</v>
      </c>
      <c r="F454" s="377"/>
      <c r="G454" s="377"/>
      <c r="H454" s="378"/>
      <c r="I454" s="284"/>
      <c r="J454" s="331"/>
      <c r="K454" s="331"/>
      <c r="L454" s="332"/>
      <c r="M454" s="402" t="s">
        <v>997</v>
      </c>
      <c r="N454" s="403"/>
      <c r="O454" s="381" t="s">
        <v>907</v>
      </c>
      <c r="P454" s="382"/>
      <c r="Q454" s="383"/>
      <c r="R454" s="376" t="s">
        <v>6</v>
      </c>
      <c r="S454" s="378"/>
      <c r="T454" s="330">
        <v>0</v>
      </c>
      <c r="V454" s="35">
        <v>1</v>
      </c>
      <c r="W454" s="111" t="s">
        <v>626</v>
      </c>
      <c r="X454" s="61"/>
      <c r="Y454" s="261">
        <v>1300</v>
      </c>
      <c r="Z454" s="243">
        <f t="shared" si="51"/>
        <v>1300</v>
      </c>
      <c r="AB454" s="196"/>
      <c r="AC454" s="199"/>
    </row>
    <row r="455" spans="1:29" ht="19.5" customHeight="1" x14ac:dyDescent="0.25">
      <c r="A455" s="36"/>
      <c r="B455" s="143">
        <f t="shared" ref="B455:B525" si="52">B454+1</f>
        <v>413</v>
      </c>
      <c r="C455" s="88">
        <v>353</v>
      </c>
      <c r="D455" s="110" t="str">
        <f>HYPERLINK("https://sites.wustl.edu/meteoritesite/items/lm_nwa_12279/",W455)</f>
        <v>Northwest Africa 12279</v>
      </c>
      <c r="E455" s="376" t="s">
        <v>571</v>
      </c>
      <c r="F455" s="377"/>
      <c r="G455" s="377"/>
      <c r="H455" s="378"/>
      <c r="I455" s="284"/>
      <c r="J455" s="331"/>
      <c r="K455" s="331"/>
      <c r="L455" s="332"/>
      <c r="M455" s="402">
        <v>1830</v>
      </c>
      <c r="N455" s="403"/>
      <c r="O455" s="381" t="s">
        <v>947</v>
      </c>
      <c r="P455" s="382"/>
      <c r="Q455" s="383"/>
      <c r="R455" s="376" t="s">
        <v>6</v>
      </c>
      <c r="S455" s="378"/>
      <c r="T455" s="330">
        <v>0</v>
      </c>
      <c r="V455" s="35">
        <v>1</v>
      </c>
      <c r="W455" s="111" t="s">
        <v>634</v>
      </c>
      <c r="X455" s="61"/>
      <c r="Y455" s="261">
        <v>1830</v>
      </c>
      <c r="Z455" s="243">
        <f t="shared" si="51"/>
        <v>1830</v>
      </c>
      <c r="AB455" s="196"/>
      <c r="AC455" s="199"/>
    </row>
    <row r="456" spans="1:29" ht="19.5" customHeight="1" x14ac:dyDescent="0.25">
      <c r="A456" s="36"/>
      <c r="B456" s="143">
        <f t="shared" si="52"/>
        <v>414</v>
      </c>
      <c r="C456" s="88">
        <v>352</v>
      </c>
      <c r="D456" s="110" t="str">
        <f>HYPERLINK("https://sites.wustl.edu/meteoritesite/items/lm_nwa_12368/",W456)</f>
        <v>Northwest Africa 12368</v>
      </c>
      <c r="E456" s="376" t="s">
        <v>603</v>
      </c>
      <c r="F456" s="377"/>
      <c r="G456" s="377"/>
      <c r="H456" s="378"/>
      <c r="I456" s="284"/>
      <c r="J456" s="331"/>
      <c r="K456" s="331"/>
      <c r="L456" s="332"/>
      <c r="M456" s="402">
        <v>1868</v>
      </c>
      <c r="N456" s="403"/>
      <c r="O456" s="381" t="s">
        <v>862</v>
      </c>
      <c r="P456" s="382"/>
      <c r="Q456" s="383"/>
      <c r="R456" s="376" t="s">
        <v>6</v>
      </c>
      <c r="S456" s="378"/>
      <c r="T456" s="330">
        <v>0</v>
      </c>
      <c r="U456" s="35">
        <v>2019</v>
      </c>
      <c r="V456" s="35">
        <v>1</v>
      </c>
      <c r="W456" s="111" t="s">
        <v>633</v>
      </c>
      <c r="X456" s="61"/>
      <c r="Y456" s="261">
        <v>1868</v>
      </c>
      <c r="Z456" s="243">
        <f t="shared" si="51"/>
        <v>1868</v>
      </c>
      <c r="AB456" s="196"/>
      <c r="AC456" s="199"/>
    </row>
    <row r="457" spans="1:29" ht="19.5" customHeight="1" x14ac:dyDescent="0.25">
      <c r="A457" s="36"/>
      <c r="B457" s="143">
        <f t="shared" si="52"/>
        <v>415</v>
      </c>
      <c r="C457" s="88">
        <v>354</v>
      </c>
      <c r="D457" s="224" t="str">
        <f>HYPERLINK("https://sites.wustl.edu/meteoritesite/items/lm_nwa_12384/",W457)</f>
        <v>Northwest Africa 12384</v>
      </c>
      <c r="E457" s="376" t="s">
        <v>603</v>
      </c>
      <c r="F457" s="377"/>
      <c r="G457" s="377"/>
      <c r="H457" s="378"/>
      <c r="I457" s="284"/>
      <c r="J457" s="331"/>
      <c r="K457" s="331"/>
      <c r="L457" s="332"/>
      <c r="M457" s="402" t="s">
        <v>648</v>
      </c>
      <c r="N457" s="403"/>
      <c r="O457" s="381" t="s">
        <v>803</v>
      </c>
      <c r="P457" s="382"/>
      <c r="Q457" s="383"/>
      <c r="R457" s="376" t="s">
        <v>562</v>
      </c>
      <c r="S457" s="378"/>
      <c r="T457" s="330">
        <v>0</v>
      </c>
      <c r="U457" s="35">
        <v>2019</v>
      </c>
      <c r="V457" s="35">
        <v>1</v>
      </c>
      <c r="W457" s="111" t="s">
        <v>649</v>
      </c>
      <c r="X457" s="61"/>
      <c r="Y457" s="261">
        <v>244</v>
      </c>
      <c r="Z457" s="243">
        <f t="shared" si="51"/>
        <v>244</v>
      </c>
      <c r="AB457" s="196"/>
      <c r="AC457" s="199"/>
    </row>
    <row r="458" spans="1:29" ht="19.5" customHeight="1" x14ac:dyDescent="0.25">
      <c r="A458" s="36"/>
      <c r="B458" s="143">
        <f t="shared" si="52"/>
        <v>416</v>
      </c>
      <c r="C458" s="88">
        <v>357</v>
      </c>
      <c r="D458" s="110" t="str">
        <f>HYPERLINK("https://sites.wustl.edu/meteoritesite/items/lm_nwa_12393/",W458)</f>
        <v>Northwest Africa 12393</v>
      </c>
      <c r="E458" s="376" t="s">
        <v>603</v>
      </c>
      <c r="F458" s="377"/>
      <c r="G458" s="377"/>
      <c r="H458" s="378"/>
      <c r="I458" s="284"/>
      <c r="J458" s="331"/>
      <c r="K458" s="331"/>
      <c r="L458" s="332"/>
      <c r="M458" s="463">
        <v>1267.0999999999999</v>
      </c>
      <c r="N458" s="464"/>
      <c r="O458" s="381" t="s">
        <v>908</v>
      </c>
      <c r="P458" s="382"/>
      <c r="Q458" s="383"/>
      <c r="R458" s="376" t="s">
        <v>640</v>
      </c>
      <c r="S458" s="378"/>
      <c r="T458" s="330">
        <v>0</v>
      </c>
      <c r="U458" s="35">
        <v>2019</v>
      </c>
      <c r="V458" s="35">
        <v>1</v>
      </c>
      <c r="W458" s="111" t="s">
        <v>638</v>
      </c>
      <c r="X458" s="61"/>
      <c r="Y458" s="262">
        <v>1267.0999999999999</v>
      </c>
      <c r="Z458" s="243">
        <f t="shared" si="51"/>
        <v>1267.0999999999999</v>
      </c>
      <c r="AB458" s="196"/>
      <c r="AC458" s="199"/>
    </row>
    <row r="459" spans="1:29" ht="19.5" customHeight="1" x14ac:dyDescent="0.25">
      <c r="A459" s="36"/>
      <c r="B459" s="143">
        <f t="shared" si="52"/>
        <v>417</v>
      </c>
      <c r="C459" s="88">
        <v>358</v>
      </c>
      <c r="D459" s="110" t="str">
        <f>HYPERLINK("https://sites.wustl.edu/meteoritesite/items/lm_nwa_12422/",W459)</f>
        <v>Northwest Africa 12422</v>
      </c>
      <c r="E459" s="376" t="s">
        <v>603</v>
      </c>
      <c r="F459" s="377"/>
      <c r="G459" s="377"/>
      <c r="H459" s="378"/>
      <c r="I459" s="284"/>
      <c r="J459" s="331"/>
      <c r="K459" s="331"/>
      <c r="L459" s="332"/>
      <c r="M459" s="402" t="s">
        <v>641</v>
      </c>
      <c r="N459" s="403"/>
      <c r="O459" s="381" t="s">
        <v>768</v>
      </c>
      <c r="P459" s="382"/>
      <c r="Q459" s="383"/>
      <c r="R459" s="376" t="s">
        <v>6</v>
      </c>
      <c r="S459" s="378"/>
      <c r="T459" s="330">
        <v>0</v>
      </c>
      <c r="U459" s="35">
        <v>2019</v>
      </c>
      <c r="V459" s="35">
        <v>1</v>
      </c>
      <c r="W459" s="111" t="s">
        <v>639</v>
      </c>
      <c r="X459" s="61"/>
      <c r="Y459" s="262">
        <v>42.8</v>
      </c>
      <c r="Z459" s="243">
        <f t="shared" si="51"/>
        <v>42.8</v>
      </c>
      <c r="AB459" s="196"/>
      <c r="AC459" s="199"/>
    </row>
    <row r="460" spans="1:29" ht="19.5" customHeight="1" x14ac:dyDescent="0.25">
      <c r="A460" s="36"/>
      <c r="B460" s="143">
        <f t="shared" si="52"/>
        <v>418</v>
      </c>
      <c r="C460" s="88">
        <v>359</v>
      </c>
      <c r="D460" s="110" t="str">
        <f>HYPERLINK("https://sites.wustl.edu/meteoritesite/items/lm_nwa_12427/",W460)</f>
        <v>Northwest Africa 12427</v>
      </c>
      <c r="E460" s="376" t="s">
        <v>603</v>
      </c>
      <c r="F460" s="377"/>
      <c r="G460" s="377"/>
      <c r="H460" s="378"/>
      <c r="I460" s="284"/>
      <c r="J460" s="331"/>
      <c r="K460" s="331"/>
      <c r="L460" s="332"/>
      <c r="M460" s="402">
        <v>3469</v>
      </c>
      <c r="N460" s="403"/>
      <c r="O460" s="381" t="s">
        <v>948</v>
      </c>
      <c r="P460" s="382"/>
      <c r="Q460" s="383"/>
      <c r="R460" s="376" t="s">
        <v>6</v>
      </c>
      <c r="S460" s="378"/>
      <c r="T460" s="330">
        <v>0</v>
      </c>
      <c r="U460" s="35">
        <v>2019</v>
      </c>
      <c r="V460" s="35">
        <v>1</v>
      </c>
      <c r="W460" s="111" t="s">
        <v>642</v>
      </c>
      <c r="X460" s="61"/>
      <c r="Y460" s="263">
        <v>3469</v>
      </c>
      <c r="Z460" s="243">
        <f t="shared" si="51"/>
        <v>3469</v>
      </c>
      <c r="AB460" s="196"/>
      <c r="AC460" s="199"/>
    </row>
    <row r="461" spans="1:29" ht="19.5" customHeight="1" x14ac:dyDescent="0.25">
      <c r="A461" s="36"/>
      <c r="B461" s="143">
        <f t="shared" si="52"/>
        <v>419</v>
      </c>
      <c r="C461" s="88">
        <v>360</v>
      </c>
      <c r="D461" s="110" t="str">
        <f>HYPERLINK("https://sites.wustl.edu/meteoritesite/items/lm_nwa_12428/",W461)</f>
        <v>Northwest Africa 12428</v>
      </c>
      <c r="E461" s="376" t="s">
        <v>571</v>
      </c>
      <c r="F461" s="377"/>
      <c r="G461" s="377"/>
      <c r="H461" s="378"/>
      <c r="I461" s="284"/>
      <c r="J461" s="331"/>
      <c r="K461" s="331"/>
      <c r="L461" s="332"/>
      <c r="M461" s="402">
        <v>2070</v>
      </c>
      <c r="N461" s="403"/>
      <c r="O461" s="381" t="s">
        <v>864</v>
      </c>
      <c r="P461" s="382"/>
      <c r="Q461" s="383"/>
      <c r="R461" s="376" t="s">
        <v>6</v>
      </c>
      <c r="S461" s="378"/>
      <c r="T461" s="330">
        <v>0</v>
      </c>
      <c r="U461" s="35">
        <v>2019</v>
      </c>
      <c r="V461" s="35">
        <v>1</v>
      </c>
      <c r="W461" s="111" t="s">
        <v>643</v>
      </c>
      <c r="X461" s="61"/>
      <c r="Y461" s="263">
        <v>2070</v>
      </c>
      <c r="Z461" s="243">
        <f t="shared" si="51"/>
        <v>2070</v>
      </c>
      <c r="AB461" s="196"/>
      <c r="AC461" s="199"/>
    </row>
    <row r="462" spans="1:29" ht="19.5" customHeight="1" x14ac:dyDescent="0.25">
      <c r="A462" s="36"/>
      <c r="B462" s="143">
        <f t="shared" si="52"/>
        <v>420</v>
      </c>
      <c r="C462" s="88">
        <v>364</v>
      </c>
      <c r="D462" s="110" t="str">
        <f>HYPERLINK("https://sites.wustl.edu/meteoritesite/items/lm_nwa_12592/",W462)</f>
        <v>Northwest Africa 12592</v>
      </c>
      <c r="E462" s="376" t="s">
        <v>571</v>
      </c>
      <c r="F462" s="377"/>
      <c r="G462" s="377"/>
      <c r="H462" s="378"/>
      <c r="I462" s="284"/>
      <c r="J462" s="331"/>
      <c r="K462" s="331"/>
      <c r="L462" s="332"/>
      <c r="M462" s="402">
        <v>1420</v>
      </c>
      <c r="N462" s="403"/>
      <c r="O462" s="381" t="s">
        <v>892</v>
      </c>
      <c r="P462" s="382"/>
      <c r="Q462" s="383"/>
      <c r="R462" s="376" t="s">
        <v>6</v>
      </c>
      <c r="S462" s="378"/>
      <c r="T462" s="330">
        <v>0</v>
      </c>
      <c r="U462" s="35">
        <v>2019</v>
      </c>
      <c r="V462" s="35">
        <v>1</v>
      </c>
      <c r="W462" s="111" t="s">
        <v>658</v>
      </c>
      <c r="X462" s="61"/>
      <c r="Y462" s="263">
        <v>1420</v>
      </c>
      <c r="Z462" s="243">
        <f t="shared" si="51"/>
        <v>1420</v>
      </c>
      <c r="AB462" s="196"/>
      <c r="AC462" s="199"/>
    </row>
    <row r="463" spans="1:29" ht="19.5" customHeight="1" x14ac:dyDescent="0.25">
      <c r="A463" s="36"/>
      <c r="B463" s="143">
        <f t="shared" si="52"/>
        <v>421</v>
      </c>
      <c r="C463" s="88">
        <v>365</v>
      </c>
      <c r="D463" s="110" t="str">
        <f>HYPERLINK("https://sites.wustl.edu/meteoritesite/items/lm_nwa_12592/",W463)</f>
        <v>Northwest Africa 12593</v>
      </c>
      <c r="E463" s="376" t="s">
        <v>571</v>
      </c>
      <c r="F463" s="377"/>
      <c r="G463" s="377"/>
      <c r="H463" s="378"/>
      <c r="I463" s="284"/>
      <c r="J463" s="331"/>
      <c r="K463" s="331"/>
      <c r="L463" s="332"/>
      <c r="M463" s="463">
        <v>332.8</v>
      </c>
      <c r="N463" s="464"/>
      <c r="O463" s="381" t="s">
        <v>892</v>
      </c>
      <c r="P463" s="382"/>
      <c r="Q463" s="383"/>
      <c r="R463" s="376" t="s">
        <v>6</v>
      </c>
      <c r="S463" s="378"/>
      <c r="T463" s="330">
        <v>0</v>
      </c>
      <c r="U463" s="35">
        <v>2019</v>
      </c>
      <c r="V463" s="35">
        <v>1</v>
      </c>
      <c r="W463" s="111" t="s">
        <v>659</v>
      </c>
      <c r="X463" s="61"/>
      <c r="Y463" s="263">
        <v>332.8</v>
      </c>
      <c r="Z463" s="243">
        <f t="shared" si="51"/>
        <v>332.8</v>
      </c>
      <c r="AB463" s="196"/>
      <c r="AC463" s="199"/>
    </row>
    <row r="464" spans="1:29" ht="19.5" customHeight="1" x14ac:dyDescent="0.25">
      <c r="A464" s="36"/>
      <c r="B464" s="143">
        <f t="shared" si="52"/>
        <v>422</v>
      </c>
      <c r="C464" s="88">
        <v>366</v>
      </c>
      <c r="D464" s="110" t="str">
        <f>HYPERLINK("https://sites.wustl.edu/meteoritesite/items/lm_nwa_12603/",W464)</f>
        <v>Northwest Africa 12603</v>
      </c>
      <c r="E464" s="376" t="s">
        <v>603</v>
      </c>
      <c r="F464" s="377"/>
      <c r="G464" s="377"/>
      <c r="H464" s="378"/>
      <c r="I464" s="284"/>
      <c r="J464" s="331"/>
      <c r="K464" s="331"/>
      <c r="L464" s="332"/>
      <c r="M464" s="402" t="s">
        <v>657</v>
      </c>
      <c r="N464" s="403"/>
      <c r="O464" s="381" t="s">
        <v>909</v>
      </c>
      <c r="P464" s="382"/>
      <c r="Q464" s="383"/>
      <c r="R464" s="376" t="s">
        <v>6</v>
      </c>
      <c r="S464" s="378"/>
      <c r="T464" s="330">
        <v>0</v>
      </c>
      <c r="U464" s="35">
        <v>2019</v>
      </c>
      <c r="V464" s="35">
        <v>1</v>
      </c>
      <c r="W464" s="111" t="s">
        <v>660</v>
      </c>
      <c r="X464" s="61"/>
      <c r="Y464" s="263">
        <v>47</v>
      </c>
      <c r="Z464" s="243">
        <f t="shared" si="51"/>
        <v>47</v>
      </c>
      <c r="AB464" s="196"/>
      <c r="AC464" s="199"/>
    </row>
    <row r="465" spans="1:29" ht="20.100000000000001" customHeight="1" x14ac:dyDescent="0.25">
      <c r="A465" s="36"/>
      <c r="B465" s="143">
        <f t="shared" si="52"/>
        <v>423</v>
      </c>
      <c r="C465" s="68">
        <v>367</v>
      </c>
      <c r="D465" s="224" t="str">
        <f>HYPERLINK("https://sites.wustl.edu/meteoritesite/items/lm_nwa_12604/",W465)</f>
        <v>Northwest Africa 12604</v>
      </c>
      <c r="E465" s="376" t="s">
        <v>603</v>
      </c>
      <c r="F465" s="377"/>
      <c r="G465" s="377"/>
      <c r="H465" s="378"/>
      <c r="I465" s="281"/>
      <c r="J465" s="282"/>
      <c r="K465" s="282"/>
      <c r="L465" s="283"/>
      <c r="M465" s="379">
        <v>631</v>
      </c>
      <c r="N465" s="400"/>
      <c r="O465" s="381" t="s">
        <v>949</v>
      </c>
      <c r="P465" s="382"/>
      <c r="Q465" s="383"/>
      <c r="R465" s="376" t="s">
        <v>6</v>
      </c>
      <c r="S465" s="378"/>
      <c r="T465" s="157">
        <v>1</v>
      </c>
      <c r="U465" s="35">
        <v>2019</v>
      </c>
      <c r="V465" s="35">
        <v>1</v>
      </c>
      <c r="W465" s="111" t="s">
        <v>656</v>
      </c>
      <c r="X465" s="61"/>
      <c r="Y465" s="243">
        <v>631</v>
      </c>
      <c r="Z465" s="243">
        <f t="shared" si="51"/>
        <v>631</v>
      </c>
      <c r="AB465" s="196"/>
      <c r="AC465" s="199"/>
    </row>
    <row r="466" spans="1:29" ht="20.100000000000001" customHeight="1" x14ac:dyDescent="0.25">
      <c r="A466" s="36"/>
      <c r="B466" s="143">
        <f t="shared" si="52"/>
        <v>424</v>
      </c>
      <c r="C466" s="88">
        <v>384</v>
      </c>
      <c r="D466" s="110" t="str">
        <f>HYPERLINK("https://sites.wustl.edu/meteoritesite/items/lm_nwa_08046_clan/",W466)</f>
        <v>Northwest Africa 12630</v>
      </c>
      <c r="E466" s="376" t="s">
        <v>571</v>
      </c>
      <c r="F466" s="377"/>
      <c r="G466" s="377"/>
      <c r="H466" s="378"/>
      <c r="I466" s="284"/>
      <c r="J466" s="331"/>
      <c r="K466" s="331"/>
      <c r="L466" s="332"/>
      <c r="M466" s="402" t="s">
        <v>688</v>
      </c>
      <c r="N466" s="403"/>
      <c r="O466" s="381" t="s">
        <v>910</v>
      </c>
      <c r="P466" s="382"/>
      <c r="Q466" s="383"/>
      <c r="R466" s="376" t="s">
        <v>6</v>
      </c>
      <c r="S466" s="378"/>
      <c r="T466" s="330">
        <v>0</v>
      </c>
      <c r="V466" s="35">
        <v>1</v>
      </c>
      <c r="W466" s="112" t="s">
        <v>683</v>
      </c>
      <c r="X466" s="61"/>
      <c r="Y466" s="263">
        <v>233</v>
      </c>
      <c r="Z466" s="243">
        <f t="shared" si="51"/>
        <v>233</v>
      </c>
      <c r="AB466" s="196"/>
      <c r="AC466" s="199"/>
    </row>
    <row r="467" spans="1:29" ht="20.100000000000001" customHeight="1" x14ac:dyDescent="0.25">
      <c r="A467" s="36"/>
      <c r="B467" s="143">
        <f t="shared" si="52"/>
        <v>425</v>
      </c>
      <c r="C467" s="88">
        <v>368</v>
      </c>
      <c r="D467" s="110" t="str">
        <f>HYPERLINK("https://sites.wustl.edu/meteoritesite/items/lm_nwa_12643/",W467)</f>
        <v>Northwest Africa 12643</v>
      </c>
      <c r="E467" s="376" t="s">
        <v>603</v>
      </c>
      <c r="F467" s="377"/>
      <c r="G467" s="377"/>
      <c r="H467" s="378"/>
      <c r="I467" s="284"/>
      <c r="J467" s="331"/>
      <c r="K467" s="331"/>
      <c r="L467" s="332"/>
      <c r="M467" s="402">
        <v>2602</v>
      </c>
      <c r="N467" s="403"/>
      <c r="O467" s="381" t="s">
        <v>910</v>
      </c>
      <c r="P467" s="382"/>
      <c r="Q467" s="383"/>
      <c r="R467" s="376" t="s">
        <v>6</v>
      </c>
      <c r="S467" s="378"/>
      <c r="T467" s="330">
        <v>0</v>
      </c>
      <c r="U467" s="35">
        <v>2019</v>
      </c>
      <c r="V467" s="35">
        <v>1</v>
      </c>
      <c r="W467" s="111" t="s">
        <v>661</v>
      </c>
      <c r="X467" s="61"/>
      <c r="Y467" s="263">
        <v>2602</v>
      </c>
      <c r="Z467" s="243">
        <f t="shared" si="51"/>
        <v>2602</v>
      </c>
      <c r="AB467" s="196"/>
      <c r="AC467" s="199"/>
    </row>
    <row r="468" spans="1:29" ht="20.100000000000001" customHeight="1" x14ac:dyDescent="0.25">
      <c r="A468" s="36"/>
      <c r="B468" s="143">
        <f t="shared" si="52"/>
        <v>426</v>
      </c>
      <c r="C468" s="88">
        <v>380</v>
      </c>
      <c r="D468" s="110" t="str">
        <f>HYPERLINK("https://sites.wustl.edu/meteoritesite/items/lm_nwa_08046_clan/",W468)</f>
        <v>Northwest Africa 12691</v>
      </c>
      <c r="E468" s="376" t="s">
        <v>466</v>
      </c>
      <c r="F468" s="377"/>
      <c r="G468" s="377"/>
      <c r="H468" s="378"/>
      <c r="I468" s="284"/>
      <c r="J468" s="331"/>
      <c r="K468" s="331"/>
      <c r="L468" s="332"/>
      <c r="M468" s="402" t="s">
        <v>998</v>
      </c>
      <c r="N468" s="403"/>
      <c r="O468" s="381" t="s">
        <v>865</v>
      </c>
      <c r="P468" s="382"/>
      <c r="Q468" s="383"/>
      <c r="R468" s="376" t="s">
        <v>6</v>
      </c>
      <c r="S468" s="378"/>
      <c r="T468" s="330">
        <v>1</v>
      </c>
      <c r="U468" s="35">
        <v>2019</v>
      </c>
      <c r="V468" s="35">
        <v>1</v>
      </c>
      <c r="W468" s="112" t="s">
        <v>679</v>
      </c>
      <c r="X468" s="61"/>
      <c r="Y468" s="263">
        <v>103770</v>
      </c>
      <c r="Z468" s="263">
        <v>103770</v>
      </c>
      <c r="AB468" s="196"/>
      <c r="AC468" s="199"/>
    </row>
    <row r="469" spans="1:29" ht="20.100000000000001" customHeight="1" x14ac:dyDescent="0.25">
      <c r="A469" s="36"/>
      <c r="B469" s="143">
        <f t="shared" si="52"/>
        <v>427</v>
      </c>
      <c r="C469" s="88">
        <v>371</v>
      </c>
      <c r="D469" s="110" t="str">
        <f>HYPERLINK("https://sites.wustl.edu/meteoritesite/items/lm_nwa_08046_clan/",W469)</f>
        <v>Northwest Africa 12695</v>
      </c>
      <c r="E469" s="376" t="s">
        <v>571</v>
      </c>
      <c r="F469" s="377"/>
      <c r="G469" s="377"/>
      <c r="H469" s="378"/>
      <c r="I469" s="284"/>
      <c r="J469" s="331"/>
      <c r="K469" s="331"/>
      <c r="L469" s="332"/>
      <c r="M469" s="402">
        <v>224</v>
      </c>
      <c r="N469" s="403"/>
      <c r="O469" s="381" t="s">
        <v>882</v>
      </c>
      <c r="P469" s="382"/>
      <c r="Q469" s="383"/>
      <c r="R469" s="376" t="s">
        <v>6</v>
      </c>
      <c r="S469" s="378"/>
      <c r="T469" s="330">
        <v>0</v>
      </c>
      <c r="U469" s="35">
        <v>2019</v>
      </c>
      <c r="V469" s="35">
        <v>1</v>
      </c>
      <c r="W469" s="111" t="s">
        <v>663</v>
      </c>
      <c r="X469" s="61"/>
      <c r="Y469" s="263">
        <v>224</v>
      </c>
      <c r="Z469" s="243">
        <f>Y469</f>
        <v>224</v>
      </c>
      <c r="AB469" s="196"/>
      <c r="AC469" s="199"/>
    </row>
    <row r="470" spans="1:29" ht="20.100000000000001" customHeight="1" x14ac:dyDescent="0.25">
      <c r="A470" s="36"/>
      <c r="B470" s="143">
        <f t="shared" si="52"/>
        <v>428</v>
      </c>
      <c r="C470" s="88">
        <v>369</v>
      </c>
      <c r="D470" s="110" t="str">
        <f>HYPERLINK("https://sites.wustl.edu/meteoritesite/items/lm_nwa_12697/",W470)</f>
        <v>Northwest Africa 12697</v>
      </c>
      <c r="E470" s="376" t="s">
        <v>603</v>
      </c>
      <c r="F470" s="377"/>
      <c r="G470" s="377"/>
      <c r="H470" s="378"/>
      <c r="I470" s="284"/>
      <c r="J470" s="331"/>
      <c r="K470" s="331"/>
      <c r="L470" s="332"/>
      <c r="M470" s="402" t="s">
        <v>664</v>
      </c>
      <c r="N470" s="403"/>
      <c r="O470" s="381" t="s">
        <v>911</v>
      </c>
      <c r="P470" s="382"/>
      <c r="Q470" s="383"/>
      <c r="R470" s="376" t="s">
        <v>6</v>
      </c>
      <c r="S470" s="378"/>
      <c r="T470" s="330">
        <v>0</v>
      </c>
      <c r="U470" s="35">
        <v>2019</v>
      </c>
      <c r="V470" s="35">
        <v>1</v>
      </c>
      <c r="W470" s="111" t="s">
        <v>662</v>
      </c>
      <c r="X470" s="61"/>
      <c r="Y470" s="263">
        <v>140</v>
      </c>
      <c r="Z470" s="243">
        <f t="shared" si="51"/>
        <v>140</v>
      </c>
      <c r="AB470" s="196"/>
      <c r="AC470" s="199"/>
    </row>
    <row r="471" spans="1:29" ht="36" customHeight="1" x14ac:dyDescent="0.25">
      <c r="A471" s="36"/>
      <c r="B471" s="125" t="s">
        <v>402</v>
      </c>
      <c r="C471" s="30" t="s">
        <v>1034</v>
      </c>
      <c r="D471" s="33" t="s">
        <v>915</v>
      </c>
      <c r="E471" s="420" t="s">
        <v>916</v>
      </c>
      <c r="F471" s="421"/>
      <c r="G471" s="421"/>
      <c r="H471" s="422"/>
      <c r="I471" s="423" t="s">
        <v>917</v>
      </c>
      <c r="J471" s="424"/>
      <c r="K471" s="424"/>
      <c r="L471" s="425"/>
      <c r="M471" s="430" t="s">
        <v>918</v>
      </c>
      <c r="N471" s="431"/>
      <c r="O471" s="426" t="s">
        <v>919</v>
      </c>
      <c r="P471" s="427"/>
      <c r="Q471" s="428"/>
      <c r="R471" s="423" t="s">
        <v>920</v>
      </c>
      <c r="S471" s="425"/>
      <c r="T471" s="5" t="s">
        <v>5</v>
      </c>
      <c r="Y471" s="243"/>
      <c r="AB471" s="196"/>
      <c r="AC471" s="199"/>
    </row>
    <row r="472" spans="1:29" ht="20.100000000000001" customHeight="1" x14ac:dyDescent="0.25">
      <c r="A472" s="36"/>
      <c r="B472" s="143">
        <f>B470+1</f>
        <v>429</v>
      </c>
      <c r="C472" s="88">
        <v>372</v>
      </c>
      <c r="D472" s="110" t="str">
        <f>HYPERLINK("https://sites.wustl.edu/meteoritesite/items/lm_nwa_08046_clan/",W472)</f>
        <v>Northwest Africa 12760</v>
      </c>
      <c r="E472" s="376" t="s">
        <v>466</v>
      </c>
      <c r="F472" s="377"/>
      <c r="G472" s="377"/>
      <c r="H472" s="378"/>
      <c r="I472" s="284"/>
      <c r="J472" s="331"/>
      <c r="K472" s="331"/>
      <c r="L472" s="332"/>
      <c r="M472" s="401">
        <v>58090</v>
      </c>
      <c r="N472" s="462"/>
      <c r="O472" s="381" t="s">
        <v>866</v>
      </c>
      <c r="P472" s="382"/>
      <c r="Q472" s="383"/>
      <c r="R472" s="376" t="s">
        <v>6</v>
      </c>
      <c r="S472" s="378"/>
      <c r="T472" s="330">
        <v>1</v>
      </c>
      <c r="U472" s="35">
        <v>2019</v>
      </c>
      <c r="V472" s="35">
        <v>1</v>
      </c>
      <c r="W472" s="112" t="s">
        <v>669</v>
      </c>
      <c r="X472" s="61"/>
      <c r="Y472" s="263">
        <v>58090</v>
      </c>
      <c r="Z472" s="243">
        <f t="shared" ref="Z472:Z488" si="53">Y472</f>
        <v>58090</v>
      </c>
      <c r="AB472" s="196"/>
      <c r="AC472" s="199"/>
    </row>
    <row r="473" spans="1:29" ht="20.100000000000001" customHeight="1" x14ac:dyDescent="0.25">
      <c r="A473" s="36"/>
      <c r="B473" s="143">
        <f t="shared" si="52"/>
        <v>430</v>
      </c>
      <c r="C473" s="88">
        <v>373</v>
      </c>
      <c r="D473" s="110" t="str">
        <f>HYPERLINK("https://sites.wustl.edu/meteoritesite/items/lm_nwa_12765/",W473)</f>
        <v>Northwest Africa 12765</v>
      </c>
      <c r="E473" s="376" t="s">
        <v>603</v>
      </c>
      <c r="F473" s="377"/>
      <c r="G473" s="377"/>
      <c r="H473" s="378"/>
      <c r="I473" s="284"/>
      <c r="J473" s="331"/>
      <c r="K473" s="331"/>
      <c r="L473" s="332"/>
      <c r="M473" s="401">
        <v>15949</v>
      </c>
      <c r="N473" s="462"/>
      <c r="O473" s="381" t="s">
        <v>912</v>
      </c>
      <c r="P473" s="382"/>
      <c r="Q473" s="383"/>
      <c r="R473" s="376" t="s">
        <v>6</v>
      </c>
      <c r="S473" s="378"/>
      <c r="T473" s="330">
        <v>0</v>
      </c>
      <c r="U473" s="35">
        <v>2019</v>
      </c>
      <c r="V473" s="35">
        <v>1</v>
      </c>
      <c r="W473" s="112" t="s">
        <v>670</v>
      </c>
      <c r="X473" s="61"/>
      <c r="Y473" s="263">
        <v>15949</v>
      </c>
      <c r="Z473" s="243">
        <f t="shared" si="53"/>
        <v>15949</v>
      </c>
      <c r="AB473" s="196"/>
      <c r="AC473" s="199"/>
    </row>
    <row r="474" spans="1:29" ht="20.100000000000001" customHeight="1" x14ac:dyDescent="0.25">
      <c r="A474" s="36"/>
      <c r="B474" s="143">
        <f t="shared" si="52"/>
        <v>431</v>
      </c>
      <c r="C474" s="88">
        <v>595</v>
      </c>
      <c r="D474" s="110" t="str">
        <f>HYPERLINK("https://sites.wustl.edu/meteoritesite/items/lm_nwa_12788/",W474)</f>
        <v>Northwest Africa 12788</v>
      </c>
      <c r="E474" s="376" t="s">
        <v>603</v>
      </c>
      <c r="F474" s="377"/>
      <c r="G474" s="377"/>
      <c r="H474" s="378"/>
      <c r="I474" s="284"/>
      <c r="J474" s="331"/>
      <c r="K474" s="331"/>
      <c r="L474" s="332"/>
      <c r="M474" s="402" t="s">
        <v>1425</v>
      </c>
      <c r="N474" s="403"/>
      <c r="O474" s="381" t="s">
        <v>1424</v>
      </c>
      <c r="P474" s="382"/>
      <c r="Q474" s="383"/>
      <c r="R474" s="376" t="s">
        <v>6</v>
      </c>
      <c r="S474" s="378"/>
      <c r="T474" s="330">
        <v>0</v>
      </c>
      <c r="W474" s="112" t="s">
        <v>1421</v>
      </c>
      <c r="X474" s="61"/>
      <c r="Y474" s="263">
        <v>22</v>
      </c>
      <c r="Z474" s="243">
        <f t="shared" si="53"/>
        <v>22</v>
      </c>
      <c r="AB474" s="196"/>
      <c r="AC474" s="199"/>
    </row>
    <row r="475" spans="1:29" ht="20.100000000000001" customHeight="1" x14ac:dyDescent="0.25">
      <c r="A475" s="36"/>
      <c r="B475" s="143">
        <f t="shared" si="52"/>
        <v>432</v>
      </c>
      <c r="C475" s="88">
        <v>596</v>
      </c>
      <c r="D475" s="110" t="str">
        <f>HYPERLINK("https://sites.wustl.edu/meteoritesite/items/lm_nwa_12788/",W475)</f>
        <v>Northwest Africa 12789</v>
      </c>
      <c r="E475" s="376" t="s">
        <v>603</v>
      </c>
      <c r="F475" s="377"/>
      <c r="G475" s="377"/>
      <c r="H475" s="378"/>
      <c r="I475" s="284"/>
      <c r="J475" s="331"/>
      <c r="K475" s="331"/>
      <c r="L475" s="332"/>
      <c r="M475" s="463">
        <v>22.5</v>
      </c>
      <c r="N475" s="464"/>
      <c r="O475" s="381" t="s">
        <v>1424</v>
      </c>
      <c r="P475" s="382"/>
      <c r="Q475" s="383"/>
      <c r="R475" s="376" t="s">
        <v>6</v>
      </c>
      <c r="S475" s="378"/>
      <c r="T475" s="330">
        <v>0</v>
      </c>
      <c r="W475" s="112" t="s">
        <v>1422</v>
      </c>
      <c r="X475" s="61"/>
      <c r="Y475" s="262">
        <v>22.5</v>
      </c>
      <c r="Z475" s="243">
        <f t="shared" si="53"/>
        <v>22.5</v>
      </c>
      <c r="AB475" s="196"/>
      <c r="AC475" s="199"/>
    </row>
    <row r="476" spans="1:29" ht="20.100000000000001" customHeight="1" x14ac:dyDescent="0.25">
      <c r="A476" s="36"/>
      <c r="B476" s="143">
        <f t="shared" si="52"/>
        <v>433</v>
      </c>
      <c r="C476" s="88">
        <v>597</v>
      </c>
      <c r="D476" s="110" t="str">
        <f>HYPERLINK("https://sites.wustl.edu/meteoritesite/items/lm_nwa_12788/",W476)</f>
        <v>Northwest Africa 12790</v>
      </c>
      <c r="E476" s="376" t="s">
        <v>603</v>
      </c>
      <c r="F476" s="377"/>
      <c r="G476" s="377"/>
      <c r="H476" s="378"/>
      <c r="I476" s="284"/>
      <c r="J476" s="331"/>
      <c r="K476" s="331"/>
      <c r="L476" s="332"/>
      <c r="M476" s="463" t="s">
        <v>1426</v>
      </c>
      <c r="N476" s="464"/>
      <c r="O476" s="381" t="s">
        <v>1424</v>
      </c>
      <c r="P476" s="382"/>
      <c r="Q476" s="383"/>
      <c r="R476" s="376" t="s">
        <v>6</v>
      </c>
      <c r="S476" s="378"/>
      <c r="T476" s="330">
        <v>0</v>
      </c>
      <c r="W476" s="112" t="s">
        <v>1423</v>
      </c>
      <c r="X476" s="61"/>
      <c r="Y476" s="262">
        <v>17.600000000000001</v>
      </c>
      <c r="Z476" s="243">
        <f t="shared" si="53"/>
        <v>17.600000000000001</v>
      </c>
      <c r="AB476" s="196"/>
      <c r="AC476" s="199"/>
    </row>
    <row r="477" spans="1:29" ht="20.100000000000001" customHeight="1" x14ac:dyDescent="0.25">
      <c r="A477" s="36"/>
      <c r="B477" s="143">
        <f>B476+1</f>
        <v>434</v>
      </c>
      <c r="C477" s="88">
        <v>381</v>
      </c>
      <c r="D477" s="110" t="str">
        <f>HYPERLINK("https://sites.wustl.edu/meteoritesite/items/lm_nwa_12826/",W477)</f>
        <v>Northwest Africa 12826</v>
      </c>
      <c r="E477" s="376" t="s">
        <v>571</v>
      </c>
      <c r="F477" s="377"/>
      <c r="G477" s="377"/>
      <c r="H477" s="378"/>
      <c r="I477" s="284"/>
      <c r="J477" s="331"/>
      <c r="K477" s="331"/>
      <c r="L477" s="332"/>
      <c r="M477" s="402" t="s">
        <v>999</v>
      </c>
      <c r="N477" s="403"/>
      <c r="O477" s="381" t="s">
        <v>913</v>
      </c>
      <c r="P477" s="382"/>
      <c r="Q477" s="383"/>
      <c r="R477" s="376" t="s">
        <v>6</v>
      </c>
      <c r="S477" s="378"/>
      <c r="T477" s="330">
        <v>0</v>
      </c>
      <c r="V477" s="35">
        <v>1</v>
      </c>
      <c r="W477" s="112" t="s">
        <v>680</v>
      </c>
      <c r="X477" s="61"/>
      <c r="Y477" s="263">
        <v>25</v>
      </c>
      <c r="Z477" s="243">
        <f t="shared" si="53"/>
        <v>25</v>
      </c>
      <c r="AB477" s="196"/>
      <c r="AC477" s="199"/>
    </row>
    <row r="478" spans="1:29" ht="20.100000000000001" customHeight="1" x14ac:dyDescent="0.25">
      <c r="A478" s="36"/>
      <c r="B478" s="143">
        <f t="shared" si="52"/>
        <v>435</v>
      </c>
      <c r="C478" s="88">
        <v>383</v>
      </c>
      <c r="D478" s="110" t="str">
        <f>HYPERLINK("https://sites.wustl.edu/meteoritesite/items/lm_nwa_12830/",W478)</f>
        <v>Northwest Africa 12830</v>
      </c>
      <c r="E478" s="376" t="s">
        <v>603</v>
      </c>
      <c r="F478" s="377"/>
      <c r="G478" s="377"/>
      <c r="H478" s="378"/>
      <c r="I478" s="284"/>
      <c r="J478" s="331"/>
      <c r="K478" s="331"/>
      <c r="L478" s="332"/>
      <c r="M478" s="402">
        <v>232</v>
      </c>
      <c r="N478" s="403"/>
      <c r="O478" s="381" t="s">
        <v>913</v>
      </c>
      <c r="P478" s="382"/>
      <c r="Q478" s="383"/>
      <c r="R478" s="376" t="s">
        <v>6</v>
      </c>
      <c r="S478" s="378"/>
      <c r="T478" s="330">
        <v>0</v>
      </c>
      <c r="V478" s="35">
        <v>1</v>
      </c>
      <c r="W478" s="112" t="s">
        <v>682</v>
      </c>
      <c r="X478" s="61"/>
      <c r="Y478" s="264">
        <v>232</v>
      </c>
      <c r="Z478" s="243">
        <f t="shared" si="53"/>
        <v>232</v>
      </c>
      <c r="AB478" s="196"/>
      <c r="AC478" s="199"/>
    </row>
    <row r="479" spans="1:29" ht="20.100000000000001" customHeight="1" x14ac:dyDescent="0.25">
      <c r="A479" s="36"/>
      <c r="B479" s="143">
        <f t="shared" si="52"/>
        <v>436</v>
      </c>
      <c r="C479" s="88">
        <v>385</v>
      </c>
      <c r="D479" s="110" t="str">
        <f>HYPERLINK("https://sites.wustl.edu/meteoritesite/items/lm_nwa_12831/",W479)</f>
        <v>Northwest Africa 12831</v>
      </c>
      <c r="E479" s="376" t="s">
        <v>603</v>
      </c>
      <c r="F479" s="377"/>
      <c r="G479" s="377"/>
      <c r="H479" s="378"/>
      <c r="I479" s="284"/>
      <c r="J479" s="331"/>
      <c r="K479" s="331"/>
      <c r="L479" s="332"/>
      <c r="M479" s="402" t="s">
        <v>689</v>
      </c>
      <c r="N479" s="403"/>
      <c r="O479" s="381" t="s">
        <v>868</v>
      </c>
      <c r="P479" s="382"/>
      <c r="Q479" s="383"/>
      <c r="R479" s="376" t="s">
        <v>6</v>
      </c>
      <c r="S479" s="378"/>
      <c r="T479" s="330">
        <v>0</v>
      </c>
      <c r="V479" s="35">
        <v>1</v>
      </c>
      <c r="W479" s="112" t="s">
        <v>684</v>
      </c>
      <c r="X479" s="61"/>
      <c r="Y479" s="262">
        <v>150.80000000000001</v>
      </c>
      <c r="Z479" s="243">
        <f t="shared" si="53"/>
        <v>150.80000000000001</v>
      </c>
      <c r="AB479" s="196"/>
      <c r="AC479" s="199"/>
    </row>
    <row r="480" spans="1:29" ht="20.100000000000001" customHeight="1" x14ac:dyDescent="0.25">
      <c r="A480" s="36"/>
      <c r="B480" s="143">
        <f t="shared" si="52"/>
        <v>437</v>
      </c>
      <c r="C480" s="88">
        <v>386</v>
      </c>
      <c r="D480" s="224" t="str">
        <f>HYPERLINK("https://sites.wustl.edu/meteoritesite/items/lm_nwa_12839/",W480)</f>
        <v>Northwest Africa 12839</v>
      </c>
      <c r="E480" s="376" t="s">
        <v>603</v>
      </c>
      <c r="F480" s="377"/>
      <c r="G480" s="377"/>
      <c r="H480" s="378"/>
      <c r="I480" s="284"/>
      <c r="J480" s="331"/>
      <c r="K480" s="331"/>
      <c r="L480" s="332"/>
      <c r="M480" s="432">
        <v>68.75</v>
      </c>
      <c r="N480" s="433"/>
      <c r="O480" s="381" t="s">
        <v>914</v>
      </c>
      <c r="P480" s="382"/>
      <c r="Q480" s="383"/>
      <c r="R480" s="376" t="s">
        <v>686</v>
      </c>
      <c r="S480" s="378"/>
      <c r="T480" s="330">
        <v>0</v>
      </c>
      <c r="V480" s="35">
        <v>1</v>
      </c>
      <c r="W480" s="112" t="s">
        <v>685</v>
      </c>
      <c r="X480" s="61"/>
      <c r="Y480" s="264">
        <v>68.75</v>
      </c>
      <c r="Z480" s="243">
        <f t="shared" si="53"/>
        <v>68.75</v>
      </c>
      <c r="AB480" s="196"/>
      <c r="AC480" s="199"/>
    </row>
    <row r="481" spans="1:29" ht="20.100000000000001" customHeight="1" x14ac:dyDescent="0.25">
      <c r="A481" s="36"/>
      <c r="B481" s="143">
        <f t="shared" si="52"/>
        <v>438</v>
      </c>
      <c r="C481" s="88">
        <v>382</v>
      </c>
      <c r="D481" s="110" t="str">
        <f>HYPERLINK("https://sites.wustl.edu/meteoritesite/items/lm_nwa_12870/",W481)</f>
        <v>Northwest Africa 12870</v>
      </c>
      <c r="E481" s="376" t="s">
        <v>571</v>
      </c>
      <c r="F481" s="377"/>
      <c r="G481" s="377"/>
      <c r="H481" s="378"/>
      <c r="I481" s="284"/>
      <c r="J481" s="331"/>
      <c r="K481" s="331"/>
      <c r="L481" s="332"/>
      <c r="M481" s="402">
        <v>30.07</v>
      </c>
      <c r="N481" s="403"/>
      <c r="O481" s="381" t="s">
        <v>892</v>
      </c>
      <c r="P481" s="382"/>
      <c r="Q481" s="383"/>
      <c r="R481" s="376" t="s">
        <v>6</v>
      </c>
      <c r="S481" s="378"/>
      <c r="T481" s="330">
        <v>0</v>
      </c>
      <c r="V481" s="35">
        <v>1</v>
      </c>
      <c r="W481" s="112" t="s">
        <v>681</v>
      </c>
      <c r="X481" s="61"/>
      <c r="Y481" s="264">
        <v>30.07</v>
      </c>
      <c r="Z481" s="243">
        <f t="shared" si="53"/>
        <v>30.07</v>
      </c>
      <c r="AB481" s="196"/>
      <c r="AC481" s="199"/>
    </row>
    <row r="482" spans="1:29" ht="20.100000000000001" customHeight="1" x14ac:dyDescent="0.25">
      <c r="A482" s="36"/>
      <c r="B482" s="143">
        <f t="shared" si="52"/>
        <v>439</v>
      </c>
      <c r="C482" s="88">
        <v>390</v>
      </c>
      <c r="D482" s="110" t="str">
        <f>HYPERLINK("https://sites.wustl.edu/meteoritesite/items/lm_nwa_12909/",W482)</f>
        <v>Northwest Africa 12909</v>
      </c>
      <c r="E482" s="376" t="s">
        <v>603</v>
      </c>
      <c r="F482" s="377"/>
      <c r="G482" s="377"/>
      <c r="H482" s="378"/>
      <c r="I482" s="284"/>
      <c r="J482" s="331"/>
      <c r="K482" s="331"/>
      <c r="L482" s="332"/>
      <c r="M482" s="402">
        <v>2742</v>
      </c>
      <c r="N482" s="403"/>
      <c r="O482" s="381" t="s">
        <v>868</v>
      </c>
      <c r="P482" s="382"/>
      <c r="Q482" s="383"/>
      <c r="R482" s="376" t="s">
        <v>6</v>
      </c>
      <c r="S482" s="378"/>
      <c r="T482" s="330">
        <v>0</v>
      </c>
      <c r="V482" s="35">
        <v>1</v>
      </c>
      <c r="W482" s="112" t="s">
        <v>696</v>
      </c>
      <c r="X482" s="61"/>
      <c r="Y482" s="263">
        <v>2742</v>
      </c>
      <c r="Z482" s="243">
        <f t="shared" si="53"/>
        <v>2742</v>
      </c>
      <c r="AB482" s="196"/>
      <c r="AC482" s="199"/>
    </row>
    <row r="483" spans="1:29" ht="20.100000000000001" customHeight="1" x14ac:dyDescent="0.25">
      <c r="A483" s="36"/>
      <c r="B483" s="143">
        <f t="shared" si="52"/>
        <v>440</v>
      </c>
      <c r="C483" s="88">
        <v>391</v>
      </c>
      <c r="D483" s="110" t="str">
        <f>HYPERLINK("https://sites.wustl.edu/meteoritesite/items/lm_nwa_12952/",W483)</f>
        <v>Northwest Africa 12952</v>
      </c>
      <c r="E483" s="376" t="s">
        <v>603</v>
      </c>
      <c r="F483" s="377"/>
      <c r="G483" s="377"/>
      <c r="H483" s="378"/>
      <c r="I483" s="284"/>
      <c r="J483" s="331"/>
      <c r="K483" s="331"/>
      <c r="L483" s="332"/>
      <c r="M483" s="402">
        <v>808</v>
      </c>
      <c r="N483" s="403"/>
      <c r="O483" s="381" t="s">
        <v>867</v>
      </c>
      <c r="P483" s="382"/>
      <c r="Q483" s="383"/>
      <c r="R483" s="376" t="s">
        <v>6</v>
      </c>
      <c r="S483" s="378"/>
      <c r="T483" s="330">
        <v>0</v>
      </c>
      <c r="W483" s="112" t="s">
        <v>697</v>
      </c>
      <c r="X483" s="61"/>
      <c r="Y483" s="263">
        <v>808</v>
      </c>
      <c r="Z483" s="243">
        <f t="shared" si="53"/>
        <v>808</v>
      </c>
      <c r="AB483" s="196"/>
      <c r="AC483" s="199"/>
    </row>
    <row r="484" spans="1:29" ht="20.100000000000001" customHeight="1" x14ac:dyDescent="0.25">
      <c r="A484" s="36"/>
      <c r="B484" s="143">
        <f t="shared" si="52"/>
        <v>441</v>
      </c>
      <c r="C484" s="88">
        <v>394</v>
      </c>
      <c r="D484" s="110" t="str">
        <f>HYPERLINK("https://sites.wustl.edu/meteoritesite/items/lm_nwa_08046_clan/",W484)</f>
        <v>Northwest Africa 12966</v>
      </c>
      <c r="E484" s="376" t="s">
        <v>571</v>
      </c>
      <c r="F484" s="377"/>
      <c r="G484" s="377"/>
      <c r="H484" s="378"/>
      <c r="I484" s="284"/>
      <c r="J484" s="331"/>
      <c r="K484" s="331"/>
      <c r="L484" s="332"/>
      <c r="M484" s="432">
        <v>1.39</v>
      </c>
      <c r="N484" s="433"/>
      <c r="O484" s="381" t="s">
        <v>913</v>
      </c>
      <c r="P484" s="382"/>
      <c r="Q484" s="383"/>
      <c r="R484" s="376" t="s">
        <v>6</v>
      </c>
      <c r="S484" s="378"/>
      <c r="T484" s="330">
        <v>0</v>
      </c>
      <c r="W484" s="112" t="s">
        <v>956</v>
      </c>
      <c r="X484" s="61"/>
      <c r="Y484" s="264">
        <v>1.39</v>
      </c>
      <c r="Z484" s="243">
        <f t="shared" si="53"/>
        <v>1.39</v>
      </c>
      <c r="AB484" s="196"/>
      <c r="AC484" s="199"/>
    </row>
    <row r="485" spans="1:29" ht="20.100000000000001" customHeight="1" x14ac:dyDescent="0.25">
      <c r="A485" s="36"/>
      <c r="B485" s="143">
        <f t="shared" si="52"/>
        <v>442</v>
      </c>
      <c r="C485" s="88">
        <v>395</v>
      </c>
      <c r="D485" s="224" t="str">
        <f>HYPERLINK("https://sites.wustl.edu/meteoritesite/items/lm_nwa_12971/",W485)</f>
        <v>Northwest Africa 12971</v>
      </c>
      <c r="E485" s="376" t="s">
        <v>1687</v>
      </c>
      <c r="F485" s="377"/>
      <c r="G485" s="377"/>
      <c r="H485" s="378"/>
      <c r="I485" s="284"/>
      <c r="J485" s="331"/>
      <c r="K485" s="331"/>
      <c r="L485" s="332"/>
      <c r="M485" s="402">
        <v>280</v>
      </c>
      <c r="N485" s="403"/>
      <c r="O485" s="381" t="s">
        <v>913</v>
      </c>
      <c r="P485" s="382"/>
      <c r="Q485" s="383"/>
      <c r="R485" s="376" t="s">
        <v>961</v>
      </c>
      <c r="S485" s="378"/>
      <c r="T485" s="330">
        <v>0</v>
      </c>
      <c r="W485" s="112" t="s">
        <v>957</v>
      </c>
      <c r="X485" s="61"/>
      <c r="Y485" s="263">
        <v>280</v>
      </c>
      <c r="Z485" s="243">
        <f t="shared" si="53"/>
        <v>280</v>
      </c>
      <c r="AB485" s="196"/>
      <c r="AC485" s="199"/>
    </row>
    <row r="486" spans="1:29" ht="20.100000000000001" customHeight="1" x14ac:dyDescent="0.25">
      <c r="A486" s="36"/>
      <c r="B486" s="143">
        <f t="shared" si="52"/>
        <v>443</v>
      </c>
      <c r="C486" s="88">
        <v>396</v>
      </c>
      <c r="D486" s="110" t="str">
        <f>HYPERLINK("https:/sites.wustl.edu/meteoritesite/items/lm_nwa_12980/",W486)</f>
        <v>Northwest Africa 12980</v>
      </c>
      <c r="E486" s="376" t="s">
        <v>571</v>
      </c>
      <c r="F486" s="377"/>
      <c r="G486" s="377"/>
      <c r="H486" s="378"/>
      <c r="I486" s="284"/>
      <c r="J486" s="331"/>
      <c r="K486" s="331"/>
      <c r="L486" s="332"/>
      <c r="M486" s="402">
        <v>1300</v>
      </c>
      <c r="N486" s="403"/>
      <c r="O486" s="381" t="s">
        <v>767</v>
      </c>
      <c r="P486" s="382"/>
      <c r="Q486" s="383"/>
      <c r="R486" s="376" t="s">
        <v>1259</v>
      </c>
      <c r="S486" s="378"/>
      <c r="T486" s="330">
        <v>0</v>
      </c>
      <c r="W486" s="112" t="s">
        <v>958</v>
      </c>
      <c r="X486" s="61"/>
      <c r="Y486" s="263">
        <v>1300</v>
      </c>
      <c r="Z486" s="243">
        <f t="shared" si="53"/>
        <v>1300</v>
      </c>
      <c r="AB486" s="196"/>
      <c r="AC486" s="199"/>
    </row>
    <row r="487" spans="1:29" ht="20.100000000000001" customHeight="1" x14ac:dyDescent="0.25">
      <c r="A487" s="36"/>
      <c r="B487" s="143">
        <f t="shared" si="52"/>
        <v>444</v>
      </c>
      <c r="C487" s="88">
        <v>397</v>
      </c>
      <c r="D487" s="110" t="str">
        <f>HYPERLINK("https://sites.wustl.edu/meteoritesite/items/lm_nwa_12985/",W487)</f>
        <v>Northwest Africa 12985</v>
      </c>
      <c r="E487" s="376" t="s">
        <v>571</v>
      </c>
      <c r="F487" s="377"/>
      <c r="G487" s="377"/>
      <c r="H487" s="378"/>
      <c r="I487" s="284"/>
      <c r="J487" s="331"/>
      <c r="K487" s="331"/>
      <c r="L487" s="332"/>
      <c r="M487" s="402">
        <v>33</v>
      </c>
      <c r="N487" s="403"/>
      <c r="O487" s="381" t="s">
        <v>794</v>
      </c>
      <c r="P487" s="382"/>
      <c r="Q487" s="383"/>
      <c r="R487" s="376" t="s">
        <v>6</v>
      </c>
      <c r="S487" s="378"/>
      <c r="T487" s="330">
        <v>0</v>
      </c>
      <c r="W487" s="112" t="s">
        <v>959</v>
      </c>
      <c r="X487" s="61"/>
      <c r="Y487" s="263">
        <v>33</v>
      </c>
      <c r="Z487" s="243">
        <f t="shared" si="53"/>
        <v>33</v>
      </c>
      <c r="AB487" s="196"/>
      <c r="AC487" s="199"/>
    </row>
    <row r="488" spans="1:29" ht="20.100000000000001" customHeight="1" x14ac:dyDescent="0.25">
      <c r="A488" s="36"/>
      <c r="B488" s="143">
        <f t="shared" si="52"/>
        <v>445</v>
      </c>
      <c r="C488" s="88">
        <v>398</v>
      </c>
      <c r="D488" s="110" t="str">
        <f>HYPERLINK("https://sites.wustl.edu/meteoritesite/items/lm_nwa_05744/",W488)</f>
        <v>Northwest Africa 12997</v>
      </c>
      <c r="E488" s="376" t="s">
        <v>1154</v>
      </c>
      <c r="F488" s="377"/>
      <c r="G488" s="377"/>
      <c r="H488" s="378"/>
      <c r="I488" s="284"/>
      <c r="J488" s="331"/>
      <c r="K488" s="331"/>
      <c r="L488" s="332"/>
      <c r="M488" s="402" t="s">
        <v>1000</v>
      </c>
      <c r="N488" s="403"/>
      <c r="O488" s="381" t="s">
        <v>883</v>
      </c>
      <c r="P488" s="382"/>
      <c r="Q488" s="383"/>
      <c r="R488" s="376" t="s">
        <v>962</v>
      </c>
      <c r="S488" s="378"/>
      <c r="T488" s="330">
        <v>0</v>
      </c>
      <c r="W488" s="112" t="s">
        <v>960</v>
      </c>
      <c r="X488" s="61"/>
      <c r="Y488" s="263">
        <v>60</v>
      </c>
      <c r="Z488" s="243">
        <f t="shared" si="53"/>
        <v>60</v>
      </c>
      <c r="AB488" s="196"/>
      <c r="AC488" s="199"/>
    </row>
    <row r="489" spans="1:29" ht="36" customHeight="1" x14ac:dyDescent="0.25">
      <c r="A489" s="36"/>
      <c r="B489" s="125" t="s">
        <v>402</v>
      </c>
      <c r="C489" s="30" t="s">
        <v>1034</v>
      </c>
      <c r="D489" s="33" t="s">
        <v>915</v>
      </c>
      <c r="E489" s="420" t="s">
        <v>916</v>
      </c>
      <c r="F489" s="421"/>
      <c r="G489" s="421"/>
      <c r="H489" s="422"/>
      <c r="I489" s="423" t="s">
        <v>917</v>
      </c>
      <c r="J489" s="424"/>
      <c r="K489" s="424"/>
      <c r="L489" s="425"/>
      <c r="M489" s="430" t="s">
        <v>918</v>
      </c>
      <c r="N489" s="431"/>
      <c r="O489" s="426" t="s">
        <v>919</v>
      </c>
      <c r="P489" s="427"/>
      <c r="Q489" s="428"/>
      <c r="R489" s="423" t="s">
        <v>920</v>
      </c>
      <c r="S489" s="425"/>
      <c r="T489" s="5" t="s">
        <v>5</v>
      </c>
      <c r="Y489" s="243"/>
      <c r="AB489" s="196"/>
      <c r="AC489" s="199"/>
    </row>
    <row r="490" spans="1:29" ht="20.100000000000001" customHeight="1" x14ac:dyDescent="0.25">
      <c r="A490" s="36"/>
      <c r="B490" s="143">
        <f>B488+1</f>
        <v>446</v>
      </c>
      <c r="C490" s="88">
        <v>400</v>
      </c>
      <c r="D490" s="110" t="str">
        <f>HYPERLINK("https://sites.wustl.edu/meteoritesite/items/lm_nwa_13036/",W490)</f>
        <v>Northwest Africa 13036</v>
      </c>
      <c r="E490" s="376" t="s">
        <v>603</v>
      </c>
      <c r="F490" s="377"/>
      <c r="G490" s="377"/>
      <c r="H490" s="378"/>
      <c r="I490" s="284"/>
      <c r="J490" s="331"/>
      <c r="K490" s="331"/>
      <c r="L490" s="332"/>
      <c r="M490" s="402" t="s">
        <v>1003</v>
      </c>
      <c r="N490" s="403"/>
      <c r="O490" s="381" t="s">
        <v>985</v>
      </c>
      <c r="P490" s="382"/>
      <c r="Q490" s="383"/>
      <c r="R490" s="376" t="s">
        <v>6</v>
      </c>
      <c r="S490" s="378"/>
      <c r="T490" s="330">
        <v>0</v>
      </c>
      <c r="W490" s="112" t="s">
        <v>981</v>
      </c>
      <c r="X490" s="61"/>
      <c r="Y490" s="263">
        <v>1780</v>
      </c>
      <c r="Z490" s="243">
        <f t="shared" ref="Z490:Z512" si="54">Y490</f>
        <v>1780</v>
      </c>
      <c r="AB490" s="196"/>
      <c r="AC490" s="199"/>
    </row>
    <row r="491" spans="1:29" ht="20.100000000000001" customHeight="1" x14ac:dyDescent="0.25">
      <c r="A491" s="36"/>
      <c r="B491" s="143">
        <f t="shared" si="52"/>
        <v>447</v>
      </c>
      <c r="C491" s="88">
        <v>401</v>
      </c>
      <c r="D491" s="110" t="str">
        <f>HYPERLINK("https://sites.wustl.edu/meteoritesite/items/lm_nwa_08046_clan/",W491)</f>
        <v>Northwest Africa 13101</v>
      </c>
      <c r="E491" s="376" t="s">
        <v>571</v>
      </c>
      <c r="F491" s="377"/>
      <c r="G491" s="377"/>
      <c r="H491" s="378"/>
      <c r="I491" s="284"/>
      <c r="J491" s="331"/>
      <c r="K491" s="331"/>
      <c r="L491" s="332"/>
      <c r="M491" s="402" t="s">
        <v>1474</v>
      </c>
      <c r="N491" s="403"/>
      <c r="O491" s="381" t="s">
        <v>865</v>
      </c>
      <c r="P491" s="382"/>
      <c r="Q491" s="383"/>
      <c r="R491" s="376" t="s">
        <v>6</v>
      </c>
      <c r="S491" s="378"/>
      <c r="T491" s="330">
        <v>0</v>
      </c>
      <c r="W491" s="112" t="s">
        <v>982</v>
      </c>
      <c r="X491" s="61"/>
      <c r="Y491" s="263">
        <v>68796</v>
      </c>
      <c r="Z491" s="243">
        <f t="shared" si="54"/>
        <v>68796</v>
      </c>
      <c r="AB491" s="196"/>
      <c r="AC491" s="199"/>
    </row>
    <row r="492" spans="1:29" ht="20.100000000000001" customHeight="1" x14ac:dyDescent="0.25">
      <c r="A492" s="36"/>
      <c r="B492" s="143">
        <f t="shared" si="52"/>
        <v>448</v>
      </c>
      <c r="C492" s="88">
        <v>402</v>
      </c>
      <c r="D492" s="110" t="str">
        <f>HYPERLINK("https://sites.wustl.edu/meteoritesite/items/lm_nwa_13112/",W492)</f>
        <v>Northwest Africa 13112</v>
      </c>
      <c r="E492" s="376" t="s">
        <v>603</v>
      </c>
      <c r="F492" s="377"/>
      <c r="G492" s="377"/>
      <c r="H492" s="378"/>
      <c r="I492" s="284"/>
      <c r="J492" s="331"/>
      <c r="K492" s="331"/>
      <c r="L492" s="332"/>
      <c r="M492" s="402">
        <v>386</v>
      </c>
      <c r="N492" s="403"/>
      <c r="O492" s="381" t="s">
        <v>914</v>
      </c>
      <c r="P492" s="382"/>
      <c r="Q492" s="383"/>
      <c r="R492" s="376" t="s">
        <v>6</v>
      </c>
      <c r="S492" s="378"/>
      <c r="T492" s="330">
        <v>0</v>
      </c>
      <c r="W492" s="112" t="s">
        <v>983</v>
      </c>
      <c r="X492" s="61"/>
      <c r="Y492" s="263">
        <v>386</v>
      </c>
      <c r="Z492" s="243">
        <f t="shared" si="54"/>
        <v>386</v>
      </c>
      <c r="AB492" s="196"/>
      <c r="AC492" s="199"/>
    </row>
    <row r="493" spans="1:29" ht="20.100000000000001" customHeight="1" x14ac:dyDescent="0.25">
      <c r="A493" s="36"/>
      <c r="B493" s="143">
        <f t="shared" si="52"/>
        <v>449</v>
      </c>
      <c r="C493" s="88">
        <v>403</v>
      </c>
      <c r="D493" s="110" t="str">
        <f>HYPERLINK("https://sites.wustl.edu/meteoritesite/items/lm_nwa_13119/",W493)</f>
        <v>Northwest Africa 13119</v>
      </c>
      <c r="E493" s="376" t="s">
        <v>603</v>
      </c>
      <c r="F493" s="377"/>
      <c r="G493" s="377"/>
      <c r="H493" s="378"/>
      <c r="I493" s="284"/>
      <c r="J493" s="331"/>
      <c r="K493" s="331"/>
      <c r="L493" s="332"/>
      <c r="M493" s="402" t="s">
        <v>986</v>
      </c>
      <c r="N493" s="403"/>
      <c r="O493" s="381" t="s">
        <v>987</v>
      </c>
      <c r="P493" s="382"/>
      <c r="Q493" s="383"/>
      <c r="R493" s="376" t="s">
        <v>6</v>
      </c>
      <c r="S493" s="378"/>
      <c r="T493" s="330">
        <v>0</v>
      </c>
      <c r="W493" s="112" t="s">
        <v>984</v>
      </c>
      <c r="X493" s="61"/>
      <c r="Y493" s="263">
        <v>7000</v>
      </c>
      <c r="Z493" s="243">
        <f t="shared" si="54"/>
        <v>7000</v>
      </c>
      <c r="AB493" s="196"/>
      <c r="AC493" s="199"/>
    </row>
    <row r="494" spans="1:29" ht="20.100000000000001" customHeight="1" x14ac:dyDescent="0.25">
      <c r="A494" s="36"/>
      <c r="B494" s="143">
        <f t="shared" si="52"/>
        <v>450</v>
      </c>
      <c r="C494" s="88">
        <v>399</v>
      </c>
      <c r="D494" s="110" t="str">
        <f>HYPERLINK("https://sites.wustl.edu/meteoritesite/items/lm_nwa_08046_clan/",W494)</f>
        <v>Northwest Africa 13120</v>
      </c>
      <c r="E494" s="376" t="s">
        <v>571</v>
      </c>
      <c r="F494" s="377"/>
      <c r="G494" s="377"/>
      <c r="H494" s="378"/>
      <c r="I494" s="284"/>
      <c r="J494" s="331"/>
      <c r="K494" s="331"/>
      <c r="L494" s="332"/>
      <c r="M494" s="463">
        <v>818.7</v>
      </c>
      <c r="N494" s="464"/>
      <c r="O494" s="381" t="s">
        <v>861</v>
      </c>
      <c r="P494" s="382"/>
      <c r="Q494" s="383"/>
      <c r="R494" s="376" t="s">
        <v>6</v>
      </c>
      <c r="S494" s="378"/>
      <c r="T494" s="330">
        <v>0</v>
      </c>
      <c r="W494" s="112" t="s">
        <v>964</v>
      </c>
      <c r="X494" s="61"/>
      <c r="Y494" s="262">
        <v>818.7</v>
      </c>
      <c r="Z494" s="243">
        <f t="shared" si="54"/>
        <v>818.7</v>
      </c>
      <c r="AB494" s="196"/>
      <c r="AC494" s="199"/>
    </row>
    <row r="495" spans="1:29" ht="20.100000000000001" customHeight="1" x14ac:dyDescent="0.25">
      <c r="A495" s="36"/>
      <c r="B495" s="143">
        <f t="shared" si="52"/>
        <v>451</v>
      </c>
      <c r="C495" s="88">
        <v>404</v>
      </c>
      <c r="D495" s="110" t="str">
        <f>HYPERLINK("https://sites.wustl.edu/meteoritesite/items/lm_nwa_13138/",W495)</f>
        <v>Northwest Africa 13138</v>
      </c>
      <c r="E495" s="376" t="s">
        <v>571</v>
      </c>
      <c r="F495" s="377"/>
      <c r="G495" s="377"/>
      <c r="H495" s="378"/>
      <c r="I495" s="284"/>
      <c r="J495" s="331"/>
      <c r="K495" s="331"/>
      <c r="L495" s="332"/>
      <c r="M495" s="432">
        <v>16.7</v>
      </c>
      <c r="N495" s="433"/>
      <c r="O495" s="381" t="s">
        <v>913</v>
      </c>
      <c r="P495" s="382"/>
      <c r="Q495" s="383"/>
      <c r="R495" s="376" t="s">
        <v>6</v>
      </c>
      <c r="S495" s="378"/>
      <c r="T495" s="330">
        <v>0</v>
      </c>
      <c r="W495" s="112" t="s">
        <v>965</v>
      </c>
      <c r="X495" s="61"/>
      <c r="Y495" s="264">
        <v>16.7</v>
      </c>
      <c r="Z495" s="243">
        <f t="shared" si="54"/>
        <v>16.7</v>
      </c>
      <c r="AB495" s="196"/>
      <c r="AC495" s="199"/>
    </row>
    <row r="496" spans="1:29" ht="20.100000000000001" customHeight="1" x14ac:dyDescent="0.25">
      <c r="A496" s="36"/>
      <c r="B496" s="143">
        <f t="shared" si="52"/>
        <v>452</v>
      </c>
      <c r="C496" s="88">
        <v>407</v>
      </c>
      <c r="D496" s="110" t="str">
        <f>HYPERLINK("https://sites.wustl.edu/meteoritesite/items/lm_nwa_13185/",W496)</f>
        <v>Northwest Africa 13185</v>
      </c>
      <c r="E496" s="376" t="s">
        <v>603</v>
      </c>
      <c r="F496" s="377"/>
      <c r="G496" s="377"/>
      <c r="H496" s="378"/>
      <c r="I496" s="285"/>
      <c r="J496" s="333"/>
      <c r="K496" s="333"/>
      <c r="L496" s="334"/>
      <c r="M496" s="402" t="s">
        <v>1475</v>
      </c>
      <c r="N496" s="403"/>
      <c r="O496" s="381" t="s">
        <v>912</v>
      </c>
      <c r="P496" s="382"/>
      <c r="Q496" s="383"/>
      <c r="R496" s="376" t="s">
        <v>6</v>
      </c>
      <c r="S496" s="378"/>
      <c r="T496" s="330">
        <v>0</v>
      </c>
      <c r="W496" s="112" t="s">
        <v>988</v>
      </c>
      <c r="X496" s="61"/>
      <c r="Y496" s="263">
        <v>300</v>
      </c>
      <c r="Z496" s="243">
        <f t="shared" si="54"/>
        <v>300</v>
      </c>
      <c r="AB496" s="196"/>
      <c r="AC496" s="199"/>
    </row>
    <row r="497" spans="1:29" ht="20.100000000000001" customHeight="1" x14ac:dyDescent="0.25">
      <c r="A497" s="36"/>
      <c r="B497" s="143">
        <f t="shared" si="52"/>
        <v>453</v>
      </c>
      <c r="C497" s="88">
        <v>408</v>
      </c>
      <c r="D497" s="110" t="str">
        <f>HYPERLINK("https://sites.wustl.edu/meteoritesite/items/lm_nwa_13191/",W497)</f>
        <v>Northwest Africa 13191</v>
      </c>
      <c r="E497" s="376" t="s">
        <v>571</v>
      </c>
      <c r="F497" s="377"/>
      <c r="G497" s="377"/>
      <c r="H497" s="378"/>
      <c r="I497" s="285"/>
      <c r="J497" s="333"/>
      <c r="K497" s="333"/>
      <c r="L497" s="334"/>
      <c r="M497" s="432">
        <v>134.86000000000001</v>
      </c>
      <c r="N497" s="433"/>
      <c r="O497" s="381" t="s">
        <v>861</v>
      </c>
      <c r="P497" s="382"/>
      <c r="Q497" s="383"/>
      <c r="R497" s="376" t="s">
        <v>6</v>
      </c>
      <c r="S497" s="378"/>
      <c r="T497" s="330">
        <v>0</v>
      </c>
      <c r="W497" s="112" t="s">
        <v>989</v>
      </c>
      <c r="X497" s="61"/>
      <c r="Y497" s="264">
        <v>134.86000000000001</v>
      </c>
      <c r="Z497" s="243">
        <f t="shared" si="54"/>
        <v>134.86000000000001</v>
      </c>
      <c r="AB497" s="196"/>
      <c r="AC497" s="199"/>
    </row>
    <row r="498" spans="1:29" ht="20.100000000000001" customHeight="1" x14ac:dyDescent="0.25">
      <c r="A498" s="36"/>
      <c r="B498" s="143">
        <f t="shared" si="52"/>
        <v>454</v>
      </c>
      <c r="C498" s="88">
        <v>409</v>
      </c>
      <c r="D498" s="110" t="str">
        <f>HYPERLINK("https://sites.wustl.edu/meteoritesite/items/lm_nwa_13216/",W498)</f>
        <v>Northwest Africa 13216</v>
      </c>
      <c r="E498" s="376" t="s">
        <v>571</v>
      </c>
      <c r="F498" s="377"/>
      <c r="G498" s="377"/>
      <c r="H498" s="378"/>
      <c r="I498" s="285"/>
      <c r="J498" s="333"/>
      <c r="K498" s="333"/>
      <c r="L498" s="334"/>
      <c r="M498" s="432" t="s">
        <v>1001</v>
      </c>
      <c r="N498" s="433"/>
      <c r="O498" s="175" t="s">
        <v>913</v>
      </c>
      <c r="P498" s="176"/>
      <c r="Q498" s="177"/>
      <c r="R498" s="376" t="s">
        <v>6</v>
      </c>
      <c r="S498" s="378"/>
      <c r="T498" s="330">
        <v>0</v>
      </c>
      <c r="W498" s="112" t="s">
        <v>990</v>
      </c>
      <c r="X498" s="61"/>
      <c r="Y498" s="264">
        <v>100.15</v>
      </c>
      <c r="Z498" s="243">
        <f t="shared" si="54"/>
        <v>100.15</v>
      </c>
      <c r="AB498" s="196"/>
      <c r="AC498" s="199"/>
    </row>
    <row r="499" spans="1:29" ht="20.100000000000001" customHeight="1" x14ac:dyDescent="0.25">
      <c r="A499" s="36"/>
      <c r="B499" s="143">
        <f t="shared" si="52"/>
        <v>455</v>
      </c>
      <c r="C499" s="88">
        <v>410</v>
      </c>
      <c r="D499" s="110" t="str">
        <f>HYPERLINK("https://sites.wustl.edu/meteoritesite/items/lm_nwa_13225/",W499)</f>
        <v>Northwest Africa 13225</v>
      </c>
      <c r="E499" s="376" t="s">
        <v>571</v>
      </c>
      <c r="F499" s="377"/>
      <c r="G499" s="377"/>
      <c r="H499" s="378"/>
      <c r="I499" s="285"/>
      <c r="J499" s="333"/>
      <c r="K499" s="333"/>
      <c r="L499" s="334"/>
      <c r="M499" s="432" t="s">
        <v>1031</v>
      </c>
      <c r="N499" s="433"/>
      <c r="O499" s="381" t="s">
        <v>861</v>
      </c>
      <c r="P499" s="382"/>
      <c r="Q499" s="383"/>
      <c r="R499" s="376" t="s">
        <v>6</v>
      </c>
      <c r="S499" s="378"/>
      <c r="T499" s="330">
        <v>0</v>
      </c>
      <c r="W499" s="112" t="s">
        <v>991</v>
      </c>
      <c r="X499" s="61"/>
      <c r="Y499" s="264">
        <v>200.4</v>
      </c>
      <c r="Z499" s="243">
        <f t="shared" si="54"/>
        <v>200.4</v>
      </c>
      <c r="AB499" s="196"/>
      <c r="AC499" s="199"/>
    </row>
    <row r="500" spans="1:29" ht="20.100000000000001" customHeight="1" x14ac:dyDescent="0.25">
      <c r="A500" s="36"/>
      <c r="B500" s="143">
        <f>B499+1</f>
        <v>456</v>
      </c>
      <c r="C500" s="88">
        <v>411</v>
      </c>
      <c r="D500" s="110" t="str">
        <f>HYPERLINK("https://sites.wustl.edu/meteoritesite/items/lm_nwa_13256/",W500)</f>
        <v>Northwest Africa 13256</v>
      </c>
      <c r="E500" s="376" t="s">
        <v>603</v>
      </c>
      <c r="F500" s="377"/>
      <c r="G500" s="377"/>
      <c r="H500" s="378"/>
      <c r="I500" s="285"/>
      <c r="J500" s="333"/>
      <c r="K500" s="333"/>
      <c r="L500" s="334"/>
      <c r="M500" s="432" t="s">
        <v>1002</v>
      </c>
      <c r="N500" s="433"/>
      <c r="O500" s="381" t="s">
        <v>913</v>
      </c>
      <c r="P500" s="382"/>
      <c r="Q500" s="383"/>
      <c r="R500" s="376" t="s">
        <v>6</v>
      </c>
      <c r="S500" s="378"/>
      <c r="T500" s="330">
        <v>0</v>
      </c>
      <c r="W500" s="112" t="s">
        <v>993</v>
      </c>
      <c r="X500" s="61"/>
      <c r="Y500" s="263">
        <v>3000</v>
      </c>
      <c r="Z500" s="243">
        <f t="shared" si="54"/>
        <v>3000</v>
      </c>
      <c r="AB500" s="196"/>
      <c r="AC500" s="199"/>
    </row>
    <row r="501" spans="1:29" ht="20.100000000000001" customHeight="1" x14ac:dyDescent="0.25">
      <c r="A501" s="36"/>
      <c r="B501" s="143">
        <f t="shared" si="52"/>
        <v>457</v>
      </c>
      <c r="C501" s="88">
        <v>412</v>
      </c>
      <c r="D501" s="110" t="str">
        <f>HYPERLINK("https://sites.wustl.edu/meteoritesite/items/lm_nwa_13259/",W501)</f>
        <v>Northwest Africa 13259</v>
      </c>
      <c r="E501" s="376" t="s">
        <v>571</v>
      </c>
      <c r="F501" s="377"/>
      <c r="G501" s="377"/>
      <c r="H501" s="378"/>
      <c r="I501" s="285"/>
      <c r="J501" s="333"/>
      <c r="K501" s="333"/>
      <c r="L501" s="334"/>
      <c r="M501" s="463">
        <v>24.4</v>
      </c>
      <c r="N501" s="464"/>
      <c r="O501" s="381" t="s">
        <v>992</v>
      </c>
      <c r="P501" s="382"/>
      <c r="Q501" s="383"/>
      <c r="R501" s="376" t="s">
        <v>6</v>
      </c>
      <c r="S501" s="378"/>
      <c r="T501" s="330">
        <v>0</v>
      </c>
      <c r="W501" s="112" t="s">
        <v>994</v>
      </c>
      <c r="X501" s="61"/>
      <c r="Y501" s="262">
        <v>24.4</v>
      </c>
      <c r="Z501" s="243">
        <f t="shared" si="54"/>
        <v>24.4</v>
      </c>
      <c r="AB501" s="196"/>
      <c r="AC501" s="199"/>
    </row>
    <row r="502" spans="1:29" ht="20.100000000000001" customHeight="1" x14ac:dyDescent="0.25">
      <c r="A502" s="36"/>
      <c r="B502" s="143">
        <f t="shared" si="52"/>
        <v>458</v>
      </c>
      <c r="C502" s="88">
        <v>421</v>
      </c>
      <c r="D502" s="110" t="str">
        <f>HYPERLINK("https://sites.wustl.edu/meteoritesite/items/lm_nwa_13283/",W502)</f>
        <v>Northwest Africa 13283</v>
      </c>
      <c r="E502" s="376" t="s">
        <v>571</v>
      </c>
      <c r="F502" s="377"/>
      <c r="G502" s="377"/>
      <c r="H502" s="378"/>
      <c r="I502" s="285"/>
      <c r="J502" s="333"/>
      <c r="K502" s="333"/>
      <c r="L502" s="334"/>
      <c r="M502" s="463" t="s">
        <v>1612</v>
      </c>
      <c r="N502" s="464"/>
      <c r="O502" s="381" t="s">
        <v>1030</v>
      </c>
      <c r="P502" s="382"/>
      <c r="Q502" s="383"/>
      <c r="R502" s="376" t="s">
        <v>6</v>
      </c>
      <c r="S502" s="378"/>
      <c r="T502" s="330">
        <v>0</v>
      </c>
      <c r="W502" s="112" t="s">
        <v>1029</v>
      </c>
      <c r="X502" s="61"/>
      <c r="Y502" s="262">
        <v>200.6</v>
      </c>
      <c r="Z502" s="243">
        <f t="shared" si="54"/>
        <v>200.6</v>
      </c>
      <c r="AB502" s="196"/>
      <c r="AC502" s="199"/>
    </row>
    <row r="503" spans="1:29" ht="20.100000000000001" customHeight="1" x14ac:dyDescent="0.25">
      <c r="A503" s="36"/>
      <c r="B503" s="143">
        <f t="shared" si="52"/>
        <v>459</v>
      </c>
      <c r="C503" s="88">
        <v>413</v>
      </c>
      <c r="D503" s="110" t="str">
        <f>HYPERLINK("https://sites.wustl.edu/meteoritesite/items/lm_nwa_13306/",W503)</f>
        <v>Northwest Africa 13306</v>
      </c>
      <c r="E503" s="376" t="s">
        <v>603</v>
      </c>
      <c r="F503" s="377"/>
      <c r="G503" s="377"/>
      <c r="H503" s="378"/>
      <c r="I503" s="285"/>
      <c r="J503" s="333"/>
      <c r="K503" s="333"/>
      <c r="L503" s="334"/>
      <c r="M503" s="463" t="s">
        <v>1613</v>
      </c>
      <c r="N503" s="464"/>
      <c r="O503" s="381" t="s">
        <v>1005</v>
      </c>
      <c r="P503" s="382"/>
      <c r="Q503" s="383"/>
      <c r="R503" s="376" t="s">
        <v>6</v>
      </c>
      <c r="S503" s="378"/>
      <c r="T503" s="330">
        <v>0</v>
      </c>
      <c r="W503" s="112" t="s">
        <v>1004</v>
      </c>
      <c r="X503" s="61"/>
      <c r="Y503" s="262">
        <v>1560</v>
      </c>
      <c r="Z503" s="243">
        <f t="shared" si="54"/>
        <v>1560</v>
      </c>
      <c r="AB503" s="196"/>
      <c r="AC503" s="199"/>
    </row>
    <row r="504" spans="1:29" ht="20.100000000000001" customHeight="1" x14ac:dyDescent="0.25">
      <c r="A504" s="36"/>
      <c r="B504" s="143">
        <f t="shared" si="52"/>
        <v>460</v>
      </c>
      <c r="C504" s="88">
        <v>415</v>
      </c>
      <c r="D504" s="110" t="str">
        <f>HYPERLINK("https://sites.wustl.edu/meteoritesite/items/lm_nwa_13346/",W504)</f>
        <v>Northwest Africa 13346</v>
      </c>
      <c r="E504" s="376" t="s">
        <v>603</v>
      </c>
      <c r="F504" s="377"/>
      <c r="G504" s="377"/>
      <c r="H504" s="378"/>
      <c r="I504" s="285"/>
      <c r="J504" s="333"/>
      <c r="K504" s="333"/>
      <c r="L504" s="334"/>
      <c r="M504" s="463">
        <v>48.7</v>
      </c>
      <c r="N504" s="464"/>
      <c r="O504" s="381" t="s">
        <v>1012</v>
      </c>
      <c r="P504" s="382"/>
      <c r="Q504" s="383"/>
      <c r="R504" s="376" t="s">
        <v>6</v>
      </c>
      <c r="S504" s="378"/>
      <c r="T504" s="330">
        <v>0</v>
      </c>
      <c r="W504" s="112" t="s">
        <v>1011</v>
      </c>
      <c r="X504" s="61"/>
      <c r="Y504" s="262">
        <v>48.7</v>
      </c>
      <c r="Z504" s="243">
        <f t="shared" si="54"/>
        <v>48.7</v>
      </c>
      <c r="AB504" s="196"/>
      <c r="AC504" s="199"/>
    </row>
    <row r="505" spans="1:29" ht="20.100000000000001" customHeight="1" x14ac:dyDescent="0.25">
      <c r="A505" s="36"/>
      <c r="B505" s="143">
        <f t="shared" si="52"/>
        <v>461</v>
      </c>
      <c r="C505" s="88">
        <v>420</v>
      </c>
      <c r="D505" s="110" t="str">
        <f>HYPERLINK("https://sites.wustl.edu/meteoritesite/items/lm_nwa_08046/",W505)</f>
        <v>Northwest Africa 13390</v>
      </c>
      <c r="E505" s="376" t="s">
        <v>571</v>
      </c>
      <c r="F505" s="377"/>
      <c r="G505" s="377"/>
      <c r="H505" s="378"/>
      <c r="I505" s="285"/>
      <c r="J505" s="333"/>
      <c r="K505" s="333"/>
      <c r="L505" s="334"/>
      <c r="M505" s="402">
        <v>113</v>
      </c>
      <c r="N505" s="403"/>
      <c r="O505" s="381" t="s">
        <v>1026</v>
      </c>
      <c r="P505" s="382"/>
      <c r="Q505" s="383"/>
      <c r="R505" s="376" t="s">
        <v>6</v>
      </c>
      <c r="S505" s="378"/>
      <c r="T505" s="330">
        <v>0</v>
      </c>
      <c r="W505" s="112" t="s">
        <v>1025</v>
      </c>
      <c r="X505" s="61"/>
      <c r="Y505" s="263">
        <v>113</v>
      </c>
      <c r="Z505" s="243">
        <f t="shared" si="54"/>
        <v>113</v>
      </c>
      <c r="AB505" s="196"/>
      <c r="AC505" s="199"/>
    </row>
    <row r="506" spans="1:29" ht="20.100000000000001" customHeight="1" x14ac:dyDescent="0.25">
      <c r="A506" s="36"/>
      <c r="B506" s="143">
        <f t="shared" si="52"/>
        <v>462</v>
      </c>
      <c r="C506" s="88">
        <v>417</v>
      </c>
      <c r="D506" s="110" t="str">
        <f>HYPERLINK("https://sites.wustl.edu/meteoritesite/items/lm_nwa_13408/",W506)</f>
        <v>Northwest Africa 13408</v>
      </c>
      <c r="E506" s="376" t="s">
        <v>571</v>
      </c>
      <c r="F506" s="377"/>
      <c r="G506" s="377"/>
      <c r="H506" s="378"/>
      <c r="I506" s="285"/>
      <c r="J506" s="333"/>
      <c r="K506" s="333"/>
      <c r="L506" s="334"/>
      <c r="M506" s="463" t="s">
        <v>1020</v>
      </c>
      <c r="N506" s="464"/>
      <c r="O506" s="381" t="s">
        <v>757</v>
      </c>
      <c r="P506" s="382"/>
      <c r="Q506" s="383"/>
      <c r="R506" s="376" t="s">
        <v>6</v>
      </c>
      <c r="S506" s="378"/>
      <c r="T506" s="330">
        <v>0</v>
      </c>
      <c r="W506" s="112" t="s">
        <v>1016</v>
      </c>
      <c r="X506" s="61"/>
      <c r="Y506" s="263">
        <v>2000</v>
      </c>
      <c r="Z506" s="243">
        <f t="shared" si="54"/>
        <v>2000</v>
      </c>
      <c r="AB506" s="196"/>
      <c r="AC506" s="199"/>
    </row>
    <row r="507" spans="1:29" ht="20.100000000000001" customHeight="1" x14ac:dyDescent="0.25">
      <c r="A507" s="36"/>
      <c r="B507" s="143">
        <f t="shared" si="52"/>
        <v>463</v>
      </c>
      <c r="C507" s="88">
        <v>418</v>
      </c>
      <c r="D507" s="110" t="str">
        <f>HYPERLINK("https://sites.wustl.edu/meteoritesite/items/lm_nwa_08046_clan/",W507)</f>
        <v>Northwest Africa 13426</v>
      </c>
      <c r="E507" s="376" t="s">
        <v>571</v>
      </c>
      <c r="F507" s="377"/>
      <c r="G507" s="377"/>
      <c r="H507" s="378"/>
      <c r="I507" s="285"/>
      <c r="J507" s="333"/>
      <c r="K507" s="333"/>
      <c r="L507" s="334"/>
      <c r="M507" s="463" t="s">
        <v>1019</v>
      </c>
      <c r="N507" s="464"/>
      <c r="O507" s="381" t="s">
        <v>1018</v>
      </c>
      <c r="P507" s="382"/>
      <c r="Q507" s="383"/>
      <c r="R507" s="376" t="s">
        <v>6</v>
      </c>
      <c r="S507" s="378"/>
      <c r="T507" s="330">
        <v>0</v>
      </c>
      <c r="W507" s="112" t="s">
        <v>1017</v>
      </c>
      <c r="X507" s="61"/>
      <c r="Y507" s="262">
        <v>137.30000000000001</v>
      </c>
      <c r="Z507" s="243">
        <f t="shared" si="54"/>
        <v>137.30000000000001</v>
      </c>
      <c r="AB507" s="196"/>
      <c r="AC507" s="199"/>
    </row>
    <row r="508" spans="1:29" ht="20.100000000000001" customHeight="1" x14ac:dyDescent="0.25">
      <c r="A508" s="36"/>
      <c r="B508" s="143">
        <f t="shared" si="52"/>
        <v>464</v>
      </c>
      <c r="C508" s="88">
        <v>422</v>
      </c>
      <c r="D508" s="110" t="str">
        <f>HYPERLINK("https://sites.wustl.edu/meteoritesite/items/lm_nwa_13450/",W508)</f>
        <v>Northwest Africa 13450</v>
      </c>
      <c r="E508" s="376" t="s">
        <v>603</v>
      </c>
      <c r="F508" s="377"/>
      <c r="G508" s="377"/>
      <c r="H508" s="378"/>
      <c r="I508" s="285"/>
      <c r="J508" s="333"/>
      <c r="K508" s="333"/>
      <c r="L508" s="334"/>
      <c r="M508" s="402">
        <v>629</v>
      </c>
      <c r="N508" s="403"/>
      <c r="O508" s="381" t="s">
        <v>1033</v>
      </c>
      <c r="P508" s="382"/>
      <c r="Q508" s="383"/>
      <c r="R508" s="376" t="s">
        <v>6</v>
      </c>
      <c r="S508" s="378"/>
      <c r="T508" s="330">
        <v>0</v>
      </c>
      <c r="W508" s="112" t="s">
        <v>1032</v>
      </c>
      <c r="X508" s="61"/>
      <c r="Y508" s="263">
        <v>629</v>
      </c>
      <c r="Z508" s="243">
        <f t="shared" si="54"/>
        <v>629</v>
      </c>
      <c r="AB508" s="196"/>
      <c r="AC508" s="199"/>
    </row>
    <row r="509" spans="1:29" ht="20.100000000000001" customHeight="1" x14ac:dyDescent="0.25">
      <c r="A509" s="36"/>
      <c r="B509" s="143">
        <f t="shared" si="52"/>
        <v>465</v>
      </c>
      <c r="C509" s="88">
        <v>424</v>
      </c>
      <c r="D509" s="110" t="str">
        <f>HYPERLINK("https://sites.wustl.edu/meteoritesite/items/lm_nwa_13478/",W509)</f>
        <v>Northwest Africa 13478</v>
      </c>
      <c r="E509" s="376" t="s">
        <v>603</v>
      </c>
      <c r="F509" s="377"/>
      <c r="G509" s="377"/>
      <c r="H509" s="378"/>
      <c r="I509" s="285"/>
      <c r="J509" s="333"/>
      <c r="K509" s="333"/>
      <c r="L509" s="334"/>
      <c r="M509" s="402">
        <v>59</v>
      </c>
      <c r="N509" s="403"/>
      <c r="O509" s="381" t="s">
        <v>1037</v>
      </c>
      <c r="P509" s="382"/>
      <c r="Q509" s="383"/>
      <c r="R509" s="376" t="s">
        <v>6</v>
      </c>
      <c r="S509" s="378"/>
      <c r="T509" s="330">
        <v>0</v>
      </c>
      <c r="W509" s="112" t="s">
        <v>1038</v>
      </c>
      <c r="X509" s="61"/>
      <c r="Y509" s="263">
        <v>59</v>
      </c>
      <c r="Z509" s="243">
        <f t="shared" si="54"/>
        <v>59</v>
      </c>
      <c r="AB509" s="196"/>
      <c r="AC509" s="199"/>
    </row>
    <row r="510" spans="1:29" ht="20.100000000000001" customHeight="1" x14ac:dyDescent="0.25">
      <c r="A510" s="36"/>
      <c r="B510" s="143">
        <f>B509+1</f>
        <v>466</v>
      </c>
      <c r="C510" s="88">
        <v>425</v>
      </c>
      <c r="D510" s="110" t="str">
        <f>HYPERLINK("https://sites.wustl.edu/meteoritesite/items/lm_nwa_13484/",W510)</f>
        <v>Northwest Africa 13484</v>
      </c>
      <c r="E510" s="376" t="s">
        <v>571</v>
      </c>
      <c r="F510" s="377"/>
      <c r="G510" s="377"/>
      <c r="H510" s="378"/>
      <c r="I510" s="285"/>
      <c r="J510" s="333"/>
      <c r="K510" s="333"/>
      <c r="L510" s="334"/>
      <c r="M510" s="402" t="s">
        <v>1042</v>
      </c>
      <c r="N510" s="403"/>
      <c r="O510" s="381" t="s">
        <v>1037</v>
      </c>
      <c r="P510" s="382"/>
      <c r="Q510" s="383"/>
      <c r="R510" s="376" t="s">
        <v>6</v>
      </c>
      <c r="S510" s="378"/>
      <c r="T510" s="330">
        <v>0</v>
      </c>
      <c r="W510" s="112" t="s">
        <v>1041</v>
      </c>
      <c r="X510" s="61"/>
      <c r="Y510" s="263">
        <v>240</v>
      </c>
      <c r="Z510" s="243">
        <f t="shared" si="54"/>
        <v>240</v>
      </c>
      <c r="AB510" s="196"/>
      <c r="AC510" s="199"/>
    </row>
    <row r="511" spans="1:29" ht="20.100000000000001" customHeight="1" x14ac:dyDescent="0.25">
      <c r="A511" s="36"/>
      <c r="B511" s="143">
        <f t="shared" si="52"/>
        <v>467</v>
      </c>
      <c r="C511" s="88">
        <v>426</v>
      </c>
      <c r="D511" s="110" t="str">
        <f>HYPERLINK("https://sites.wustl.edu/meteoritesite/items/lm_nwa_13531/",W511)</f>
        <v>Northwest Africa 13531</v>
      </c>
      <c r="E511" s="376" t="s">
        <v>603</v>
      </c>
      <c r="F511" s="377"/>
      <c r="G511" s="377"/>
      <c r="H511" s="378"/>
      <c r="I511" s="285"/>
      <c r="J511" s="333"/>
      <c r="K511" s="333"/>
      <c r="L511" s="334"/>
      <c r="M511" s="463">
        <v>22.9</v>
      </c>
      <c r="N511" s="464"/>
      <c r="O511" s="381" t="s">
        <v>899</v>
      </c>
      <c r="P511" s="382"/>
      <c r="Q511" s="383"/>
      <c r="R511" s="376" t="s">
        <v>6</v>
      </c>
      <c r="S511" s="378"/>
      <c r="T511" s="330">
        <v>0</v>
      </c>
      <c r="W511" s="112" t="s">
        <v>1043</v>
      </c>
      <c r="X511" s="61"/>
      <c r="Y511" s="262">
        <v>22.9</v>
      </c>
      <c r="Z511" s="243">
        <f t="shared" si="54"/>
        <v>22.9</v>
      </c>
      <c r="AB511" s="196"/>
      <c r="AC511" s="199"/>
    </row>
    <row r="512" spans="1:29" ht="20.100000000000001" customHeight="1" x14ac:dyDescent="0.25">
      <c r="A512" s="36"/>
      <c r="B512" s="143">
        <f t="shared" si="52"/>
        <v>468</v>
      </c>
      <c r="C512" s="88">
        <v>432</v>
      </c>
      <c r="D512" s="110" t="str">
        <f>HYPERLINK("https://sites.wustl.edu/meteoritesite/items/lm_nwa_08046_clan/",W512)</f>
        <v>Northwest Africa 13546</v>
      </c>
      <c r="E512" s="376" t="s">
        <v>571</v>
      </c>
      <c r="F512" s="377"/>
      <c r="G512" s="377"/>
      <c r="H512" s="378"/>
      <c r="I512" s="285"/>
      <c r="J512" s="333"/>
      <c r="K512" s="333"/>
      <c r="L512" s="334"/>
      <c r="M512" s="402" t="s">
        <v>1061</v>
      </c>
      <c r="N512" s="403"/>
      <c r="O512" s="381" t="s">
        <v>1051</v>
      </c>
      <c r="P512" s="382"/>
      <c r="Q512" s="383"/>
      <c r="R512" s="376" t="s">
        <v>6</v>
      </c>
      <c r="S512" s="378"/>
      <c r="T512" s="330">
        <v>0</v>
      </c>
      <c r="W512" s="112" t="s">
        <v>1059</v>
      </c>
      <c r="X512" s="61"/>
      <c r="Y512" s="263">
        <v>2300</v>
      </c>
      <c r="Z512" s="243">
        <f t="shared" si="54"/>
        <v>2300</v>
      </c>
      <c r="AB512" s="196"/>
      <c r="AC512" s="199"/>
    </row>
    <row r="513" spans="1:29" ht="36" customHeight="1" x14ac:dyDescent="0.25">
      <c r="A513" s="36"/>
      <c r="B513" s="125" t="s">
        <v>402</v>
      </c>
      <c r="C513" s="30" t="s">
        <v>1034</v>
      </c>
      <c r="D513" s="33" t="s">
        <v>915</v>
      </c>
      <c r="E513" s="420" t="s">
        <v>916</v>
      </c>
      <c r="F513" s="421"/>
      <c r="G513" s="421"/>
      <c r="H513" s="422"/>
      <c r="I513" s="423" t="s">
        <v>917</v>
      </c>
      <c r="J513" s="424"/>
      <c r="K513" s="424"/>
      <c r="L513" s="425"/>
      <c r="M513" s="430" t="s">
        <v>918</v>
      </c>
      <c r="N513" s="431"/>
      <c r="O513" s="426" t="s">
        <v>919</v>
      </c>
      <c r="P513" s="427"/>
      <c r="Q513" s="428"/>
      <c r="R513" s="423" t="s">
        <v>920</v>
      </c>
      <c r="S513" s="425"/>
      <c r="T513" s="5" t="s">
        <v>5</v>
      </c>
      <c r="Y513" s="243"/>
      <c r="AB513" s="196"/>
      <c r="AC513" s="199"/>
    </row>
    <row r="514" spans="1:29" ht="20.100000000000001" customHeight="1" x14ac:dyDescent="0.25">
      <c r="A514" s="36"/>
      <c r="B514" s="143">
        <f>B512+1</f>
        <v>469</v>
      </c>
      <c r="C514" s="88">
        <v>429</v>
      </c>
      <c r="D514" s="110" t="str">
        <f>HYPERLINK("https://sites.wustl.edu/meteoritesite/items/lm_nwa_13568/",W514)</f>
        <v>Northwest Africa 13568</v>
      </c>
      <c r="E514" s="376" t="s">
        <v>571</v>
      </c>
      <c r="F514" s="377"/>
      <c r="G514" s="377"/>
      <c r="H514" s="378"/>
      <c r="I514" s="285"/>
      <c r="J514" s="333"/>
      <c r="K514" s="333"/>
      <c r="L514" s="334"/>
      <c r="M514" s="402" t="s">
        <v>1050</v>
      </c>
      <c r="N514" s="403"/>
      <c r="O514" s="381" t="s">
        <v>1051</v>
      </c>
      <c r="P514" s="382"/>
      <c r="Q514" s="383"/>
      <c r="R514" s="376" t="s">
        <v>6</v>
      </c>
      <c r="S514" s="378"/>
      <c r="T514" s="330">
        <v>0</v>
      </c>
      <c r="W514" s="112" t="s">
        <v>1048</v>
      </c>
      <c r="X514" s="61"/>
      <c r="Y514" s="263">
        <v>825</v>
      </c>
      <c r="Z514" s="243">
        <f t="shared" ref="Z514:Z577" si="55">Y514</f>
        <v>825</v>
      </c>
      <c r="AB514" s="196"/>
      <c r="AC514" s="199"/>
    </row>
    <row r="515" spans="1:29" ht="20.100000000000001" customHeight="1" x14ac:dyDescent="0.25">
      <c r="A515" s="36"/>
      <c r="B515" s="143">
        <f t="shared" si="52"/>
        <v>470</v>
      </c>
      <c r="C515" s="88">
        <v>427</v>
      </c>
      <c r="D515" s="110" t="str">
        <f>HYPERLINK("https://sites.wustl.edu/meteoritesite/items/lm_nwa_13582/",W515)</f>
        <v>Northwest Africa 13582</v>
      </c>
      <c r="E515" s="376" t="s">
        <v>571</v>
      </c>
      <c r="F515" s="377"/>
      <c r="G515" s="377"/>
      <c r="H515" s="378"/>
      <c r="I515" s="285"/>
      <c r="J515" s="333"/>
      <c r="K515" s="333"/>
      <c r="L515" s="334"/>
      <c r="M515" s="402">
        <v>11280</v>
      </c>
      <c r="N515" s="403"/>
      <c r="O515" s="381" t="s">
        <v>914</v>
      </c>
      <c r="P515" s="382"/>
      <c r="Q515" s="383"/>
      <c r="R515" s="376" t="s">
        <v>6</v>
      </c>
      <c r="S515" s="378"/>
      <c r="T515" s="330">
        <v>0</v>
      </c>
      <c r="W515" s="112" t="s">
        <v>1044</v>
      </c>
      <c r="X515" s="61"/>
      <c r="Y515" s="263">
        <v>11280</v>
      </c>
      <c r="Z515" s="243">
        <f t="shared" si="55"/>
        <v>11280</v>
      </c>
      <c r="AB515" s="196"/>
      <c r="AC515" s="199"/>
    </row>
    <row r="516" spans="1:29" ht="20.100000000000001" customHeight="1" x14ac:dyDescent="0.25">
      <c r="A516" s="36"/>
      <c r="B516" s="143">
        <f t="shared" si="52"/>
        <v>471</v>
      </c>
      <c r="C516" s="88">
        <v>430</v>
      </c>
      <c r="D516" s="110" t="str">
        <f>HYPERLINK("https://sites.wustl.edu/meteoritesite/items/lm_tisserlitine_001/",W516)</f>
        <v>Northwest Africa 13621</v>
      </c>
      <c r="E516" s="376" t="s">
        <v>1007</v>
      </c>
      <c r="F516" s="377"/>
      <c r="G516" s="377"/>
      <c r="H516" s="378"/>
      <c r="I516" s="285"/>
      <c r="J516" s="333"/>
      <c r="K516" s="333"/>
      <c r="L516" s="334"/>
      <c r="M516" s="402" t="s">
        <v>1054</v>
      </c>
      <c r="N516" s="403"/>
      <c r="O516" s="381" t="s">
        <v>1055</v>
      </c>
      <c r="P516" s="382"/>
      <c r="Q516" s="383"/>
      <c r="R516" s="376" t="s">
        <v>6</v>
      </c>
      <c r="S516" s="378"/>
      <c r="T516" s="330">
        <v>0</v>
      </c>
      <c r="W516" s="112" t="s">
        <v>1049</v>
      </c>
      <c r="X516" s="61"/>
      <c r="Y516" s="263">
        <v>1608</v>
      </c>
      <c r="Z516" s="243">
        <f t="shared" si="55"/>
        <v>1608</v>
      </c>
      <c r="AB516" s="196"/>
      <c r="AC516" s="199"/>
    </row>
    <row r="517" spans="1:29" ht="20.100000000000001" customHeight="1" x14ac:dyDescent="0.25">
      <c r="A517" s="36"/>
      <c r="B517" s="143">
        <f t="shared" si="52"/>
        <v>472</v>
      </c>
      <c r="C517" s="88">
        <v>433</v>
      </c>
      <c r="D517" s="110" t="str">
        <f>HYPERLINK("https://sites.wustl.edu/meteoritesite/items/lm_nwa_13625/",W517)</f>
        <v>Northwest Africa 13625</v>
      </c>
      <c r="E517" s="376" t="s">
        <v>603</v>
      </c>
      <c r="F517" s="377"/>
      <c r="G517" s="377"/>
      <c r="H517" s="378"/>
      <c r="I517" s="285"/>
      <c r="J517" s="333"/>
      <c r="K517" s="333"/>
      <c r="L517" s="334"/>
      <c r="M517" s="402">
        <v>54</v>
      </c>
      <c r="N517" s="403"/>
      <c r="O517" s="381" t="s">
        <v>1066</v>
      </c>
      <c r="P517" s="382"/>
      <c r="Q517" s="383"/>
      <c r="R517" s="376" t="s">
        <v>6</v>
      </c>
      <c r="S517" s="378"/>
      <c r="T517" s="330">
        <v>0</v>
      </c>
      <c r="W517" s="112" t="s">
        <v>1060</v>
      </c>
      <c r="X517" s="61"/>
      <c r="Y517" s="263">
        <v>54</v>
      </c>
      <c r="Z517" s="243">
        <f t="shared" si="55"/>
        <v>54</v>
      </c>
      <c r="AB517" s="196"/>
      <c r="AC517" s="199"/>
    </row>
    <row r="518" spans="1:29" ht="20.100000000000001" customHeight="1" x14ac:dyDescent="0.25">
      <c r="A518" s="36"/>
      <c r="B518" s="143">
        <f t="shared" si="52"/>
        <v>473</v>
      </c>
      <c r="C518" s="88">
        <v>434</v>
      </c>
      <c r="D518" s="110" t="str">
        <f>HYPERLINK("https://sites.wustl.edu/meteoritesite/items/lm_nwa_13637/",W518)</f>
        <v>Northwest Africa 13637</v>
      </c>
      <c r="E518" s="376" t="s">
        <v>603</v>
      </c>
      <c r="F518" s="377"/>
      <c r="G518" s="377"/>
      <c r="H518" s="378"/>
      <c r="I518" s="285"/>
      <c r="J518" s="333"/>
      <c r="K518" s="333"/>
      <c r="L518" s="334"/>
      <c r="M518" s="463">
        <v>8.6</v>
      </c>
      <c r="N518" s="464"/>
      <c r="O518" s="381" t="s">
        <v>1067</v>
      </c>
      <c r="P518" s="382"/>
      <c r="Q518" s="383"/>
      <c r="R518" s="376" t="s">
        <v>6</v>
      </c>
      <c r="S518" s="378"/>
      <c r="T518" s="330">
        <v>0</v>
      </c>
      <c r="W518" s="112" t="s">
        <v>1064</v>
      </c>
      <c r="X518" s="61"/>
      <c r="Y518" s="263">
        <v>8.6</v>
      </c>
      <c r="Z518" s="243">
        <f t="shared" si="55"/>
        <v>8.6</v>
      </c>
      <c r="AB518" s="196"/>
      <c r="AC518" s="199"/>
    </row>
    <row r="519" spans="1:29" ht="20.100000000000001" customHeight="1" x14ac:dyDescent="0.25">
      <c r="A519" s="36"/>
      <c r="B519" s="143">
        <f t="shared" si="52"/>
        <v>474</v>
      </c>
      <c r="C519" s="88">
        <v>435</v>
      </c>
      <c r="D519" s="110" t="str">
        <f>HYPERLINK("https://sites.wustl.edu/meteoritesite/items/lm_nwa_13638/",W519)</f>
        <v>Northwest Africa 13638</v>
      </c>
      <c r="E519" s="376" t="s">
        <v>603</v>
      </c>
      <c r="F519" s="377"/>
      <c r="G519" s="377"/>
      <c r="H519" s="378"/>
      <c r="I519" s="285"/>
      <c r="J519" s="333"/>
      <c r="K519" s="333"/>
      <c r="L519" s="334"/>
      <c r="M519" s="402">
        <v>512</v>
      </c>
      <c r="N519" s="403"/>
      <c r="O519" s="381" t="s">
        <v>1051</v>
      </c>
      <c r="P519" s="382"/>
      <c r="Q519" s="383"/>
      <c r="R519" s="376" t="s">
        <v>6</v>
      </c>
      <c r="S519" s="378"/>
      <c r="T519" s="330">
        <v>0</v>
      </c>
      <c r="W519" s="112" t="s">
        <v>1065</v>
      </c>
      <c r="X519" s="61"/>
      <c r="Y519" s="263">
        <v>512</v>
      </c>
      <c r="Z519" s="243">
        <f t="shared" si="55"/>
        <v>512</v>
      </c>
      <c r="AB519" s="196"/>
      <c r="AC519" s="199"/>
    </row>
    <row r="520" spans="1:29" ht="20.100000000000001" customHeight="1" x14ac:dyDescent="0.25">
      <c r="A520" s="36"/>
      <c r="B520" s="143">
        <f t="shared" si="52"/>
        <v>475</v>
      </c>
      <c r="C520" s="88">
        <v>443</v>
      </c>
      <c r="D520" s="110" t="str">
        <f>HYPERLINK("https://sites.wustl.edu/meteoritesite/items/lm_nwa_13676/",W520)</f>
        <v>Northwest Africa 13676</v>
      </c>
      <c r="E520" s="376" t="s">
        <v>1382</v>
      </c>
      <c r="F520" s="377"/>
      <c r="G520" s="377"/>
      <c r="H520" s="378"/>
      <c r="I520" s="285"/>
      <c r="J520" s="333"/>
      <c r="K520" s="333"/>
      <c r="L520" s="334"/>
      <c r="M520" s="402">
        <v>698</v>
      </c>
      <c r="N520" s="403"/>
      <c r="O520" s="381" t="s">
        <v>1077</v>
      </c>
      <c r="P520" s="382"/>
      <c r="Q520" s="383"/>
      <c r="R520" s="376" t="s">
        <v>6</v>
      </c>
      <c r="S520" s="378"/>
      <c r="T520" s="330">
        <v>0</v>
      </c>
      <c r="W520" s="112" t="s">
        <v>1079</v>
      </c>
      <c r="X520" s="61"/>
      <c r="Y520" s="263">
        <v>698</v>
      </c>
      <c r="Z520" s="243">
        <f t="shared" si="55"/>
        <v>698</v>
      </c>
      <c r="AB520" s="196"/>
      <c r="AC520" s="199"/>
    </row>
    <row r="521" spans="1:29" ht="20.100000000000001" customHeight="1" x14ac:dyDescent="0.25">
      <c r="A521" s="36"/>
      <c r="B521" s="143">
        <f t="shared" si="52"/>
        <v>476</v>
      </c>
      <c r="C521" s="88">
        <v>437</v>
      </c>
      <c r="D521" s="110" t="str">
        <f>HYPERLINK("https://sites.wustl.edu/meteoritesite/items/lm_nwa_13714/",W521)</f>
        <v>Northwest Africa 13714</v>
      </c>
      <c r="E521" s="376" t="s">
        <v>603</v>
      </c>
      <c r="F521" s="377"/>
      <c r="G521" s="377"/>
      <c r="H521" s="378"/>
      <c r="I521" s="285"/>
      <c r="J521" s="333"/>
      <c r="K521" s="333"/>
      <c r="L521" s="334"/>
      <c r="M521" s="463">
        <v>39.200000000000003</v>
      </c>
      <c r="N521" s="464"/>
      <c r="O521" s="381" t="s">
        <v>1066</v>
      </c>
      <c r="P521" s="382"/>
      <c r="Q521" s="383"/>
      <c r="R521" s="376" t="s">
        <v>6</v>
      </c>
      <c r="S521" s="378"/>
      <c r="T521" s="330">
        <v>0</v>
      </c>
      <c r="W521" s="112" t="s">
        <v>1068</v>
      </c>
      <c r="X521" s="61"/>
      <c r="Y521" s="262">
        <v>39.200000000000003</v>
      </c>
      <c r="Z521" s="243">
        <f t="shared" si="55"/>
        <v>39.200000000000003</v>
      </c>
      <c r="AB521" s="196"/>
      <c r="AC521" s="199"/>
    </row>
    <row r="522" spans="1:29" ht="20.100000000000001" customHeight="1" x14ac:dyDescent="0.25">
      <c r="A522" s="36"/>
      <c r="B522" s="143">
        <f t="shared" si="52"/>
        <v>477</v>
      </c>
      <c r="C522" s="88">
        <v>438</v>
      </c>
      <c r="D522" s="110" t="str">
        <f>HYPERLINK("https://sites.wustl.edu/meteoritesite/items/lm_nwa_13715/",W522)</f>
        <v>Northwest Africa 13715</v>
      </c>
      <c r="E522" s="376" t="s">
        <v>571</v>
      </c>
      <c r="F522" s="377"/>
      <c r="G522" s="377"/>
      <c r="H522" s="378"/>
      <c r="I522" s="285"/>
      <c r="J522" s="333"/>
      <c r="K522" s="333"/>
      <c r="L522" s="334"/>
      <c r="M522" s="402" t="s">
        <v>1070</v>
      </c>
      <c r="N522" s="403"/>
      <c r="O522" s="381" t="s">
        <v>1066</v>
      </c>
      <c r="P522" s="382"/>
      <c r="Q522" s="383"/>
      <c r="R522" s="376" t="s">
        <v>6</v>
      </c>
      <c r="S522" s="378"/>
      <c r="T522" s="330">
        <v>0</v>
      </c>
      <c r="W522" s="112" t="s">
        <v>1069</v>
      </c>
      <c r="X522" s="61"/>
      <c r="Y522" s="262">
        <v>176.6</v>
      </c>
      <c r="Z522" s="243">
        <f t="shared" si="55"/>
        <v>176.6</v>
      </c>
      <c r="AB522" s="196"/>
      <c r="AC522" s="199"/>
    </row>
    <row r="523" spans="1:29" ht="20.100000000000001" customHeight="1" x14ac:dyDescent="0.25">
      <c r="A523" s="36"/>
      <c r="B523" s="143">
        <f t="shared" si="52"/>
        <v>478</v>
      </c>
      <c r="C523" s="88">
        <v>439</v>
      </c>
      <c r="D523" s="110" t="str">
        <f>HYPERLINK("https://sites.wustl.edu/meteoritesite/items/lm_nwa_13717/",W523)</f>
        <v>Northwest Africa 13717</v>
      </c>
      <c r="E523" s="376" t="s">
        <v>603</v>
      </c>
      <c r="F523" s="377"/>
      <c r="G523" s="377"/>
      <c r="H523" s="378"/>
      <c r="I523" s="285"/>
      <c r="J523" s="333"/>
      <c r="K523" s="333"/>
      <c r="L523" s="334"/>
      <c r="M523" s="463">
        <v>24.2</v>
      </c>
      <c r="N523" s="464"/>
      <c r="O523" s="381" t="s">
        <v>1066</v>
      </c>
      <c r="P523" s="382"/>
      <c r="Q523" s="383"/>
      <c r="R523" s="376" t="s">
        <v>6</v>
      </c>
      <c r="S523" s="378"/>
      <c r="T523" s="330">
        <v>0</v>
      </c>
      <c r="W523" s="112" t="s">
        <v>1078</v>
      </c>
      <c r="X523" s="61"/>
      <c r="Y523" s="262">
        <v>24.2</v>
      </c>
      <c r="Z523" s="243">
        <f t="shared" si="55"/>
        <v>24.2</v>
      </c>
      <c r="AB523" s="196"/>
      <c r="AC523" s="199"/>
    </row>
    <row r="524" spans="1:29" ht="20.100000000000001" customHeight="1" x14ac:dyDescent="0.25">
      <c r="A524" s="36"/>
      <c r="B524" s="143">
        <f t="shared" si="52"/>
        <v>479</v>
      </c>
      <c r="C524" s="88">
        <v>440</v>
      </c>
      <c r="D524" s="110" t="str">
        <f>HYPERLINK("https://sites.wustl.edu/meteoritesite/items/lm_nwa_08046/",W524)</f>
        <v>Northwest Africa 13739</v>
      </c>
      <c r="E524" s="376" t="s">
        <v>571</v>
      </c>
      <c r="F524" s="377"/>
      <c r="G524" s="377"/>
      <c r="H524" s="378"/>
      <c r="I524" s="285"/>
      <c r="J524" s="333"/>
      <c r="K524" s="333"/>
      <c r="L524" s="334"/>
      <c r="M524" s="402">
        <v>712</v>
      </c>
      <c r="N524" s="403"/>
      <c r="O524" s="381" t="s">
        <v>1075</v>
      </c>
      <c r="P524" s="382"/>
      <c r="Q524" s="383"/>
      <c r="R524" s="376" t="s">
        <v>6</v>
      </c>
      <c r="S524" s="378"/>
      <c r="T524" s="330">
        <v>0</v>
      </c>
      <c r="W524" s="112" t="s">
        <v>1072</v>
      </c>
      <c r="X524" s="61"/>
      <c r="Y524" s="263">
        <v>712</v>
      </c>
      <c r="Z524" s="243">
        <f t="shared" si="55"/>
        <v>712</v>
      </c>
      <c r="AB524" s="196"/>
      <c r="AC524" s="199"/>
    </row>
    <row r="525" spans="1:29" ht="20.100000000000001" customHeight="1" x14ac:dyDescent="0.25">
      <c r="A525" s="36"/>
      <c r="B525" s="143">
        <f t="shared" si="52"/>
        <v>480</v>
      </c>
      <c r="C525" s="88">
        <v>445</v>
      </c>
      <c r="D525" s="110" t="str">
        <f>HYPERLINK("https://sites.wustl.edu/meteoritesite/items/lm_nwa_13676/",W525)</f>
        <v>Northwest Africa 13757</v>
      </c>
      <c r="E525" s="376" t="s">
        <v>1383</v>
      </c>
      <c r="F525" s="377"/>
      <c r="G525" s="377"/>
      <c r="H525" s="378"/>
      <c r="I525" s="285"/>
      <c r="J525" s="333"/>
      <c r="K525" s="333"/>
      <c r="L525" s="334"/>
      <c r="M525" s="402" t="s">
        <v>1084</v>
      </c>
      <c r="N525" s="403"/>
      <c r="O525" s="381" t="s">
        <v>1077</v>
      </c>
      <c r="P525" s="382"/>
      <c r="Q525" s="383"/>
      <c r="R525" s="376" t="s">
        <v>6</v>
      </c>
      <c r="S525" s="378"/>
      <c r="T525" s="330">
        <v>0</v>
      </c>
      <c r="W525" s="112" t="s">
        <v>1081</v>
      </c>
      <c r="X525" s="61"/>
      <c r="Y525" s="263">
        <v>16974</v>
      </c>
      <c r="Z525" s="243">
        <f t="shared" si="55"/>
        <v>16974</v>
      </c>
      <c r="AB525" s="196"/>
      <c r="AC525" s="199"/>
    </row>
    <row r="526" spans="1:29" ht="20.100000000000001" customHeight="1" x14ac:dyDescent="0.25">
      <c r="A526" s="36"/>
      <c r="B526" s="143">
        <f t="shared" ref="B526:B537" si="56">B525+1</f>
        <v>481</v>
      </c>
      <c r="C526" s="88">
        <v>444</v>
      </c>
      <c r="D526" s="110" t="str">
        <f>HYPERLINK("https://sites.wustl.edu/meteoritesite/items/lm_nwa_13779/",W526)</f>
        <v>Northwest Africa 13779</v>
      </c>
      <c r="E526" s="376" t="s">
        <v>603</v>
      </c>
      <c r="F526" s="377"/>
      <c r="G526" s="377"/>
      <c r="H526" s="378"/>
      <c r="I526" s="285"/>
      <c r="J526" s="333"/>
      <c r="K526" s="333"/>
      <c r="L526" s="334"/>
      <c r="M526" s="402">
        <v>80</v>
      </c>
      <c r="N526" s="403"/>
      <c r="O526" s="381" t="s">
        <v>1051</v>
      </c>
      <c r="P526" s="382"/>
      <c r="Q526" s="383"/>
      <c r="R526" s="376" t="s">
        <v>6</v>
      </c>
      <c r="S526" s="378"/>
      <c r="T526" s="330">
        <v>0</v>
      </c>
      <c r="W526" s="112" t="s">
        <v>1080</v>
      </c>
      <c r="X526" s="61"/>
      <c r="Y526" s="263">
        <v>80</v>
      </c>
      <c r="Z526" s="243">
        <f t="shared" si="55"/>
        <v>80</v>
      </c>
      <c r="AB526" s="196"/>
      <c r="AC526" s="199"/>
    </row>
    <row r="527" spans="1:29" ht="20.100000000000001" customHeight="1" x14ac:dyDescent="0.25">
      <c r="A527" s="36"/>
      <c r="B527" s="143">
        <f t="shared" si="56"/>
        <v>482</v>
      </c>
      <c r="C527" s="88">
        <v>441</v>
      </c>
      <c r="D527" s="110" t="str">
        <f>HYPERLINK("https://sites.wustl.edu/meteoritesite/items/lm_nwa_13785/",W527)</f>
        <v>Northwest Africa 13785</v>
      </c>
      <c r="E527" s="376" t="s">
        <v>1071</v>
      </c>
      <c r="F527" s="377"/>
      <c r="G527" s="377"/>
      <c r="H527" s="378"/>
      <c r="I527" s="285"/>
      <c r="J527" s="333"/>
      <c r="K527" s="333"/>
      <c r="L527" s="334"/>
      <c r="M527" s="402">
        <v>35</v>
      </c>
      <c r="N527" s="403"/>
      <c r="O527" s="381" t="s">
        <v>1076</v>
      </c>
      <c r="P527" s="382"/>
      <c r="Q527" s="383"/>
      <c r="R527" s="376" t="s">
        <v>6</v>
      </c>
      <c r="S527" s="378"/>
      <c r="T527" s="330">
        <v>0</v>
      </c>
      <c r="W527" s="112" t="s">
        <v>1073</v>
      </c>
      <c r="X527" s="61"/>
      <c r="Y527" s="263">
        <v>35</v>
      </c>
      <c r="Z527" s="243">
        <f t="shared" si="55"/>
        <v>35</v>
      </c>
      <c r="AB527" s="196"/>
      <c r="AC527" s="199"/>
    </row>
    <row r="528" spans="1:29" ht="20.100000000000001" customHeight="1" x14ac:dyDescent="0.25">
      <c r="A528" s="36"/>
      <c r="B528" s="143">
        <f t="shared" si="56"/>
        <v>483</v>
      </c>
      <c r="C528" s="88">
        <v>442</v>
      </c>
      <c r="D528" s="110" t="str">
        <f>HYPERLINK("https://sites.wustl.edu/meteoritesite/items/lm_nwa_13788/",W528)</f>
        <v>Northwest Africa 13788</v>
      </c>
      <c r="E528" s="376" t="s">
        <v>1071</v>
      </c>
      <c r="F528" s="377"/>
      <c r="G528" s="377"/>
      <c r="H528" s="378"/>
      <c r="I528" s="285"/>
      <c r="J528" s="333"/>
      <c r="K528" s="333"/>
      <c r="L528" s="334"/>
      <c r="M528" s="402">
        <v>2600</v>
      </c>
      <c r="N528" s="403"/>
      <c r="O528" s="381" t="s">
        <v>1077</v>
      </c>
      <c r="P528" s="382"/>
      <c r="Q528" s="383"/>
      <c r="R528" s="376" t="s">
        <v>6</v>
      </c>
      <c r="S528" s="378"/>
      <c r="T528" s="330">
        <v>0</v>
      </c>
      <c r="W528" s="112" t="s">
        <v>1074</v>
      </c>
      <c r="X528" s="61"/>
      <c r="Y528" s="263">
        <v>2600</v>
      </c>
      <c r="Z528" s="243">
        <f t="shared" si="55"/>
        <v>2600</v>
      </c>
      <c r="AB528" s="196"/>
      <c r="AC528" s="199"/>
    </row>
    <row r="529" spans="1:29" ht="20.100000000000001" customHeight="1" x14ac:dyDescent="0.25">
      <c r="A529" s="36"/>
      <c r="B529" s="143">
        <f t="shared" si="56"/>
        <v>484</v>
      </c>
      <c r="C529" s="88">
        <v>446</v>
      </c>
      <c r="D529" s="110" t="str">
        <f>HYPERLINK("https://sites.wustl.edu/meteoritesite/items/lm_nwa_13837/",W529)</f>
        <v>Northwest Africa 13837</v>
      </c>
      <c r="E529" s="376" t="s">
        <v>603</v>
      </c>
      <c r="F529" s="377"/>
      <c r="G529" s="377"/>
      <c r="H529" s="378"/>
      <c r="I529" s="285"/>
      <c r="J529" s="333"/>
      <c r="K529" s="333"/>
      <c r="L529" s="334"/>
      <c r="M529" s="402" t="s">
        <v>1085</v>
      </c>
      <c r="N529" s="403"/>
      <c r="O529" s="381" t="s">
        <v>1066</v>
      </c>
      <c r="P529" s="382"/>
      <c r="Q529" s="383"/>
      <c r="R529" s="376" t="s">
        <v>962</v>
      </c>
      <c r="S529" s="378"/>
      <c r="T529" s="330">
        <v>0</v>
      </c>
      <c r="W529" s="112" t="s">
        <v>1082</v>
      </c>
      <c r="X529" s="61"/>
      <c r="Y529" s="264">
        <v>20.309999999999999</v>
      </c>
      <c r="Z529" s="243">
        <f t="shared" si="55"/>
        <v>20.309999999999999</v>
      </c>
      <c r="AB529" s="196"/>
      <c r="AC529" s="199"/>
    </row>
    <row r="530" spans="1:29" ht="20.100000000000001" customHeight="1" x14ac:dyDescent="0.25">
      <c r="A530" s="36"/>
      <c r="B530" s="143">
        <f t="shared" si="56"/>
        <v>485</v>
      </c>
      <c r="C530" s="88">
        <v>449</v>
      </c>
      <c r="D530" s="110" t="str">
        <f>HYPERLINK("https://sites.wustl.edu/meteoritesite/items/lm_nwa_13859/",W530)</f>
        <v>Northwest Africa 13859</v>
      </c>
      <c r="E530" s="376" t="s">
        <v>603</v>
      </c>
      <c r="F530" s="377"/>
      <c r="G530" s="377"/>
      <c r="H530" s="378"/>
      <c r="I530" s="285"/>
      <c r="J530" s="333"/>
      <c r="K530" s="333"/>
      <c r="L530" s="334"/>
      <c r="M530" s="402" t="s">
        <v>1476</v>
      </c>
      <c r="N530" s="403"/>
      <c r="O530" s="381" t="s">
        <v>1093</v>
      </c>
      <c r="P530" s="382"/>
      <c r="Q530" s="383"/>
      <c r="R530" s="376" t="s">
        <v>6</v>
      </c>
      <c r="S530" s="378"/>
      <c r="T530" s="330">
        <v>0</v>
      </c>
      <c r="W530" s="112" t="s">
        <v>1089</v>
      </c>
      <c r="X530" s="61"/>
      <c r="Y530" s="265">
        <v>2045</v>
      </c>
      <c r="Z530" s="243">
        <f t="shared" si="55"/>
        <v>2045</v>
      </c>
      <c r="AB530" s="196"/>
      <c r="AC530" s="199"/>
    </row>
    <row r="531" spans="1:29" ht="20.100000000000001" customHeight="1" x14ac:dyDescent="0.25">
      <c r="A531" s="36"/>
      <c r="B531" s="143">
        <f t="shared" si="56"/>
        <v>486</v>
      </c>
      <c r="C531" s="88">
        <v>489</v>
      </c>
      <c r="D531" s="110" t="str">
        <f>HYPERLINK("https://sites.wustl.edu/meteoritesite/items/lm_nwa_13892/",W531)</f>
        <v>Northwest Africa 13892</v>
      </c>
      <c r="E531" s="376" t="s">
        <v>603</v>
      </c>
      <c r="F531" s="377"/>
      <c r="G531" s="377"/>
      <c r="H531" s="378"/>
      <c r="I531" s="285"/>
      <c r="J531" s="333"/>
      <c r="K531" s="333"/>
      <c r="L531" s="334"/>
      <c r="M531" s="402">
        <v>46</v>
      </c>
      <c r="N531" s="403"/>
      <c r="O531" s="381" t="s">
        <v>1184</v>
      </c>
      <c r="P531" s="382"/>
      <c r="Q531" s="383"/>
      <c r="R531" s="376" t="s">
        <v>6</v>
      </c>
      <c r="S531" s="378"/>
      <c r="T531" s="330">
        <v>0</v>
      </c>
      <c r="W531" s="112" t="s">
        <v>1181</v>
      </c>
      <c r="X531" s="61"/>
      <c r="Y531" s="265">
        <v>46</v>
      </c>
      <c r="Z531" s="243">
        <f t="shared" si="55"/>
        <v>46</v>
      </c>
      <c r="AB531" s="196"/>
      <c r="AC531" s="199"/>
    </row>
    <row r="532" spans="1:29" ht="20.100000000000001" customHeight="1" x14ac:dyDescent="0.25">
      <c r="A532" s="36"/>
      <c r="B532" s="143">
        <f t="shared" si="56"/>
        <v>487</v>
      </c>
      <c r="C532" s="88">
        <v>490</v>
      </c>
      <c r="D532" s="110" t="str">
        <f>HYPERLINK("https://sites.wustl.edu/meteoritesite/items/lm_nwa_13896/",W532)</f>
        <v>Northwest Africa 13896</v>
      </c>
      <c r="E532" s="376" t="s">
        <v>603</v>
      </c>
      <c r="F532" s="377"/>
      <c r="G532" s="377"/>
      <c r="H532" s="378"/>
      <c r="I532" s="285"/>
      <c r="J532" s="333"/>
      <c r="K532" s="333"/>
      <c r="L532" s="334"/>
      <c r="M532" s="402">
        <v>8</v>
      </c>
      <c r="N532" s="403"/>
      <c r="O532" s="381" t="s">
        <v>868</v>
      </c>
      <c r="P532" s="382"/>
      <c r="Q532" s="383"/>
      <c r="R532" s="376" t="s">
        <v>6</v>
      </c>
      <c r="S532" s="378"/>
      <c r="T532" s="330">
        <v>0</v>
      </c>
      <c r="W532" s="112" t="s">
        <v>1182</v>
      </c>
      <c r="X532" s="61"/>
      <c r="Y532" s="265">
        <v>8</v>
      </c>
      <c r="Z532" s="243">
        <f t="shared" si="55"/>
        <v>8</v>
      </c>
      <c r="AB532" s="196"/>
      <c r="AC532" s="199"/>
    </row>
    <row r="533" spans="1:29" ht="20.100000000000001" customHeight="1" x14ac:dyDescent="0.25">
      <c r="A533" s="36"/>
      <c r="B533" s="143">
        <f t="shared" si="56"/>
        <v>488</v>
      </c>
      <c r="C533" s="88">
        <v>491</v>
      </c>
      <c r="D533" s="110" t="str">
        <f>HYPERLINK("https://sites.wustl.edu/meteoritesite/items/lm_nwa_13899/",W533)</f>
        <v>Northwest Africa 13899</v>
      </c>
      <c r="E533" s="376" t="s">
        <v>603</v>
      </c>
      <c r="F533" s="377"/>
      <c r="G533" s="377"/>
      <c r="H533" s="378"/>
      <c r="I533" s="285"/>
      <c r="J533" s="333"/>
      <c r="K533" s="333"/>
      <c r="L533" s="334"/>
      <c r="M533" s="463">
        <v>5.5</v>
      </c>
      <c r="N533" s="464"/>
      <c r="O533" s="381" t="s">
        <v>913</v>
      </c>
      <c r="P533" s="382"/>
      <c r="Q533" s="383"/>
      <c r="R533" s="376" t="s">
        <v>6</v>
      </c>
      <c r="S533" s="378"/>
      <c r="T533" s="330">
        <v>0</v>
      </c>
      <c r="W533" s="112" t="s">
        <v>1183</v>
      </c>
      <c r="X533" s="61"/>
      <c r="Y533" s="266">
        <v>5.5</v>
      </c>
      <c r="Z533" s="243">
        <f t="shared" si="55"/>
        <v>5.5</v>
      </c>
      <c r="AB533" s="196"/>
      <c r="AC533" s="199"/>
    </row>
    <row r="534" spans="1:29" ht="20.100000000000001" customHeight="1" x14ac:dyDescent="0.25">
      <c r="A534" s="36"/>
      <c r="B534" s="143">
        <f t="shared" si="56"/>
        <v>489</v>
      </c>
      <c r="C534" s="88">
        <v>450</v>
      </c>
      <c r="D534" s="110" t="str">
        <f>HYPERLINK("https://sites.wustl.edu/meteoritesite/items/lm_nwa_13907/",W534)</f>
        <v>Northwest Africa 13907</v>
      </c>
      <c r="E534" s="376" t="s">
        <v>603</v>
      </c>
      <c r="F534" s="377"/>
      <c r="G534" s="377"/>
      <c r="H534" s="378"/>
      <c r="I534" s="285"/>
      <c r="J534" s="333"/>
      <c r="K534" s="333"/>
      <c r="L534" s="334"/>
      <c r="M534" s="402" t="s">
        <v>1477</v>
      </c>
      <c r="N534" s="403"/>
      <c r="O534" s="381" t="s">
        <v>1076</v>
      </c>
      <c r="P534" s="382"/>
      <c r="Q534" s="383"/>
      <c r="R534" s="376" t="s">
        <v>1092</v>
      </c>
      <c r="S534" s="378"/>
      <c r="T534" s="330">
        <v>0</v>
      </c>
      <c r="W534" s="112" t="s">
        <v>1090</v>
      </c>
      <c r="X534" s="61"/>
      <c r="Y534" s="263">
        <v>158</v>
      </c>
      <c r="Z534" s="243">
        <f t="shared" si="55"/>
        <v>158</v>
      </c>
      <c r="AB534" s="196"/>
      <c r="AC534" s="199"/>
    </row>
    <row r="535" spans="1:29" ht="20.100000000000001" customHeight="1" x14ac:dyDescent="0.25">
      <c r="A535" s="36"/>
      <c r="B535" s="143">
        <f t="shared" si="56"/>
        <v>490</v>
      </c>
      <c r="C535" s="88">
        <v>447</v>
      </c>
      <c r="D535" s="110" t="str">
        <f>HYPERLINK("https://sites.wustl.edu/meteoritesite/items/lm_nwa_13676/",W535)</f>
        <v>Northwest Africa 13908</v>
      </c>
      <c r="E535" s="376" t="s">
        <v>1384</v>
      </c>
      <c r="F535" s="377"/>
      <c r="G535" s="377"/>
      <c r="H535" s="378"/>
      <c r="I535" s="285"/>
      <c r="J535" s="333"/>
      <c r="K535" s="333"/>
      <c r="L535" s="334"/>
      <c r="M535" s="402">
        <v>1680</v>
      </c>
      <c r="N535" s="403"/>
      <c r="O535" s="381" t="s">
        <v>1077</v>
      </c>
      <c r="P535" s="382"/>
      <c r="Q535" s="383"/>
      <c r="R535" s="376" t="s">
        <v>6</v>
      </c>
      <c r="S535" s="378"/>
      <c r="T535" s="330">
        <v>0</v>
      </c>
      <c r="W535" s="112" t="s">
        <v>1083</v>
      </c>
      <c r="X535" s="61"/>
      <c r="Y535" s="263">
        <v>1680</v>
      </c>
      <c r="Z535" s="243">
        <f t="shared" si="55"/>
        <v>1680</v>
      </c>
      <c r="AB535" s="196"/>
      <c r="AC535" s="199"/>
    </row>
    <row r="536" spans="1:29" ht="20.100000000000001" customHeight="1" x14ac:dyDescent="0.25">
      <c r="A536" s="36"/>
      <c r="B536" s="143">
        <f t="shared" si="56"/>
        <v>491</v>
      </c>
      <c r="C536" s="88">
        <v>451</v>
      </c>
      <c r="D536" s="110" t="str">
        <f>HYPERLINK("https://sites.wustl.edu/meteoritesite/items/lm_nwa_13916/",W536)</f>
        <v>Northwest Africa 13916</v>
      </c>
      <c r="E536" s="376" t="s">
        <v>603</v>
      </c>
      <c r="F536" s="377"/>
      <c r="G536" s="377"/>
      <c r="H536" s="378"/>
      <c r="I536" s="285"/>
      <c r="J536" s="333"/>
      <c r="K536" s="333"/>
      <c r="L536" s="334"/>
      <c r="M536" s="432">
        <v>175.38</v>
      </c>
      <c r="N536" s="433"/>
      <c r="O536" s="381" t="s">
        <v>1076</v>
      </c>
      <c r="P536" s="382"/>
      <c r="Q536" s="383"/>
      <c r="R536" s="376" t="s">
        <v>6</v>
      </c>
      <c r="S536" s="378"/>
      <c r="T536" s="330">
        <v>0</v>
      </c>
      <c r="W536" s="112" t="s">
        <v>1091</v>
      </c>
      <c r="X536" s="61"/>
      <c r="Y536" s="264">
        <v>175.38</v>
      </c>
      <c r="Z536" s="243">
        <f t="shared" si="55"/>
        <v>175.38</v>
      </c>
      <c r="AB536" s="196"/>
      <c r="AC536" s="199"/>
    </row>
    <row r="537" spans="1:29" ht="20.100000000000001" customHeight="1" x14ac:dyDescent="0.25">
      <c r="A537" s="36"/>
      <c r="B537" s="143">
        <f t="shared" si="56"/>
        <v>492</v>
      </c>
      <c r="C537" s="88">
        <v>454</v>
      </c>
      <c r="D537" s="110" t="str">
        <f>HYPERLINK("https://sites.wustl.edu/meteoritesite/items/lm_nwa_13930/",W537)</f>
        <v>Northwest Africa 13930</v>
      </c>
      <c r="E537" s="376" t="s">
        <v>603</v>
      </c>
      <c r="F537" s="377"/>
      <c r="G537" s="377"/>
      <c r="H537" s="378"/>
      <c r="I537" s="285"/>
      <c r="J537" s="333"/>
      <c r="K537" s="333"/>
      <c r="L537" s="334"/>
      <c r="M537" s="402">
        <v>92</v>
      </c>
      <c r="N537" s="403"/>
      <c r="O537" s="381" t="s">
        <v>1046</v>
      </c>
      <c r="P537" s="382"/>
      <c r="Q537" s="383"/>
      <c r="R537" s="376" t="s">
        <v>6</v>
      </c>
      <c r="S537" s="378"/>
      <c r="T537" s="330">
        <v>0</v>
      </c>
      <c r="W537" s="112" t="s">
        <v>1100</v>
      </c>
      <c r="X537" s="61"/>
      <c r="Y537" s="263">
        <v>92</v>
      </c>
      <c r="Z537" s="243">
        <f t="shared" si="55"/>
        <v>92</v>
      </c>
      <c r="AB537" s="196"/>
      <c r="AC537" s="199"/>
    </row>
    <row r="538" spans="1:29" ht="20.100000000000001" customHeight="1" x14ac:dyDescent="0.25">
      <c r="A538" s="36"/>
      <c r="B538" s="143">
        <f>B537+1</f>
        <v>493</v>
      </c>
      <c r="C538" s="88">
        <v>459</v>
      </c>
      <c r="D538" s="110" t="str">
        <f>HYPERLINK("https://sites.wustl.edu/meteoritesite/items/lm_nwa_13937/",W538)</f>
        <v>Northwest Africa 13937</v>
      </c>
      <c r="E538" s="376" t="s">
        <v>603</v>
      </c>
      <c r="F538" s="377"/>
      <c r="G538" s="377"/>
      <c r="H538" s="378"/>
      <c r="I538" s="285"/>
      <c r="J538" s="333"/>
      <c r="K538" s="333"/>
      <c r="L538" s="334"/>
      <c r="M538" s="402" t="s">
        <v>1120</v>
      </c>
      <c r="N538" s="403"/>
      <c r="O538" s="381" t="s">
        <v>1093</v>
      </c>
      <c r="P538" s="382"/>
      <c r="Q538" s="383"/>
      <c r="R538" s="376" t="s">
        <v>6</v>
      </c>
      <c r="S538" s="378"/>
      <c r="T538" s="330">
        <v>0</v>
      </c>
      <c r="W538" s="112" t="s">
        <v>1114</v>
      </c>
      <c r="X538" s="61"/>
      <c r="Y538" s="263">
        <v>1000</v>
      </c>
      <c r="Z538" s="243">
        <f t="shared" si="55"/>
        <v>1000</v>
      </c>
      <c r="AB538" s="196"/>
      <c r="AC538" s="199"/>
    </row>
    <row r="539" spans="1:29" ht="20.100000000000001" customHeight="1" x14ac:dyDescent="0.25">
      <c r="A539" s="36"/>
      <c r="B539" s="143">
        <f>B538+1</f>
        <v>494</v>
      </c>
      <c r="C539" s="88">
        <v>455</v>
      </c>
      <c r="D539" s="110" t="str">
        <f>HYPERLINK("https://sites.wustl.edu/meteoritesite/items/lm_nwa_13942/",W539)</f>
        <v>Northwest Africa 13942</v>
      </c>
      <c r="E539" s="376" t="s">
        <v>603</v>
      </c>
      <c r="F539" s="377"/>
      <c r="G539" s="377"/>
      <c r="H539" s="378"/>
      <c r="I539" s="285"/>
      <c r="J539" s="333"/>
      <c r="K539" s="333"/>
      <c r="L539" s="334"/>
      <c r="M539" s="402">
        <v>1036</v>
      </c>
      <c r="N539" s="403"/>
      <c r="O539" s="381" t="s">
        <v>1093</v>
      </c>
      <c r="P539" s="382"/>
      <c r="Q539" s="383"/>
      <c r="R539" s="376" t="s">
        <v>6</v>
      </c>
      <c r="S539" s="378"/>
      <c r="T539" s="330">
        <v>0</v>
      </c>
      <c r="W539" s="112" t="s">
        <v>1101</v>
      </c>
      <c r="X539" s="61"/>
      <c r="Y539" s="263">
        <v>1036</v>
      </c>
      <c r="Z539" s="243">
        <f t="shared" si="55"/>
        <v>1036</v>
      </c>
      <c r="AB539" s="196"/>
      <c r="AC539" s="199"/>
    </row>
    <row r="540" spans="1:29" ht="36" customHeight="1" x14ac:dyDescent="0.25">
      <c r="A540" s="36"/>
      <c r="B540" s="125" t="s">
        <v>402</v>
      </c>
      <c r="C540" s="30" t="s">
        <v>1034</v>
      </c>
      <c r="D540" s="33" t="s">
        <v>915</v>
      </c>
      <c r="E540" s="420" t="s">
        <v>916</v>
      </c>
      <c r="F540" s="421"/>
      <c r="G540" s="421"/>
      <c r="H540" s="422"/>
      <c r="I540" s="423" t="s">
        <v>917</v>
      </c>
      <c r="J540" s="424"/>
      <c r="K540" s="424"/>
      <c r="L540" s="425"/>
      <c r="M540" s="430" t="s">
        <v>918</v>
      </c>
      <c r="N540" s="431"/>
      <c r="O540" s="426" t="s">
        <v>919</v>
      </c>
      <c r="P540" s="427"/>
      <c r="Q540" s="428"/>
      <c r="R540" s="423" t="s">
        <v>920</v>
      </c>
      <c r="S540" s="425"/>
      <c r="T540" s="5" t="s">
        <v>5</v>
      </c>
      <c r="Y540" s="243"/>
      <c r="AB540" s="196"/>
      <c r="AC540" s="199"/>
    </row>
    <row r="541" spans="1:29" ht="20.100000000000001" customHeight="1" x14ac:dyDescent="0.25">
      <c r="A541" s="36"/>
      <c r="B541" s="143">
        <f>B539+1</f>
        <v>495</v>
      </c>
      <c r="C541" s="88">
        <v>456</v>
      </c>
      <c r="D541" s="110" t="str">
        <f>HYPERLINK("https://sites.wustl.edu/meteoritesite/items/lm_nwa_13951/",W541)</f>
        <v>Northwest Africa 13951</v>
      </c>
      <c r="E541" s="376" t="s">
        <v>603</v>
      </c>
      <c r="F541" s="377"/>
      <c r="G541" s="377"/>
      <c r="H541" s="378"/>
      <c r="I541" s="285"/>
      <c r="J541" s="333"/>
      <c r="K541" s="333"/>
      <c r="L541" s="334"/>
      <c r="M541" s="402" t="s">
        <v>1103</v>
      </c>
      <c r="N541" s="403"/>
      <c r="O541" s="381" t="s">
        <v>1107</v>
      </c>
      <c r="P541" s="382"/>
      <c r="Q541" s="383"/>
      <c r="R541" s="376" t="s">
        <v>6</v>
      </c>
      <c r="S541" s="378"/>
      <c r="T541" s="330">
        <v>0</v>
      </c>
      <c r="W541" s="112" t="s">
        <v>1102</v>
      </c>
      <c r="X541" s="61"/>
      <c r="Y541" s="263">
        <v>4300</v>
      </c>
      <c r="Z541" s="243">
        <f t="shared" si="55"/>
        <v>4300</v>
      </c>
      <c r="AB541" s="196"/>
      <c r="AC541" s="199"/>
    </row>
    <row r="542" spans="1:29" ht="20.100000000000001" customHeight="1" x14ac:dyDescent="0.25">
      <c r="A542" s="36"/>
      <c r="B542" s="143">
        <f t="shared" ref="B542:B545" si="57">B541+1</f>
        <v>496</v>
      </c>
      <c r="C542" s="88">
        <v>457</v>
      </c>
      <c r="D542" s="110" t="str">
        <f>HYPERLINK("https://sites.wustl.edu/meteoritesite/items/lm_nwa_13957/",W542)</f>
        <v>Northwest Africa 13957</v>
      </c>
      <c r="E542" s="376" t="s">
        <v>603</v>
      </c>
      <c r="F542" s="377"/>
      <c r="G542" s="377"/>
      <c r="H542" s="378"/>
      <c r="I542" s="285"/>
      <c r="J542" s="333"/>
      <c r="K542" s="333"/>
      <c r="L542" s="334"/>
      <c r="M542" s="402" t="s">
        <v>1105</v>
      </c>
      <c r="N542" s="403"/>
      <c r="O542" s="381" t="s">
        <v>912</v>
      </c>
      <c r="P542" s="382"/>
      <c r="Q542" s="383"/>
      <c r="R542" s="376" t="s">
        <v>562</v>
      </c>
      <c r="S542" s="378"/>
      <c r="T542" s="330">
        <v>0</v>
      </c>
      <c r="W542" s="112" t="s">
        <v>1104</v>
      </c>
      <c r="X542" s="61"/>
      <c r="Y542" s="263">
        <v>190</v>
      </c>
      <c r="Z542" s="243">
        <f t="shared" si="55"/>
        <v>190</v>
      </c>
      <c r="AB542" s="196"/>
      <c r="AC542" s="199"/>
    </row>
    <row r="543" spans="1:29" ht="20.100000000000001" customHeight="1" x14ac:dyDescent="0.25">
      <c r="A543" s="36"/>
      <c r="B543" s="143">
        <f t="shared" si="57"/>
        <v>497</v>
      </c>
      <c r="C543" s="88">
        <v>465</v>
      </c>
      <c r="D543" s="110" t="str">
        <f>HYPERLINK("https://sites.wustl.edu/meteoritesite/items/lm_nwa_13964/",W543)</f>
        <v>Northwest Africa 13964</v>
      </c>
      <c r="E543" s="376" t="s">
        <v>603</v>
      </c>
      <c r="F543" s="377"/>
      <c r="G543" s="377"/>
      <c r="H543" s="378"/>
      <c r="I543" s="285"/>
      <c r="J543" s="333"/>
      <c r="K543" s="333"/>
      <c r="L543" s="334"/>
      <c r="M543" s="402" t="s">
        <v>1126</v>
      </c>
      <c r="N543" s="403"/>
      <c r="O543" s="381" t="s">
        <v>912</v>
      </c>
      <c r="P543" s="382"/>
      <c r="Q543" s="383"/>
      <c r="R543" s="376" t="s">
        <v>6</v>
      </c>
      <c r="S543" s="378"/>
      <c r="T543" s="330">
        <v>0</v>
      </c>
      <c r="W543" s="112" t="s">
        <v>1125</v>
      </c>
      <c r="X543" s="61"/>
      <c r="Y543" s="263">
        <v>6500</v>
      </c>
      <c r="Z543" s="243">
        <f t="shared" si="55"/>
        <v>6500</v>
      </c>
      <c r="AB543" s="196"/>
      <c r="AC543" s="199"/>
    </row>
    <row r="544" spans="1:29" ht="20.100000000000001" customHeight="1" x14ac:dyDescent="0.25">
      <c r="A544" s="36"/>
      <c r="B544" s="143">
        <f t="shared" si="57"/>
        <v>498</v>
      </c>
      <c r="C544" s="88">
        <v>469</v>
      </c>
      <c r="D544" s="110" t="str">
        <f>HYPERLINK("https://sites.wustl.edu/meteoritesite/items/lm_nwa_13967/",W544)</f>
        <v>Northwest Africa 13967</v>
      </c>
      <c r="E544" s="376">
        <v>8046</v>
      </c>
      <c r="F544" s="377"/>
      <c r="G544" s="377"/>
      <c r="H544" s="378"/>
      <c r="I544" s="285"/>
      <c r="J544" s="333"/>
      <c r="K544" s="333"/>
      <c r="L544" s="334"/>
      <c r="M544" s="463">
        <v>251.8</v>
      </c>
      <c r="N544" s="464"/>
      <c r="O544" s="381" t="s">
        <v>884</v>
      </c>
      <c r="P544" s="382"/>
      <c r="Q544" s="383"/>
      <c r="R544" s="376" t="s">
        <v>6</v>
      </c>
      <c r="S544" s="378"/>
      <c r="T544" s="330">
        <v>0</v>
      </c>
      <c r="W544" s="112" t="s">
        <v>1131</v>
      </c>
      <c r="X544" s="61"/>
      <c r="Y544" s="262">
        <v>251.8</v>
      </c>
      <c r="Z544" s="243">
        <f t="shared" si="55"/>
        <v>251.8</v>
      </c>
      <c r="AB544" s="196"/>
      <c r="AC544" s="199"/>
    </row>
    <row r="545" spans="1:29" ht="20.100000000000001" customHeight="1" x14ac:dyDescent="0.25">
      <c r="A545" s="36"/>
      <c r="B545" s="143">
        <f t="shared" si="57"/>
        <v>499</v>
      </c>
      <c r="C545" s="88">
        <v>460</v>
      </c>
      <c r="D545" s="110" t="str">
        <f>HYPERLINK("https://sites.wustl.edu/meteoritesite/items/lm_nwa_13974/",W545)</f>
        <v>Northwest Africa 13974</v>
      </c>
      <c r="E545" s="376" t="s">
        <v>603</v>
      </c>
      <c r="F545" s="377"/>
      <c r="G545" s="377"/>
      <c r="H545" s="378"/>
      <c r="I545" s="285"/>
      <c r="J545" s="333"/>
      <c r="K545" s="333"/>
      <c r="L545" s="334"/>
      <c r="M545" s="402" t="s">
        <v>1121</v>
      </c>
      <c r="N545" s="403"/>
      <c r="O545" s="381" t="s">
        <v>1076</v>
      </c>
      <c r="P545" s="382"/>
      <c r="Q545" s="383"/>
      <c r="R545" s="376" t="s">
        <v>6</v>
      </c>
      <c r="S545" s="378"/>
      <c r="T545" s="330">
        <v>0</v>
      </c>
      <c r="W545" s="112" t="s">
        <v>1115</v>
      </c>
      <c r="X545" s="61"/>
      <c r="Y545" s="263">
        <v>7940</v>
      </c>
      <c r="Z545" s="243">
        <f t="shared" si="55"/>
        <v>7940</v>
      </c>
      <c r="AB545" s="196"/>
      <c r="AC545" s="199"/>
    </row>
    <row r="546" spans="1:29" ht="20.100000000000001" customHeight="1" x14ac:dyDescent="0.25">
      <c r="A546" s="36"/>
      <c r="B546" s="143">
        <f t="shared" ref="B546:B615" si="58">B545+1</f>
        <v>500</v>
      </c>
      <c r="C546" s="88">
        <v>461</v>
      </c>
      <c r="D546" s="110" t="str">
        <f>HYPERLINK("https://sites.wustl.edu/meteoritesite/items/lm_nwa_13979/",W546)</f>
        <v>Northwest Africa 13979</v>
      </c>
      <c r="E546" s="376" t="s">
        <v>603</v>
      </c>
      <c r="F546" s="377"/>
      <c r="G546" s="377"/>
      <c r="H546" s="378"/>
      <c r="I546" s="285"/>
      <c r="J546" s="333"/>
      <c r="K546" s="333"/>
      <c r="L546" s="334"/>
      <c r="M546" s="402">
        <v>1321</v>
      </c>
      <c r="N546" s="403"/>
      <c r="O546" s="381" t="s">
        <v>1122</v>
      </c>
      <c r="P546" s="382"/>
      <c r="Q546" s="383"/>
      <c r="R546" s="376" t="s">
        <v>6</v>
      </c>
      <c r="S546" s="378"/>
      <c r="T546" s="330">
        <v>0</v>
      </c>
      <c r="W546" s="112" t="s">
        <v>1116</v>
      </c>
      <c r="X546" s="61"/>
      <c r="Y546" s="263">
        <v>1321</v>
      </c>
      <c r="Z546" s="243">
        <f t="shared" si="55"/>
        <v>1321</v>
      </c>
      <c r="AB546" s="196"/>
      <c r="AC546" s="199"/>
    </row>
    <row r="547" spans="1:29" ht="20.100000000000001" customHeight="1" x14ac:dyDescent="0.25">
      <c r="A547" s="36"/>
      <c r="B547" s="143">
        <f t="shared" si="58"/>
        <v>501</v>
      </c>
      <c r="C547" s="88">
        <v>462</v>
      </c>
      <c r="D547" s="110" t="str">
        <f>HYPERLINK("https://sites.wustl.edu/meteoritesite/items/lm_nwa_13989/",W547)</f>
        <v>Northwest Africa 13989</v>
      </c>
      <c r="E547" s="376" t="s">
        <v>603</v>
      </c>
      <c r="F547" s="377"/>
      <c r="G547" s="377"/>
      <c r="H547" s="378"/>
      <c r="I547" s="285"/>
      <c r="J547" s="333"/>
      <c r="K547" s="333"/>
      <c r="L547" s="334"/>
      <c r="M547" s="463">
        <v>298.60000000000002</v>
      </c>
      <c r="N547" s="464"/>
      <c r="O547" s="381" t="s">
        <v>1076</v>
      </c>
      <c r="P547" s="382"/>
      <c r="Q547" s="383"/>
      <c r="R547" s="376" t="s">
        <v>6</v>
      </c>
      <c r="S547" s="378"/>
      <c r="T547" s="330">
        <v>0</v>
      </c>
      <c r="W547" s="112" t="s">
        <v>1117</v>
      </c>
      <c r="X547" s="61"/>
      <c r="Y547" s="262">
        <v>296.8</v>
      </c>
      <c r="Z547" s="243">
        <f t="shared" si="55"/>
        <v>296.8</v>
      </c>
      <c r="AB547" s="196"/>
      <c r="AC547" s="199"/>
    </row>
    <row r="548" spans="1:29" ht="20.100000000000001" customHeight="1" x14ac:dyDescent="0.25">
      <c r="A548" s="36"/>
      <c r="B548" s="143">
        <f t="shared" si="58"/>
        <v>502</v>
      </c>
      <c r="C548" s="88">
        <v>463</v>
      </c>
      <c r="D548" s="110" t="str">
        <f>HYPERLINK("https://sites.wustl.edu/meteoritesite/items/lm_nwa_13992/",W548)</f>
        <v>Northwest Africa 13992</v>
      </c>
      <c r="E548" s="376" t="s">
        <v>603</v>
      </c>
      <c r="F548" s="377"/>
      <c r="G548" s="377"/>
      <c r="H548" s="378"/>
      <c r="I548" s="285"/>
      <c r="J548" s="333"/>
      <c r="K548" s="333"/>
      <c r="L548" s="334"/>
      <c r="M548" s="402" t="s">
        <v>1478</v>
      </c>
      <c r="N548" s="403"/>
      <c r="O548" s="381" t="s">
        <v>1076</v>
      </c>
      <c r="P548" s="382"/>
      <c r="Q548" s="383"/>
      <c r="R548" s="376" t="s">
        <v>1123</v>
      </c>
      <c r="S548" s="378"/>
      <c r="T548" s="330">
        <v>0</v>
      </c>
      <c r="W548" s="112" t="s">
        <v>1118</v>
      </c>
      <c r="X548" s="61"/>
      <c r="Y548" s="263">
        <v>1035</v>
      </c>
      <c r="Z548" s="243">
        <f t="shared" si="55"/>
        <v>1035</v>
      </c>
      <c r="AB548" s="196"/>
      <c r="AC548" s="199"/>
    </row>
    <row r="549" spans="1:29" ht="20.100000000000001" customHeight="1" x14ac:dyDescent="0.25">
      <c r="A549" s="36"/>
      <c r="B549" s="143">
        <f t="shared" si="58"/>
        <v>503</v>
      </c>
      <c r="C549" s="88">
        <v>464</v>
      </c>
      <c r="D549" s="110" t="str">
        <f>HYPERLINK("https://sites.wustl.edu/meteoritesite/items/lm_nwa_14005/",W549)</f>
        <v>Northwest Africa 14005</v>
      </c>
      <c r="E549" s="376" t="s">
        <v>603</v>
      </c>
      <c r="F549" s="377"/>
      <c r="G549" s="377"/>
      <c r="H549" s="378"/>
      <c r="I549" s="285"/>
      <c r="J549" s="333"/>
      <c r="K549" s="333"/>
      <c r="L549" s="334"/>
      <c r="M549" s="402" t="s">
        <v>1124</v>
      </c>
      <c r="N549" s="403"/>
      <c r="O549" s="381" t="s">
        <v>1046</v>
      </c>
      <c r="P549" s="382"/>
      <c r="Q549" s="383"/>
      <c r="R549" s="376" t="s">
        <v>6</v>
      </c>
      <c r="S549" s="378"/>
      <c r="T549" s="330">
        <v>0</v>
      </c>
      <c r="W549" s="112" t="s">
        <v>1119</v>
      </c>
      <c r="X549" s="61"/>
      <c r="Y549" s="263">
        <v>15</v>
      </c>
      <c r="Z549" s="243">
        <f t="shared" si="55"/>
        <v>15</v>
      </c>
      <c r="AB549" s="196"/>
      <c r="AC549" s="199"/>
    </row>
    <row r="550" spans="1:29" ht="20.100000000000001" customHeight="1" x14ac:dyDescent="0.25">
      <c r="A550" s="36"/>
      <c r="B550" s="143">
        <f t="shared" si="58"/>
        <v>504</v>
      </c>
      <c r="C550" s="88">
        <v>470</v>
      </c>
      <c r="D550" s="110" t="str">
        <f>HYPERLINK("https://sites.wustl.edu/meteoritesite/items/lm_nwa_14012/",W550)</f>
        <v>Northwest Africa 14012</v>
      </c>
      <c r="E550" s="376" t="s">
        <v>603</v>
      </c>
      <c r="F550" s="377"/>
      <c r="G550" s="377"/>
      <c r="H550" s="378"/>
      <c r="I550" s="285"/>
      <c r="J550" s="333"/>
      <c r="K550" s="333"/>
      <c r="L550" s="334"/>
      <c r="M550" s="402">
        <v>2394</v>
      </c>
      <c r="N550" s="403"/>
      <c r="O550" s="381" t="s">
        <v>1133</v>
      </c>
      <c r="P550" s="382"/>
      <c r="Q550" s="383"/>
      <c r="R550" s="376" t="s">
        <v>562</v>
      </c>
      <c r="S550" s="378"/>
      <c r="T550" s="330">
        <v>0</v>
      </c>
      <c r="W550" s="112" t="s">
        <v>1137</v>
      </c>
      <c r="X550" s="61"/>
      <c r="Y550" s="263">
        <v>2394</v>
      </c>
      <c r="Z550" s="243">
        <f t="shared" si="55"/>
        <v>2394</v>
      </c>
      <c r="AB550" s="196"/>
      <c r="AC550" s="199"/>
    </row>
    <row r="551" spans="1:29" ht="20.100000000000001" customHeight="1" x14ac:dyDescent="0.25">
      <c r="A551" s="36"/>
      <c r="B551" s="143">
        <f t="shared" si="58"/>
        <v>505</v>
      </c>
      <c r="C551" s="88">
        <v>471</v>
      </c>
      <c r="D551" s="110" t="str">
        <f>HYPERLINK("https://sites.wustl.edu/meteoritesite/items/lm_nwa_14019/",W551)</f>
        <v>Northwest Africa 14019</v>
      </c>
      <c r="E551" s="376" t="s">
        <v>603</v>
      </c>
      <c r="F551" s="377"/>
      <c r="G551" s="377"/>
      <c r="H551" s="378"/>
      <c r="I551" s="285"/>
      <c r="J551" s="333"/>
      <c r="K551" s="333"/>
      <c r="L551" s="334"/>
      <c r="M551" s="402" t="s">
        <v>1136</v>
      </c>
      <c r="N551" s="403"/>
      <c r="O551" s="381" t="s">
        <v>1107</v>
      </c>
      <c r="P551" s="382"/>
      <c r="Q551" s="383"/>
      <c r="R551" s="376" t="s">
        <v>6</v>
      </c>
      <c r="S551" s="378"/>
      <c r="T551" s="330">
        <v>0</v>
      </c>
      <c r="W551" s="112" t="s">
        <v>1132</v>
      </c>
      <c r="X551" s="61"/>
      <c r="Y551" s="263">
        <v>3121</v>
      </c>
      <c r="Z551" s="243">
        <f t="shared" si="55"/>
        <v>3121</v>
      </c>
      <c r="AB551" s="196"/>
      <c r="AC551" s="199"/>
    </row>
    <row r="552" spans="1:29" ht="20.100000000000001" customHeight="1" x14ac:dyDescent="0.25">
      <c r="A552" s="36"/>
      <c r="B552" s="143">
        <f t="shared" si="58"/>
        <v>506</v>
      </c>
      <c r="C552" s="88">
        <v>466</v>
      </c>
      <c r="D552" s="110" t="str">
        <f>HYPERLINK("https://sites.wustl.edu/meteoritesite/items/lm_nwa_14035/",W552)</f>
        <v>Northwest Africa 14035</v>
      </c>
      <c r="E552" s="376" t="s">
        <v>603</v>
      </c>
      <c r="F552" s="377"/>
      <c r="G552" s="377"/>
      <c r="H552" s="378"/>
      <c r="I552" s="285"/>
      <c r="J552" s="333"/>
      <c r="K552" s="333"/>
      <c r="L552" s="334"/>
      <c r="M552" s="402">
        <v>189</v>
      </c>
      <c r="N552" s="403"/>
      <c r="O552" s="381" t="s">
        <v>1051</v>
      </c>
      <c r="P552" s="382"/>
      <c r="Q552" s="383"/>
      <c r="R552" s="376" t="s">
        <v>6</v>
      </c>
      <c r="S552" s="378"/>
      <c r="T552" s="330">
        <v>0</v>
      </c>
      <c r="W552" s="112" t="s">
        <v>1127</v>
      </c>
      <c r="X552" s="61"/>
      <c r="Y552" s="263">
        <v>189</v>
      </c>
      <c r="Z552" s="243">
        <f t="shared" si="55"/>
        <v>189</v>
      </c>
      <c r="AB552" s="196"/>
      <c r="AC552" s="199"/>
    </row>
    <row r="553" spans="1:29" ht="20.100000000000001" customHeight="1" x14ac:dyDescent="0.25">
      <c r="A553" s="36"/>
      <c r="B553" s="143">
        <f t="shared" si="58"/>
        <v>507</v>
      </c>
      <c r="C553" s="88">
        <v>467</v>
      </c>
      <c r="D553" s="110" t="str">
        <f>HYPERLINK("https://sites.wustl.edu/meteoritesite/items/lm_nwa_14041/",W553)</f>
        <v>Northwest Africa 14041</v>
      </c>
      <c r="E553" s="376" t="s">
        <v>1644</v>
      </c>
      <c r="F553" s="377"/>
      <c r="G553" s="377"/>
      <c r="H553" s="378"/>
      <c r="I553" s="285"/>
      <c r="J553" s="333"/>
      <c r="K553" s="333"/>
      <c r="L553" s="334"/>
      <c r="M553" s="402" t="s">
        <v>1691</v>
      </c>
      <c r="N553" s="403"/>
      <c r="O553" s="381" t="s">
        <v>1130</v>
      </c>
      <c r="P553" s="382"/>
      <c r="Q553" s="383"/>
      <c r="R553" s="376" t="s">
        <v>6</v>
      </c>
      <c r="S553" s="378"/>
      <c r="T553" s="330">
        <v>0</v>
      </c>
      <c r="W553" s="112" t="s">
        <v>1128</v>
      </c>
      <c r="X553" s="61"/>
      <c r="Y553" s="263">
        <v>11700</v>
      </c>
      <c r="Z553" s="243">
        <f t="shared" si="55"/>
        <v>11700</v>
      </c>
      <c r="AB553" s="196"/>
      <c r="AC553" s="199"/>
    </row>
    <row r="554" spans="1:29" ht="20.100000000000001" customHeight="1" x14ac:dyDescent="0.25">
      <c r="A554" s="36"/>
      <c r="B554" s="143">
        <f t="shared" si="58"/>
        <v>508</v>
      </c>
      <c r="C554" s="88">
        <v>468</v>
      </c>
      <c r="D554" s="110" t="str">
        <f>HYPERLINK("https://sites.wustl.edu/meteoritesite/items/lm_nwa_14050/",W554)</f>
        <v>Northwest Africa 14050</v>
      </c>
      <c r="E554" s="376" t="s">
        <v>603</v>
      </c>
      <c r="F554" s="377"/>
      <c r="G554" s="377"/>
      <c r="H554" s="378"/>
      <c r="I554" s="285"/>
      <c r="J554" s="333"/>
      <c r="K554" s="333"/>
      <c r="L554" s="334"/>
      <c r="M554" s="463">
        <v>69.599999999999994</v>
      </c>
      <c r="N554" s="464"/>
      <c r="O554" s="381" t="s">
        <v>1077</v>
      </c>
      <c r="P554" s="382"/>
      <c r="Q554" s="383"/>
      <c r="R554" s="376" t="s">
        <v>6</v>
      </c>
      <c r="S554" s="378"/>
      <c r="T554" s="330">
        <v>0</v>
      </c>
      <c r="W554" s="112" t="s">
        <v>1129</v>
      </c>
      <c r="X554" s="61"/>
      <c r="Y554" s="263">
        <v>69.599999999999994</v>
      </c>
      <c r="Z554" s="243">
        <f t="shared" si="55"/>
        <v>69.599999999999994</v>
      </c>
      <c r="AB554" s="196"/>
      <c r="AC554" s="199"/>
    </row>
    <row r="555" spans="1:29" ht="20.100000000000001" customHeight="1" x14ac:dyDescent="0.25">
      <c r="A555" s="36"/>
      <c r="B555" s="143">
        <f t="shared" si="58"/>
        <v>509</v>
      </c>
      <c r="C555" s="88">
        <v>472</v>
      </c>
      <c r="D555" s="110" t="str">
        <f>HYPERLINK("https://sites.wustl.edu/meteoritesite/items/lm_nwa_14063/",W555)</f>
        <v>Northwest Africa 14063</v>
      </c>
      <c r="E555" s="376" t="s">
        <v>571</v>
      </c>
      <c r="F555" s="377"/>
      <c r="G555" s="377"/>
      <c r="H555" s="378"/>
      <c r="I555" s="285"/>
      <c r="J555" s="333"/>
      <c r="K555" s="333"/>
      <c r="L555" s="334"/>
      <c r="M555" s="402" t="s">
        <v>1150</v>
      </c>
      <c r="N555" s="403"/>
      <c r="O555" s="381" t="s">
        <v>1093</v>
      </c>
      <c r="P555" s="382"/>
      <c r="Q555" s="383"/>
      <c r="R555" s="376" t="s">
        <v>6</v>
      </c>
      <c r="S555" s="378"/>
      <c r="T555" s="330">
        <v>0</v>
      </c>
      <c r="W555" s="112" t="s">
        <v>1147</v>
      </c>
      <c r="X555" s="61"/>
      <c r="Y555" s="263">
        <v>79</v>
      </c>
      <c r="Z555" s="243">
        <f t="shared" si="55"/>
        <v>79</v>
      </c>
      <c r="AB555" s="196"/>
      <c r="AC555" s="199"/>
    </row>
    <row r="556" spans="1:29" ht="20.100000000000001" customHeight="1" x14ac:dyDescent="0.25">
      <c r="A556" s="36"/>
      <c r="B556" s="143">
        <f t="shared" si="58"/>
        <v>510</v>
      </c>
      <c r="C556" s="88">
        <v>473</v>
      </c>
      <c r="D556" s="110" t="str">
        <f>HYPERLINK("https://sites.wustl.edu/meteoritesite/items/lm_nwa_14063/",W556)</f>
        <v>Northwest Africa 14064</v>
      </c>
      <c r="E556" s="376" t="s">
        <v>571</v>
      </c>
      <c r="F556" s="377"/>
      <c r="G556" s="377"/>
      <c r="H556" s="378"/>
      <c r="I556" s="285"/>
      <c r="J556" s="333"/>
      <c r="K556" s="333"/>
      <c r="L556" s="334"/>
      <c r="M556" s="402" t="s">
        <v>1479</v>
      </c>
      <c r="N556" s="403"/>
      <c r="O556" s="381" t="s">
        <v>1093</v>
      </c>
      <c r="P556" s="382"/>
      <c r="Q556" s="383"/>
      <c r="R556" s="376" t="s">
        <v>6</v>
      </c>
      <c r="S556" s="378"/>
      <c r="T556" s="330">
        <v>0</v>
      </c>
      <c r="W556" s="112" t="s">
        <v>1148</v>
      </c>
      <c r="X556" s="61"/>
      <c r="Y556" s="262">
        <v>24.5</v>
      </c>
      <c r="Z556" s="243">
        <f t="shared" si="55"/>
        <v>24.5</v>
      </c>
      <c r="AB556" s="196"/>
      <c r="AC556" s="199"/>
    </row>
    <row r="557" spans="1:29" ht="20.100000000000001" customHeight="1" x14ac:dyDescent="0.25">
      <c r="A557" s="36"/>
      <c r="B557" s="143">
        <f t="shared" si="58"/>
        <v>511</v>
      </c>
      <c r="C557" s="88">
        <v>479</v>
      </c>
      <c r="D557" s="110" t="str">
        <f>HYPERLINK("https://sites.wustl.edu/meteoritesite/items/lm_nwa_14071/",W557)</f>
        <v>Northwest Africa 14071</v>
      </c>
      <c r="E557" s="376" t="s">
        <v>603</v>
      </c>
      <c r="F557" s="377"/>
      <c r="G557" s="377"/>
      <c r="H557" s="378"/>
      <c r="I557" s="285"/>
      <c r="J557" s="333"/>
      <c r="K557" s="333"/>
      <c r="L557" s="334"/>
      <c r="M557" s="402">
        <v>400</v>
      </c>
      <c r="N557" s="403"/>
      <c r="O557" s="381" t="s">
        <v>1165</v>
      </c>
      <c r="P557" s="382"/>
      <c r="Q557" s="383"/>
      <c r="R557" s="376" t="s">
        <v>6</v>
      </c>
      <c r="S557" s="378"/>
      <c r="T557" s="330">
        <v>0</v>
      </c>
      <c r="W557" s="112" t="s">
        <v>1162</v>
      </c>
      <c r="X557" s="61"/>
      <c r="Y557" s="263">
        <v>400</v>
      </c>
      <c r="Z557" s="243">
        <f t="shared" si="55"/>
        <v>400</v>
      </c>
      <c r="AB557" s="196"/>
      <c r="AC557" s="199"/>
    </row>
    <row r="558" spans="1:29" ht="20.100000000000001" customHeight="1" x14ac:dyDescent="0.25">
      <c r="A558" s="36"/>
      <c r="B558" s="143">
        <f t="shared" si="58"/>
        <v>512</v>
      </c>
      <c r="C558" s="88">
        <v>474</v>
      </c>
      <c r="D558" s="110" t="str">
        <f>HYPERLINK("https://sites.wustl.edu/meteoritesite/items/lm_nwa_14088/",W558)</f>
        <v>Northwest Africa 14088</v>
      </c>
      <c r="E558" s="376" t="s">
        <v>1152</v>
      </c>
      <c r="F558" s="377"/>
      <c r="G558" s="377"/>
      <c r="H558" s="378"/>
      <c r="I558" s="285"/>
      <c r="J558" s="333"/>
      <c r="K558" s="333"/>
      <c r="L558" s="334"/>
      <c r="M558" s="402">
        <v>2702</v>
      </c>
      <c r="N558" s="403"/>
      <c r="O558" s="381" t="s">
        <v>1153</v>
      </c>
      <c r="P558" s="382"/>
      <c r="Q558" s="383"/>
      <c r="R558" s="376" t="s">
        <v>1151</v>
      </c>
      <c r="S558" s="378"/>
      <c r="T558" s="330">
        <v>0</v>
      </c>
      <c r="W558" s="112" t="s">
        <v>1149</v>
      </c>
      <c r="X558" s="61"/>
      <c r="Y558" s="263">
        <v>2702</v>
      </c>
      <c r="Z558" s="243">
        <f t="shared" si="55"/>
        <v>2702</v>
      </c>
      <c r="AB558" s="196"/>
      <c r="AC558" s="199"/>
    </row>
    <row r="559" spans="1:29" ht="20.100000000000001" customHeight="1" x14ac:dyDescent="0.25">
      <c r="A559" s="36"/>
      <c r="B559" s="143">
        <f t="shared" si="58"/>
        <v>513</v>
      </c>
      <c r="C559" s="88">
        <v>480</v>
      </c>
      <c r="D559" s="110" t="str">
        <f>HYPERLINK("https://sites.wustl.edu/meteoritesite/items/lm_nwa_14134/",W559)</f>
        <v>Northwest Africa 14134</v>
      </c>
      <c r="E559" s="376" t="s">
        <v>571</v>
      </c>
      <c r="F559" s="377"/>
      <c r="G559" s="377"/>
      <c r="H559" s="378"/>
      <c r="I559" s="285"/>
      <c r="J559" s="333"/>
      <c r="K559" s="333"/>
      <c r="L559" s="334"/>
      <c r="M559" s="402">
        <v>324</v>
      </c>
      <c r="N559" s="403"/>
      <c r="O559" s="381" t="s">
        <v>1076</v>
      </c>
      <c r="P559" s="382"/>
      <c r="Q559" s="383"/>
      <c r="R559" s="376" t="s">
        <v>6</v>
      </c>
      <c r="S559" s="378"/>
      <c r="T559" s="330">
        <v>0</v>
      </c>
      <c r="W559" s="112" t="s">
        <v>1163</v>
      </c>
      <c r="X559" s="61"/>
      <c r="Y559" s="263">
        <v>324</v>
      </c>
      <c r="Z559" s="243">
        <f t="shared" si="55"/>
        <v>324</v>
      </c>
      <c r="AB559" s="196"/>
      <c r="AC559" s="199"/>
    </row>
    <row r="560" spans="1:29" ht="20.100000000000001" customHeight="1" x14ac:dyDescent="0.25">
      <c r="A560" s="36"/>
      <c r="B560" s="143">
        <f t="shared" si="58"/>
        <v>514</v>
      </c>
      <c r="C560" s="88">
        <v>476</v>
      </c>
      <c r="D560" s="110" t="str">
        <f>HYPERLINK("https://sites.wustl.edu/meteoritesite/items/lm_nwa_14137/",W560)</f>
        <v>Northwest Africa 14137</v>
      </c>
      <c r="E560" s="376" t="s">
        <v>603</v>
      </c>
      <c r="F560" s="377"/>
      <c r="G560" s="377"/>
      <c r="H560" s="378"/>
      <c r="I560" s="285"/>
      <c r="J560" s="333"/>
      <c r="K560" s="333"/>
      <c r="L560" s="334"/>
      <c r="M560" s="402">
        <v>77</v>
      </c>
      <c r="N560" s="403"/>
      <c r="O560" s="381" t="s">
        <v>1130</v>
      </c>
      <c r="P560" s="382"/>
      <c r="Q560" s="383"/>
      <c r="R560" s="376" t="s">
        <v>623</v>
      </c>
      <c r="S560" s="378"/>
      <c r="T560" s="330">
        <v>0</v>
      </c>
      <c r="W560" s="112" t="s">
        <v>1155</v>
      </c>
      <c r="X560" s="61"/>
      <c r="Y560" s="263">
        <v>77</v>
      </c>
      <c r="Z560" s="243">
        <f t="shared" si="55"/>
        <v>77</v>
      </c>
      <c r="AB560" s="196"/>
      <c r="AC560" s="199"/>
    </row>
    <row r="561" spans="1:29" ht="20.100000000000001" customHeight="1" x14ac:dyDescent="0.25">
      <c r="A561" s="36"/>
      <c r="B561" s="143">
        <f t="shared" si="58"/>
        <v>515</v>
      </c>
      <c r="C561" s="88">
        <v>481</v>
      </c>
      <c r="D561" s="110" t="str">
        <f>HYPERLINK("https://sites.wustl.edu/meteoritesite/items/lm_nwa_14140/",W561)</f>
        <v>Northwest Africa 14140</v>
      </c>
      <c r="E561" s="376" t="s">
        <v>603</v>
      </c>
      <c r="F561" s="377"/>
      <c r="G561" s="377"/>
      <c r="H561" s="378"/>
      <c r="I561" s="285"/>
      <c r="J561" s="333"/>
      <c r="K561" s="333"/>
      <c r="L561" s="334"/>
      <c r="M561" s="402">
        <v>1488</v>
      </c>
      <c r="N561" s="403"/>
      <c r="O561" s="381" t="s">
        <v>1107</v>
      </c>
      <c r="P561" s="382"/>
      <c r="Q561" s="383"/>
      <c r="R561" s="376" t="s">
        <v>6</v>
      </c>
      <c r="S561" s="378"/>
      <c r="T561" s="330">
        <v>0</v>
      </c>
      <c r="W561" s="112" t="s">
        <v>1164</v>
      </c>
      <c r="X561" s="61"/>
      <c r="Y561" s="263">
        <v>1488</v>
      </c>
      <c r="Z561" s="243">
        <f t="shared" si="55"/>
        <v>1488</v>
      </c>
      <c r="AB561" s="196"/>
      <c r="AC561" s="199"/>
    </row>
    <row r="562" spans="1:29" ht="20.100000000000001" customHeight="1" x14ac:dyDescent="0.25">
      <c r="A562" s="36"/>
      <c r="B562" s="143">
        <f t="shared" si="58"/>
        <v>516</v>
      </c>
      <c r="C562" s="88">
        <v>482</v>
      </c>
      <c r="D562" s="110" t="str">
        <f>HYPERLINK("https://sites.wustl.edu/meteoritesite/items/lm_nwa_14178/",W562)</f>
        <v>Northwest Africa 14178</v>
      </c>
      <c r="E562" s="376" t="s">
        <v>603</v>
      </c>
      <c r="F562" s="377"/>
      <c r="G562" s="377"/>
      <c r="H562" s="378"/>
      <c r="I562" s="285"/>
      <c r="J562" s="333"/>
      <c r="K562" s="333"/>
      <c r="L562" s="334"/>
      <c r="M562" s="402">
        <v>440</v>
      </c>
      <c r="N562" s="403"/>
      <c r="O562" s="381" t="s">
        <v>1012</v>
      </c>
      <c r="P562" s="382"/>
      <c r="Q562" s="383"/>
      <c r="R562" s="376" t="s">
        <v>562</v>
      </c>
      <c r="S562" s="378"/>
      <c r="T562" s="330">
        <v>0</v>
      </c>
      <c r="W562" s="112" t="s">
        <v>1166</v>
      </c>
      <c r="X562" s="61"/>
      <c r="Y562" s="263">
        <v>440</v>
      </c>
      <c r="Z562" s="243">
        <f t="shared" si="55"/>
        <v>440</v>
      </c>
      <c r="AB562" s="196"/>
      <c r="AC562" s="199"/>
    </row>
    <row r="563" spans="1:29" ht="20.100000000000001" customHeight="1" x14ac:dyDescent="0.25">
      <c r="A563" s="36"/>
      <c r="B563" s="143">
        <f t="shared" si="58"/>
        <v>517</v>
      </c>
      <c r="C563" s="236">
        <v>536</v>
      </c>
      <c r="D563" s="110" t="str">
        <f>HYPERLINK("https://sites.wustl.edu/meteoritesite/items/lm_nwa_14188/",W563)</f>
        <v>Northwest Africa 14188</v>
      </c>
      <c r="E563" s="376" t="s">
        <v>603</v>
      </c>
      <c r="F563" s="377"/>
      <c r="G563" s="377"/>
      <c r="H563" s="378"/>
      <c r="I563" s="335"/>
      <c r="J563" s="336"/>
      <c r="K563" s="336"/>
      <c r="L563" s="337"/>
      <c r="M563" s="402">
        <v>260</v>
      </c>
      <c r="N563" s="403"/>
      <c r="O563" s="381" t="s">
        <v>1187</v>
      </c>
      <c r="P563" s="382"/>
      <c r="Q563" s="383"/>
      <c r="R563" s="376" t="s">
        <v>562</v>
      </c>
      <c r="S563" s="378"/>
      <c r="T563" s="330" t="s">
        <v>1285</v>
      </c>
      <c r="W563" s="237" t="s">
        <v>1282</v>
      </c>
      <c r="X563" s="61"/>
      <c r="Y563" s="263">
        <v>260</v>
      </c>
      <c r="Z563" s="243">
        <f t="shared" si="55"/>
        <v>260</v>
      </c>
      <c r="AB563" s="196"/>
      <c r="AC563" s="199"/>
    </row>
    <row r="564" spans="1:29" ht="36" customHeight="1" x14ac:dyDescent="0.25">
      <c r="A564" s="36"/>
      <c r="B564" s="125" t="s">
        <v>402</v>
      </c>
      <c r="C564" s="30" t="s">
        <v>1034</v>
      </c>
      <c r="D564" s="33" t="s">
        <v>915</v>
      </c>
      <c r="E564" s="420" t="s">
        <v>916</v>
      </c>
      <c r="F564" s="421"/>
      <c r="G564" s="421"/>
      <c r="H564" s="422"/>
      <c r="I564" s="423" t="s">
        <v>917</v>
      </c>
      <c r="J564" s="424"/>
      <c r="K564" s="424"/>
      <c r="L564" s="425"/>
      <c r="M564" s="430" t="s">
        <v>918</v>
      </c>
      <c r="N564" s="431"/>
      <c r="O564" s="426" t="s">
        <v>919</v>
      </c>
      <c r="P564" s="427"/>
      <c r="Q564" s="428"/>
      <c r="R564" s="423" t="s">
        <v>920</v>
      </c>
      <c r="S564" s="425"/>
      <c r="T564" s="5" t="s">
        <v>5</v>
      </c>
      <c r="Y564" s="243"/>
      <c r="AB564" s="196"/>
      <c r="AC564" s="199"/>
    </row>
    <row r="565" spans="1:29" ht="20.100000000000001" customHeight="1" x14ac:dyDescent="0.25">
      <c r="A565" s="36"/>
      <c r="B565" s="143">
        <f>B563+1</f>
        <v>518</v>
      </c>
      <c r="C565" s="88">
        <v>483</v>
      </c>
      <c r="D565" s="110" t="str">
        <f>HYPERLINK("https://sites.wustl.edu/meteoritesite/items/lm_nwa_14202/",W565)</f>
        <v>Northwest Africa 14202</v>
      </c>
      <c r="E565" s="376" t="s">
        <v>603</v>
      </c>
      <c r="F565" s="377"/>
      <c r="G565" s="377"/>
      <c r="H565" s="378"/>
      <c r="I565" s="285"/>
      <c r="J565" s="333"/>
      <c r="K565" s="333"/>
      <c r="L565" s="334"/>
      <c r="M565" s="402">
        <v>34</v>
      </c>
      <c r="N565" s="403"/>
      <c r="O565" s="381" t="s">
        <v>1076</v>
      </c>
      <c r="P565" s="382"/>
      <c r="Q565" s="383"/>
      <c r="R565" s="376" t="s">
        <v>6</v>
      </c>
      <c r="S565" s="378"/>
      <c r="T565" s="330">
        <v>0</v>
      </c>
      <c r="W565" s="112" t="s">
        <v>1167</v>
      </c>
      <c r="X565" s="61"/>
      <c r="Y565" s="263">
        <v>34</v>
      </c>
      <c r="Z565" s="243">
        <f t="shared" si="55"/>
        <v>34</v>
      </c>
      <c r="AB565" s="196"/>
      <c r="AC565" s="199"/>
    </row>
    <row r="566" spans="1:29" ht="20.100000000000001" customHeight="1" x14ac:dyDescent="0.25">
      <c r="A566" s="36"/>
      <c r="B566" s="143">
        <f t="shared" si="58"/>
        <v>519</v>
      </c>
      <c r="C566" s="88">
        <v>485</v>
      </c>
      <c r="D566" s="110" t="str">
        <f>HYPERLINK("https://sites.wustl.edu/meteoritesite/items/lm_nwa_14258/",W566)</f>
        <v>Northwest Africa 14258</v>
      </c>
      <c r="E566" s="376" t="s">
        <v>603</v>
      </c>
      <c r="F566" s="377"/>
      <c r="G566" s="377"/>
      <c r="H566" s="378"/>
      <c r="I566" s="285"/>
      <c r="J566" s="333"/>
      <c r="K566" s="333"/>
      <c r="L566" s="334"/>
      <c r="M566" s="402">
        <v>668</v>
      </c>
      <c r="N566" s="403"/>
      <c r="O566" s="381" t="s">
        <v>1176</v>
      </c>
      <c r="P566" s="382"/>
      <c r="Q566" s="383"/>
      <c r="R566" s="376" t="s">
        <v>6</v>
      </c>
      <c r="S566" s="378"/>
      <c r="T566" s="330">
        <v>0</v>
      </c>
      <c r="W566" s="112" t="s">
        <v>1172</v>
      </c>
      <c r="X566" s="61"/>
      <c r="Y566" s="263">
        <v>668</v>
      </c>
      <c r="Z566" s="243">
        <f t="shared" si="55"/>
        <v>668</v>
      </c>
      <c r="AB566" s="196"/>
      <c r="AC566" s="199"/>
    </row>
    <row r="567" spans="1:29" ht="20.100000000000001" customHeight="1" x14ac:dyDescent="0.25">
      <c r="A567" s="36"/>
      <c r="B567" s="143">
        <f t="shared" si="58"/>
        <v>520</v>
      </c>
      <c r="C567" s="88">
        <v>486</v>
      </c>
      <c r="D567" s="110" t="str">
        <f>HYPERLINK("https://sites.wustl.edu/meteoritesite/items/lm_nwa_14280/",W567)</f>
        <v>Northwest Africa 14280</v>
      </c>
      <c r="E567" s="376" t="s">
        <v>603</v>
      </c>
      <c r="F567" s="377"/>
      <c r="G567" s="377"/>
      <c r="H567" s="378"/>
      <c r="I567" s="285"/>
      <c r="J567" s="333"/>
      <c r="K567" s="333"/>
      <c r="L567" s="334"/>
      <c r="M567" s="402">
        <v>26</v>
      </c>
      <c r="N567" s="403"/>
      <c r="O567" s="381" t="s">
        <v>1177</v>
      </c>
      <c r="P567" s="382"/>
      <c r="Q567" s="383"/>
      <c r="R567" s="376" t="s">
        <v>6</v>
      </c>
      <c r="S567" s="378"/>
      <c r="T567" s="330">
        <v>0</v>
      </c>
      <c r="W567" s="112" t="s">
        <v>1173</v>
      </c>
      <c r="X567" s="61"/>
      <c r="Y567" s="263">
        <v>26</v>
      </c>
      <c r="Z567" s="243">
        <f t="shared" si="55"/>
        <v>26</v>
      </c>
      <c r="AB567" s="196"/>
      <c r="AC567" s="199"/>
    </row>
    <row r="568" spans="1:29" ht="20.100000000000001" customHeight="1" x14ac:dyDescent="0.25">
      <c r="A568" s="36"/>
      <c r="B568" s="143">
        <f t="shared" si="58"/>
        <v>521</v>
      </c>
      <c r="C568" s="88">
        <v>495</v>
      </c>
      <c r="D568" s="110" t="str">
        <f>HYPERLINK("https://sites.wustl.edu/meteoritesite/items/lm_nwa_14323/",W568)</f>
        <v>Northwest Africa 14323</v>
      </c>
      <c r="E568" s="376" t="s">
        <v>603</v>
      </c>
      <c r="F568" s="377"/>
      <c r="G568" s="377"/>
      <c r="H568" s="378"/>
      <c r="I568" s="285"/>
      <c r="J568" s="333"/>
      <c r="K568" s="333"/>
      <c r="L568" s="334"/>
      <c r="M568" s="402">
        <v>52</v>
      </c>
      <c r="N568" s="403"/>
      <c r="O568" s="381" t="s">
        <v>1194</v>
      </c>
      <c r="P568" s="382"/>
      <c r="Q568" s="383"/>
      <c r="R568" s="376" t="s">
        <v>1193</v>
      </c>
      <c r="S568" s="378"/>
      <c r="T568" s="330">
        <v>0</v>
      </c>
      <c r="W568" s="112" t="s">
        <v>1192</v>
      </c>
      <c r="X568" s="61"/>
      <c r="Y568" s="263">
        <v>52</v>
      </c>
      <c r="Z568" s="243">
        <f t="shared" si="55"/>
        <v>52</v>
      </c>
      <c r="AB568" s="196"/>
      <c r="AC568" s="199"/>
    </row>
    <row r="569" spans="1:29" ht="20.100000000000001" customHeight="1" x14ac:dyDescent="0.25">
      <c r="A569" s="36"/>
      <c r="B569" s="143">
        <f t="shared" si="58"/>
        <v>522</v>
      </c>
      <c r="C569" s="88">
        <v>492</v>
      </c>
      <c r="D569" s="110" t="str">
        <f>HYPERLINK("https://sites.wustl.edu/meteoritesite/items/lm_nwa_14338/",W569)</f>
        <v>Northwest Africa 14338</v>
      </c>
      <c r="E569" s="376" t="s">
        <v>603</v>
      </c>
      <c r="F569" s="377"/>
      <c r="G569" s="377"/>
      <c r="H569" s="378"/>
      <c r="I569" s="285"/>
      <c r="J569" s="333"/>
      <c r="K569" s="333"/>
      <c r="L569" s="334"/>
      <c r="M569" s="463">
        <v>7.6</v>
      </c>
      <c r="N569" s="464"/>
      <c r="O569" s="381" t="s">
        <v>912</v>
      </c>
      <c r="P569" s="382"/>
      <c r="Q569" s="383"/>
      <c r="R569" s="376" t="s">
        <v>1189</v>
      </c>
      <c r="S569" s="378"/>
      <c r="T569" s="330">
        <v>0</v>
      </c>
      <c r="W569" s="112" t="s">
        <v>1188</v>
      </c>
      <c r="X569" s="61"/>
      <c r="Y569" s="262">
        <v>7.6</v>
      </c>
      <c r="Z569" s="243">
        <f t="shared" si="55"/>
        <v>7.6</v>
      </c>
      <c r="AB569" s="196"/>
      <c r="AC569" s="199"/>
    </row>
    <row r="570" spans="1:29" ht="20.100000000000001" customHeight="1" x14ac:dyDescent="0.25">
      <c r="A570" s="36"/>
      <c r="B570" s="143">
        <f t="shared" si="58"/>
        <v>523</v>
      </c>
      <c r="C570" s="88">
        <v>487</v>
      </c>
      <c r="D570" s="110" t="str">
        <f>HYPERLINK("https://sites.wustl.edu/meteoritesite/items/lm_nwa_08046/",W570)</f>
        <v>Northwest Africa 14340</v>
      </c>
      <c r="E570" s="376" t="s">
        <v>571</v>
      </c>
      <c r="F570" s="377"/>
      <c r="G570" s="377"/>
      <c r="H570" s="378"/>
      <c r="I570" s="285"/>
      <c r="J570" s="333"/>
      <c r="K570" s="333"/>
      <c r="L570" s="334"/>
      <c r="M570" s="432">
        <v>8.26</v>
      </c>
      <c r="N570" s="433"/>
      <c r="O570" s="381" t="s">
        <v>902</v>
      </c>
      <c r="P570" s="382"/>
      <c r="Q570" s="383"/>
      <c r="R570" s="376" t="s">
        <v>6</v>
      </c>
      <c r="S570" s="378"/>
      <c r="T570" s="330">
        <v>0</v>
      </c>
      <c r="W570" s="112" t="s">
        <v>1174</v>
      </c>
      <c r="X570" s="61"/>
      <c r="Y570" s="264">
        <v>8.26</v>
      </c>
      <c r="Z570" s="243">
        <f t="shared" si="55"/>
        <v>8.26</v>
      </c>
      <c r="AB570" s="196"/>
      <c r="AC570" s="199"/>
    </row>
    <row r="571" spans="1:29" ht="20.100000000000001" customHeight="1" x14ac:dyDescent="0.25">
      <c r="A571" s="36"/>
      <c r="B571" s="143">
        <f t="shared" si="58"/>
        <v>524</v>
      </c>
      <c r="C571" s="88">
        <v>488</v>
      </c>
      <c r="D571" s="110" t="str">
        <f>HYPERLINK("https://sites.wustl.edu/meteoritesite/items/lm_nwa_14341/",W571)</f>
        <v>Northwest Africa 14341</v>
      </c>
      <c r="E571" s="376" t="s">
        <v>603</v>
      </c>
      <c r="F571" s="377"/>
      <c r="G571" s="377"/>
      <c r="H571" s="378"/>
      <c r="I571" s="285"/>
      <c r="J571" s="333"/>
      <c r="K571" s="333"/>
      <c r="L571" s="334"/>
      <c r="M571" s="402">
        <v>567</v>
      </c>
      <c r="N571" s="403"/>
      <c r="O571" s="381" t="s">
        <v>1076</v>
      </c>
      <c r="P571" s="382"/>
      <c r="Q571" s="383"/>
      <c r="R571" s="376" t="s">
        <v>6</v>
      </c>
      <c r="S571" s="378"/>
      <c r="T571" s="330">
        <v>0</v>
      </c>
      <c r="W571" s="112" t="s">
        <v>1175</v>
      </c>
      <c r="X571" s="61"/>
      <c r="Y571" s="263">
        <v>567</v>
      </c>
      <c r="Z571" s="243">
        <f t="shared" si="55"/>
        <v>567</v>
      </c>
      <c r="AB571" s="196"/>
      <c r="AC571" s="199"/>
    </row>
    <row r="572" spans="1:29" ht="20.100000000000001" customHeight="1" x14ac:dyDescent="0.25">
      <c r="A572" s="36"/>
      <c r="B572" s="143">
        <f t="shared" si="58"/>
        <v>525</v>
      </c>
      <c r="C572" s="88">
        <v>493</v>
      </c>
      <c r="D572" s="110" t="str">
        <f>HYPERLINK("https://sites.wustl.edu/meteoritesite/items/lm_nwa_14358/",W572)</f>
        <v>Northwest Africa 14358</v>
      </c>
      <c r="E572" s="376" t="s">
        <v>603</v>
      </c>
      <c r="F572" s="377"/>
      <c r="G572" s="377"/>
      <c r="H572" s="378"/>
      <c r="I572" s="285"/>
      <c r="J572" s="333"/>
      <c r="K572" s="333"/>
      <c r="L572" s="334"/>
      <c r="M572" s="432" t="s">
        <v>1186</v>
      </c>
      <c r="N572" s="433"/>
      <c r="O572" s="381" t="s">
        <v>1187</v>
      </c>
      <c r="P572" s="382"/>
      <c r="Q572" s="383"/>
      <c r="R572" s="376" t="s">
        <v>6</v>
      </c>
      <c r="S572" s="378"/>
      <c r="T572" s="330">
        <v>0</v>
      </c>
      <c r="W572" s="112" t="s">
        <v>1185</v>
      </c>
      <c r="X572" s="61"/>
      <c r="Y572" s="264">
        <v>299.98</v>
      </c>
      <c r="Z572" s="243">
        <f t="shared" si="55"/>
        <v>299.98</v>
      </c>
      <c r="AB572" s="196"/>
      <c r="AC572" s="199"/>
    </row>
    <row r="573" spans="1:29" ht="20.100000000000001" customHeight="1" x14ac:dyDescent="0.25">
      <c r="A573" s="36"/>
      <c r="B573" s="143">
        <f t="shared" si="58"/>
        <v>526</v>
      </c>
      <c r="C573" s="88">
        <v>498</v>
      </c>
      <c r="D573" s="110" t="str">
        <f>HYPERLINK("https://sites.wustl.edu/meteoritesite/items/lm_nwa_14372/",W573)</f>
        <v>Northwest Africa 14372</v>
      </c>
      <c r="E573" s="376" t="s">
        <v>603</v>
      </c>
      <c r="F573" s="377"/>
      <c r="G573" s="377"/>
      <c r="H573" s="378"/>
      <c r="I573" s="285"/>
      <c r="J573" s="333"/>
      <c r="K573" s="333"/>
      <c r="L573" s="334"/>
      <c r="M573" s="402" t="s">
        <v>1204</v>
      </c>
      <c r="N573" s="403"/>
      <c r="O573" s="381" t="s">
        <v>1207</v>
      </c>
      <c r="P573" s="382"/>
      <c r="Q573" s="383"/>
      <c r="R573" s="376" t="s">
        <v>6</v>
      </c>
      <c r="S573" s="378"/>
      <c r="T573" s="330">
        <v>0</v>
      </c>
      <c r="W573" s="112" t="s">
        <v>1199</v>
      </c>
      <c r="X573" s="61"/>
      <c r="Y573" s="260">
        <v>2525</v>
      </c>
      <c r="Z573" s="243">
        <f t="shared" si="55"/>
        <v>2525</v>
      </c>
      <c r="AB573" s="196"/>
      <c r="AC573" s="199"/>
    </row>
    <row r="574" spans="1:29" ht="20.100000000000001" customHeight="1" x14ac:dyDescent="0.25">
      <c r="A574" s="36"/>
      <c r="B574" s="143">
        <f t="shared" si="58"/>
        <v>527</v>
      </c>
      <c r="C574" s="88">
        <v>499</v>
      </c>
      <c r="D574" s="110" t="str">
        <f>HYPERLINK("https://sites.wustl.edu/meteoritesite/items/lm_nwa_14415/",W574)</f>
        <v>Northwest Africa 14415</v>
      </c>
      <c r="E574" s="376" t="s">
        <v>603</v>
      </c>
      <c r="F574" s="377"/>
      <c r="G574" s="377"/>
      <c r="H574" s="378"/>
      <c r="I574" s="285"/>
      <c r="J574" s="333"/>
      <c r="K574" s="333"/>
      <c r="L574" s="334"/>
      <c r="M574" s="463">
        <v>3.8</v>
      </c>
      <c r="N574" s="464"/>
      <c r="O574" s="381" t="s">
        <v>1051</v>
      </c>
      <c r="P574" s="382"/>
      <c r="Q574" s="383"/>
      <c r="R574" s="376" t="s">
        <v>6</v>
      </c>
      <c r="S574" s="378"/>
      <c r="T574" s="330">
        <v>0</v>
      </c>
      <c r="W574" s="112" t="s">
        <v>1200</v>
      </c>
      <c r="X574" s="61"/>
      <c r="Y574" s="267">
        <v>3.8</v>
      </c>
      <c r="Z574" s="243">
        <f t="shared" si="55"/>
        <v>3.8</v>
      </c>
      <c r="AB574" s="196"/>
      <c r="AC574" s="199"/>
    </row>
    <row r="575" spans="1:29" ht="20.100000000000001" customHeight="1" x14ac:dyDescent="0.25">
      <c r="A575" s="36"/>
      <c r="B575" s="143">
        <f t="shared" si="58"/>
        <v>528</v>
      </c>
      <c r="C575" s="88">
        <v>496</v>
      </c>
      <c r="D575" s="110" t="str">
        <f>HYPERLINK("https://sites.wustl.edu/meteoritesite/items/lm_nwa_14446/",W575)</f>
        <v>Northwest Africa 14446</v>
      </c>
      <c r="E575" s="376" t="s">
        <v>603</v>
      </c>
      <c r="F575" s="377"/>
      <c r="G575" s="377"/>
      <c r="H575" s="378"/>
      <c r="I575" s="285"/>
      <c r="J575" s="333"/>
      <c r="K575" s="333"/>
      <c r="L575" s="334"/>
      <c r="M575" s="402">
        <v>384</v>
      </c>
      <c r="N575" s="403"/>
      <c r="O575" s="381" t="s">
        <v>1195</v>
      </c>
      <c r="P575" s="382"/>
      <c r="Q575" s="383"/>
      <c r="R575" s="376" t="s">
        <v>6</v>
      </c>
      <c r="S575" s="378"/>
      <c r="T575" s="330">
        <v>0</v>
      </c>
      <c r="W575" s="112" t="s">
        <v>1191</v>
      </c>
      <c r="X575" s="61"/>
      <c r="Y575" s="263">
        <v>384</v>
      </c>
      <c r="Z575" s="243">
        <f t="shared" si="55"/>
        <v>384</v>
      </c>
      <c r="AB575" s="196"/>
      <c r="AC575" s="199"/>
    </row>
    <row r="576" spans="1:29" ht="20.100000000000001" customHeight="1" x14ac:dyDescent="0.25">
      <c r="A576" s="36"/>
      <c r="B576" s="143">
        <f t="shared" si="58"/>
        <v>529</v>
      </c>
      <c r="C576" s="88">
        <v>500</v>
      </c>
      <c r="D576" s="110" t="str">
        <f>HYPERLINK("https://sites.wustl.edu/meteoritesite/items/lm_nwa_14523/",W576)</f>
        <v>Northwest Africa 14523</v>
      </c>
      <c r="E576" s="376" t="s">
        <v>603</v>
      </c>
      <c r="F576" s="377"/>
      <c r="G576" s="377"/>
      <c r="H576" s="378"/>
      <c r="I576" s="285"/>
      <c r="J576" s="333"/>
      <c r="K576" s="333"/>
      <c r="L576" s="334"/>
      <c r="M576" s="432" t="s">
        <v>1205</v>
      </c>
      <c r="N576" s="433"/>
      <c r="O576" s="381" t="s">
        <v>1051</v>
      </c>
      <c r="P576" s="382"/>
      <c r="Q576" s="383"/>
      <c r="R576" s="376" t="s">
        <v>6</v>
      </c>
      <c r="S576" s="378"/>
      <c r="T576" s="330">
        <v>0</v>
      </c>
      <c r="W576" s="112" t="s">
        <v>1201</v>
      </c>
      <c r="X576" s="61"/>
      <c r="Y576" s="260">
        <v>2800</v>
      </c>
      <c r="Z576" s="243">
        <f t="shared" si="55"/>
        <v>2800</v>
      </c>
      <c r="AB576" s="196"/>
      <c r="AC576" s="199"/>
    </row>
    <row r="577" spans="1:29" ht="20.100000000000001" customHeight="1" x14ac:dyDescent="0.25">
      <c r="A577" s="36"/>
      <c r="B577" s="143">
        <f t="shared" si="58"/>
        <v>530</v>
      </c>
      <c r="C577" s="88">
        <v>501</v>
      </c>
      <c r="D577" s="110" t="str">
        <f>HYPERLINK("https://sites.wustl.edu/meteoritesite/items/lm_nwa_14524/",W577)</f>
        <v>Northwest Africa 14524</v>
      </c>
      <c r="E577" s="376" t="s">
        <v>603</v>
      </c>
      <c r="F577" s="377"/>
      <c r="G577" s="377"/>
      <c r="H577" s="378"/>
      <c r="I577" s="285"/>
      <c r="J577" s="333"/>
      <c r="K577" s="333"/>
      <c r="L577" s="334"/>
      <c r="M577" s="432" t="s">
        <v>1206</v>
      </c>
      <c r="N577" s="433"/>
      <c r="O577" s="381" t="s">
        <v>1076</v>
      </c>
      <c r="P577" s="382"/>
      <c r="Q577" s="383"/>
      <c r="R577" s="376" t="s">
        <v>6</v>
      </c>
      <c r="S577" s="378"/>
      <c r="T577" s="330">
        <v>0</v>
      </c>
      <c r="W577" s="112" t="s">
        <v>1202</v>
      </c>
      <c r="X577" s="61"/>
      <c r="Y577" s="260">
        <v>2000</v>
      </c>
      <c r="Z577" s="243">
        <f t="shared" si="55"/>
        <v>2000</v>
      </c>
      <c r="AB577" s="196"/>
      <c r="AC577" s="199"/>
    </row>
    <row r="578" spans="1:29" ht="20.100000000000001" customHeight="1" x14ac:dyDescent="0.25">
      <c r="A578" s="36"/>
      <c r="B578" s="143">
        <f t="shared" si="58"/>
        <v>531</v>
      </c>
      <c r="C578" s="88">
        <v>502</v>
      </c>
      <c r="D578" s="110" t="str">
        <f>HYPERLINK("https://sites.wustl.edu/meteoritesite/items/lm_nwa_14526/",W578)</f>
        <v>Northwest Africa 14526</v>
      </c>
      <c r="E578" s="376" t="s">
        <v>1751</v>
      </c>
      <c r="F578" s="377"/>
      <c r="G578" s="377"/>
      <c r="H578" s="378"/>
      <c r="I578" s="285"/>
      <c r="J578" s="333"/>
      <c r="K578" s="333"/>
      <c r="L578" s="334"/>
      <c r="M578" s="402">
        <v>505</v>
      </c>
      <c r="N578" s="403"/>
      <c r="O578" s="381" t="s">
        <v>1076</v>
      </c>
      <c r="P578" s="382"/>
      <c r="Q578" s="383"/>
      <c r="R578" s="376" t="s">
        <v>1145</v>
      </c>
      <c r="S578" s="378"/>
      <c r="T578" s="330">
        <v>0</v>
      </c>
      <c r="W578" s="112" t="s">
        <v>1203</v>
      </c>
      <c r="X578" s="61"/>
      <c r="Y578" s="260">
        <v>505</v>
      </c>
      <c r="Z578" s="243">
        <f t="shared" ref="Z578:Z583" si="59">Y578</f>
        <v>505</v>
      </c>
      <c r="AB578" s="196"/>
      <c r="AC578" s="199"/>
    </row>
    <row r="579" spans="1:29" ht="20.100000000000001" customHeight="1" x14ac:dyDescent="0.25">
      <c r="A579" s="36"/>
      <c r="B579" s="143">
        <f t="shared" si="58"/>
        <v>532</v>
      </c>
      <c r="C579" s="88">
        <v>513</v>
      </c>
      <c r="D579" s="110" t="str">
        <f>HYPERLINK("https://sites.wustl.edu/meteoritesite/items/lm_nwa_14527/",W579)</f>
        <v>Northwest Africa 14527</v>
      </c>
      <c r="E579" s="376" t="s">
        <v>603</v>
      </c>
      <c r="F579" s="377"/>
      <c r="G579" s="377"/>
      <c r="H579" s="378"/>
      <c r="I579" s="285"/>
      <c r="J579" s="333"/>
      <c r="K579" s="333"/>
      <c r="L579" s="334"/>
      <c r="M579" s="402">
        <v>38</v>
      </c>
      <c r="N579" s="403"/>
      <c r="O579" s="381" t="s">
        <v>1033</v>
      </c>
      <c r="P579" s="382"/>
      <c r="Q579" s="383"/>
      <c r="R579" s="376" t="s">
        <v>6</v>
      </c>
      <c r="S579" s="378"/>
      <c r="T579" s="330">
        <v>0</v>
      </c>
      <c r="W579" s="112" t="s">
        <v>1240</v>
      </c>
      <c r="X579" s="61"/>
      <c r="Y579" s="260">
        <v>38</v>
      </c>
      <c r="Z579" s="243">
        <f t="shared" si="59"/>
        <v>38</v>
      </c>
      <c r="AB579" s="196"/>
      <c r="AC579" s="199"/>
    </row>
    <row r="580" spans="1:29" ht="20.100000000000001" customHeight="1" x14ac:dyDescent="0.25">
      <c r="A580" s="36"/>
      <c r="B580" s="143">
        <f t="shared" si="58"/>
        <v>533</v>
      </c>
      <c r="C580" s="88">
        <v>508</v>
      </c>
      <c r="D580" s="110" t="str">
        <f>HYPERLINK("https://sites.wustl.edu/meteoritesite/items/lm_nwa_14531/",W580)</f>
        <v>Northwest Africa 14531</v>
      </c>
      <c r="E580" s="376" t="s">
        <v>1230</v>
      </c>
      <c r="F580" s="377"/>
      <c r="G580" s="377"/>
      <c r="H580" s="378"/>
      <c r="I580" s="285"/>
      <c r="J580" s="333"/>
      <c r="K580" s="333"/>
      <c r="L580" s="334"/>
      <c r="M580" s="432">
        <v>9.32</v>
      </c>
      <c r="N580" s="433"/>
      <c r="O580" s="381" t="s">
        <v>1226</v>
      </c>
      <c r="P580" s="382"/>
      <c r="Q580" s="383"/>
      <c r="R580" s="376" t="s">
        <v>6</v>
      </c>
      <c r="S580" s="378"/>
      <c r="T580" s="330">
        <v>0</v>
      </c>
      <c r="W580" s="112" t="s">
        <v>1227</v>
      </c>
      <c r="X580" s="61"/>
      <c r="Y580" s="268">
        <v>9.32</v>
      </c>
      <c r="Z580" s="243">
        <f t="shared" si="59"/>
        <v>9.32</v>
      </c>
      <c r="AB580" s="196"/>
      <c r="AC580" s="199"/>
    </row>
    <row r="581" spans="1:29" ht="20.100000000000001" customHeight="1" x14ac:dyDescent="0.25">
      <c r="A581" s="36"/>
      <c r="B581" s="143">
        <f t="shared" si="58"/>
        <v>534</v>
      </c>
      <c r="C581" s="88">
        <v>509</v>
      </c>
      <c r="D581" s="110" t="str">
        <f>HYPERLINK("https://sites.wustl.edu/meteoritesite/items/lm_nwa_14531/",W581)</f>
        <v>Northwest Africa 14532</v>
      </c>
      <c r="E581" s="376" t="s">
        <v>1231</v>
      </c>
      <c r="F581" s="377"/>
      <c r="G581" s="377"/>
      <c r="H581" s="378"/>
      <c r="I581" s="285"/>
      <c r="J581" s="333"/>
      <c r="K581" s="333"/>
      <c r="L581" s="334"/>
      <c r="M581" s="463" t="s">
        <v>1232</v>
      </c>
      <c r="N581" s="464"/>
      <c r="O581" s="381" t="s">
        <v>1226</v>
      </c>
      <c r="P581" s="382"/>
      <c r="Q581" s="383"/>
      <c r="R581" s="376" t="s">
        <v>6</v>
      </c>
      <c r="S581" s="378"/>
      <c r="T581" s="330">
        <v>0</v>
      </c>
      <c r="W581" s="112" t="s">
        <v>1228</v>
      </c>
      <c r="X581" s="61"/>
      <c r="Y581" s="267">
        <v>17.7</v>
      </c>
      <c r="Z581" s="243">
        <f t="shared" si="59"/>
        <v>17.7</v>
      </c>
      <c r="AB581" s="196"/>
      <c r="AC581" s="199"/>
    </row>
    <row r="582" spans="1:29" ht="20.100000000000001" customHeight="1" x14ac:dyDescent="0.25">
      <c r="A582" s="36"/>
      <c r="B582" s="143">
        <f t="shared" si="58"/>
        <v>535</v>
      </c>
      <c r="C582" s="88">
        <v>510</v>
      </c>
      <c r="D582" s="110" t="str">
        <f>HYPERLINK("https://sites.wustl.edu/meteoritesite/items/lm_nwa_14540/",W582)</f>
        <v>Northwest Africa 14540</v>
      </c>
      <c r="E582" s="376" t="s">
        <v>603</v>
      </c>
      <c r="F582" s="377"/>
      <c r="G582" s="377"/>
      <c r="H582" s="378"/>
      <c r="I582" s="285"/>
      <c r="J582" s="333"/>
      <c r="K582" s="333"/>
      <c r="L582" s="334"/>
      <c r="M582" s="463">
        <v>25.3</v>
      </c>
      <c r="N582" s="464"/>
      <c r="O582" s="381" t="s">
        <v>1093</v>
      </c>
      <c r="P582" s="382"/>
      <c r="Q582" s="383"/>
      <c r="R582" s="376" t="s">
        <v>6</v>
      </c>
      <c r="S582" s="378"/>
      <c r="T582" s="330">
        <v>0</v>
      </c>
      <c r="W582" s="112" t="s">
        <v>1229</v>
      </c>
      <c r="X582" s="61"/>
      <c r="Y582" s="267">
        <v>25.3</v>
      </c>
      <c r="Z582" s="243">
        <f t="shared" si="59"/>
        <v>25.3</v>
      </c>
      <c r="AB582" s="196"/>
      <c r="AC582" s="199"/>
    </row>
    <row r="583" spans="1:29" ht="20.100000000000001" customHeight="1" x14ac:dyDescent="0.25">
      <c r="A583" s="36"/>
      <c r="B583" s="143">
        <f t="shared" si="58"/>
        <v>536</v>
      </c>
      <c r="C583" s="88">
        <v>504</v>
      </c>
      <c r="D583" s="110" t="str">
        <f>HYPERLINK("https://sites.wustl.edu/meteoritesite/items/lm_nwa_14576/",W583)</f>
        <v>Northwest Africa 14576</v>
      </c>
      <c r="E583" s="376" t="s">
        <v>603</v>
      </c>
      <c r="F583" s="377"/>
      <c r="G583" s="377"/>
      <c r="H583" s="378"/>
      <c r="I583" s="285"/>
      <c r="J583" s="333"/>
      <c r="K583" s="333"/>
      <c r="L583" s="334"/>
      <c r="M583" s="432" t="s">
        <v>1220</v>
      </c>
      <c r="N583" s="433"/>
      <c r="O583" s="381" t="s">
        <v>1076</v>
      </c>
      <c r="P583" s="382"/>
      <c r="Q583" s="383"/>
      <c r="R583" s="376" t="s">
        <v>6</v>
      </c>
      <c r="S583" s="378"/>
      <c r="T583" s="330">
        <v>0</v>
      </c>
      <c r="W583" s="112" t="s">
        <v>1217</v>
      </c>
      <c r="X583" s="61"/>
      <c r="Y583" s="247">
        <v>10050</v>
      </c>
      <c r="Z583" s="243">
        <f t="shared" si="59"/>
        <v>10050</v>
      </c>
      <c r="AB583" s="196"/>
      <c r="AC583" s="199"/>
    </row>
    <row r="584" spans="1:29" ht="36" customHeight="1" x14ac:dyDescent="0.25">
      <c r="A584" s="36"/>
      <c r="B584" s="125" t="s">
        <v>402</v>
      </c>
      <c r="C584" s="30" t="s">
        <v>1034</v>
      </c>
      <c r="D584" s="33" t="s">
        <v>915</v>
      </c>
      <c r="E584" s="420" t="s">
        <v>916</v>
      </c>
      <c r="F584" s="421"/>
      <c r="G584" s="421"/>
      <c r="H584" s="422"/>
      <c r="I584" s="423" t="s">
        <v>917</v>
      </c>
      <c r="J584" s="424"/>
      <c r="K584" s="424"/>
      <c r="L584" s="425"/>
      <c r="M584" s="430" t="s">
        <v>918</v>
      </c>
      <c r="N584" s="431"/>
      <c r="O584" s="426" t="s">
        <v>919</v>
      </c>
      <c r="P584" s="427"/>
      <c r="Q584" s="428"/>
      <c r="R584" s="423" t="s">
        <v>920</v>
      </c>
      <c r="S584" s="425"/>
      <c r="T584" s="5" t="s">
        <v>5</v>
      </c>
      <c r="Y584" s="243"/>
      <c r="AB584" s="196"/>
      <c r="AC584" s="199"/>
    </row>
    <row r="585" spans="1:29" ht="20.100000000000001" customHeight="1" x14ac:dyDescent="0.25">
      <c r="A585" s="36"/>
      <c r="B585" s="143">
        <f>B583+1</f>
        <v>537</v>
      </c>
      <c r="C585" s="88">
        <v>505</v>
      </c>
      <c r="D585" s="110" t="str">
        <f>HYPERLINK("https://sites.wustl.edu/meteoritesite/items/lm_nwa_14577/",W585)</f>
        <v>Northwest Africa 14577</v>
      </c>
      <c r="E585" s="376" t="s">
        <v>603</v>
      </c>
      <c r="F585" s="377"/>
      <c r="G585" s="377"/>
      <c r="H585" s="378"/>
      <c r="I585" s="285"/>
      <c r="J585" s="333"/>
      <c r="K585" s="333"/>
      <c r="L585" s="334"/>
      <c r="M585" s="432" t="s">
        <v>1221</v>
      </c>
      <c r="N585" s="433"/>
      <c r="O585" s="381" t="s">
        <v>1076</v>
      </c>
      <c r="P585" s="382"/>
      <c r="Q585" s="383"/>
      <c r="R585" s="376" t="s">
        <v>6</v>
      </c>
      <c r="S585" s="378"/>
      <c r="T585" s="330">
        <v>0</v>
      </c>
      <c r="W585" s="112" t="s">
        <v>1218</v>
      </c>
      <c r="X585" s="61"/>
      <c r="Y585" s="260">
        <v>1008</v>
      </c>
      <c r="Z585" s="243">
        <f t="shared" ref="Z585:Z651" si="60">Y585</f>
        <v>1008</v>
      </c>
      <c r="AB585" s="196"/>
      <c r="AC585" s="199"/>
    </row>
    <row r="586" spans="1:29" ht="20.100000000000001" customHeight="1" x14ac:dyDescent="0.25">
      <c r="A586" s="36"/>
      <c r="B586" s="143">
        <f t="shared" si="58"/>
        <v>538</v>
      </c>
      <c r="C586" s="88">
        <v>506</v>
      </c>
      <c r="D586" s="110" t="str">
        <f>HYPERLINK("https://sites.wustl.edu/meteoritesite/items/lm_nwa_14594/",W586)</f>
        <v>Northwest Africa 14594</v>
      </c>
      <c r="E586" s="376" t="s">
        <v>603</v>
      </c>
      <c r="F586" s="377"/>
      <c r="G586" s="377"/>
      <c r="H586" s="378"/>
      <c r="I586" s="285"/>
      <c r="J586" s="333"/>
      <c r="K586" s="333"/>
      <c r="L586" s="334"/>
      <c r="M586" s="402">
        <v>29</v>
      </c>
      <c r="N586" s="403"/>
      <c r="O586" s="381" t="s">
        <v>1076</v>
      </c>
      <c r="P586" s="382"/>
      <c r="Q586" s="383"/>
      <c r="R586" s="376" t="s">
        <v>6</v>
      </c>
      <c r="S586" s="378"/>
      <c r="T586" s="330">
        <v>0</v>
      </c>
      <c r="W586" s="112" t="s">
        <v>1219</v>
      </c>
      <c r="X586" s="61"/>
      <c r="Y586" s="260">
        <v>29</v>
      </c>
      <c r="Z586" s="243">
        <f t="shared" si="60"/>
        <v>29</v>
      </c>
      <c r="AB586" s="196"/>
      <c r="AC586" s="199"/>
    </row>
    <row r="587" spans="1:29" ht="20.100000000000001" customHeight="1" x14ac:dyDescent="0.25">
      <c r="A587" s="36"/>
      <c r="B587" s="143">
        <f t="shared" si="58"/>
        <v>539</v>
      </c>
      <c r="C587" s="88">
        <v>529</v>
      </c>
      <c r="D587" s="110" t="str">
        <f>HYPERLINK("https://sites.wustl.edu/meteoritesite/items/lm_nwa_14657/",W587)</f>
        <v>Northwest Africa 14657</v>
      </c>
      <c r="E587" s="376" t="s">
        <v>1273</v>
      </c>
      <c r="F587" s="377"/>
      <c r="G587" s="377"/>
      <c r="H587" s="378"/>
      <c r="I587" s="285"/>
      <c r="J587" s="333"/>
      <c r="K587" s="333"/>
      <c r="L587" s="334"/>
      <c r="M587" s="463">
        <v>163.9</v>
      </c>
      <c r="N587" s="464"/>
      <c r="O587" s="381" t="s">
        <v>1076</v>
      </c>
      <c r="P587" s="382"/>
      <c r="Q587" s="383"/>
      <c r="R587" s="376" t="s">
        <v>6</v>
      </c>
      <c r="S587" s="378"/>
      <c r="T587" s="330">
        <v>0</v>
      </c>
      <c r="W587" s="112" t="s">
        <v>1272</v>
      </c>
      <c r="X587" s="61"/>
      <c r="Y587" s="267">
        <v>163.9</v>
      </c>
      <c r="Z587" s="243">
        <f t="shared" si="60"/>
        <v>163.9</v>
      </c>
      <c r="AB587" s="196"/>
      <c r="AC587" s="199"/>
    </row>
    <row r="588" spans="1:29" ht="20.100000000000001" customHeight="1" x14ac:dyDescent="0.25">
      <c r="A588" s="36"/>
      <c r="B588" s="143">
        <f t="shared" si="58"/>
        <v>540</v>
      </c>
      <c r="C588" s="88">
        <v>559</v>
      </c>
      <c r="D588" s="110" t="str">
        <f>HYPERLINK("https://sites.wustl.edu/meteoritesite/items/lm_nwa_14681/",W588)</f>
        <v>Northwest Africa 14681</v>
      </c>
      <c r="E588" s="376" t="s">
        <v>1688</v>
      </c>
      <c r="F588" s="377"/>
      <c r="G588" s="377"/>
      <c r="H588" s="378"/>
      <c r="I588" s="285"/>
      <c r="J588" s="333"/>
      <c r="K588" s="333"/>
      <c r="L588" s="334"/>
      <c r="M588" s="402">
        <v>4900</v>
      </c>
      <c r="N588" s="403"/>
      <c r="O588" s="381" t="s">
        <v>1076</v>
      </c>
      <c r="P588" s="382"/>
      <c r="Q588" s="383"/>
      <c r="R588" s="376" t="s">
        <v>1342</v>
      </c>
      <c r="S588" s="378"/>
      <c r="T588" s="330">
        <v>0</v>
      </c>
      <c r="W588" s="112" t="s">
        <v>1341</v>
      </c>
      <c r="X588" s="61"/>
      <c r="Y588" s="260">
        <v>4900</v>
      </c>
      <c r="Z588" s="243">
        <f t="shared" si="60"/>
        <v>4900</v>
      </c>
      <c r="AB588" s="196"/>
      <c r="AC588" s="199"/>
    </row>
    <row r="589" spans="1:29" ht="20.100000000000001" customHeight="1" x14ac:dyDescent="0.25">
      <c r="A589" s="36"/>
      <c r="B589" s="143">
        <f t="shared" si="58"/>
        <v>541</v>
      </c>
      <c r="C589" s="88">
        <v>514</v>
      </c>
      <c r="D589" s="110" t="str">
        <f>HYPERLINK("https://sites.wustl.edu/meteoritesite/items/lm_nwa_14685/",W589)</f>
        <v>Northwest Africa 14685</v>
      </c>
      <c r="E589" s="376" t="s">
        <v>1260</v>
      </c>
      <c r="F589" s="377"/>
      <c r="G589" s="377"/>
      <c r="H589" s="378"/>
      <c r="I589" s="285"/>
      <c r="J589" s="333"/>
      <c r="K589" s="333"/>
      <c r="L589" s="334"/>
      <c r="M589" s="432" t="s">
        <v>1258</v>
      </c>
      <c r="N589" s="433"/>
      <c r="O589" s="381" t="s">
        <v>1005</v>
      </c>
      <c r="P589" s="382"/>
      <c r="Q589" s="383"/>
      <c r="R589" s="376" t="s">
        <v>1259</v>
      </c>
      <c r="S589" s="378"/>
      <c r="T589" s="330">
        <v>0</v>
      </c>
      <c r="W589" s="112" t="s">
        <v>1241</v>
      </c>
      <c r="X589" s="61"/>
      <c r="Y589" s="260">
        <v>8000</v>
      </c>
      <c r="Z589" s="243">
        <f t="shared" si="60"/>
        <v>8000</v>
      </c>
      <c r="AB589" s="196"/>
      <c r="AC589" s="199"/>
    </row>
    <row r="590" spans="1:29" ht="20.100000000000001" customHeight="1" x14ac:dyDescent="0.25">
      <c r="A590" s="36"/>
      <c r="B590" s="143">
        <f t="shared" si="58"/>
        <v>542</v>
      </c>
      <c r="C590" s="88">
        <v>515</v>
      </c>
      <c r="D590" s="110" t="str">
        <f>HYPERLINK("https://sites.wustl.edu/meteoritesite/items/lm_nwa_14685/",W590)</f>
        <v>Northwest Africa 14686</v>
      </c>
      <c r="E590" s="376" t="s">
        <v>1271</v>
      </c>
      <c r="F590" s="377"/>
      <c r="G590" s="377"/>
      <c r="H590" s="378"/>
      <c r="I590" s="285"/>
      <c r="J590" s="333"/>
      <c r="K590" s="333"/>
      <c r="L590" s="334"/>
      <c r="M590" s="432" t="s">
        <v>1692</v>
      </c>
      <c r="N590" s="433"/>
      <c r="O590" s="381" t="s">
        <v>1005</v>
      </c>
      <c r="P590" s="382"/>
      <c r="Q590" s="383"/>
      <c r="R590" s="376" t="s">
        <v>1259</v>
      </c>
      <c r="S590" s="378"/>
      <c r="T590" s="330">
        <v>0</v>
      </c>
      <c r="W590" s="112" t="s">
        <v>1242</v>
      </c>
      <c r="X590" s="61"/>
      <c r="Y590" s="260">
        <v>12000</v>
      </c>
      <c r="Z590" s="243">
        <f t="shared" si="60"/>
        <v>12000</v>
      </c>
      <c r="AB590" s="196"/>
      <c r="AC590" s="199"/>
    </row>
    <row r="591" spans="1:29" ht="20.100000000000001" customHeight="1" x14ac:dyDescent="0.25">
      <c r="A591" s="36"/>
      <c r="B591" s="143">
        <f t="shared" si="58"/>
        <v>543</v>
      </c>
      <c r="C591" s="88">
        <v>516</v>
      </c>
      <c r="D591" s="110" t="str">
        <f>HYPERLINK("https://sites.wustl.edu/meteoritesite/items/lm_nwa_14687/",W591)</f>
        <v>Northwest Africa 14687</v>
      </c>
      <c r="E591" s="376" t="s">
        <v>603</v>
      </c>
      <c r="F591" s="377"/>
      <c r="G591" s="377"/>
      <c r="H591" s="378"/>
      <c r="I591" s="285"/>
      <c r="J591" s="333"/>
      <c r="K591" s="333"/>
      <c r="L591" s="334"/>
      <c r="M591" s="402">
        <v>4900</v>
      </c>
      <c r="N591" s="403"/>
      <c r="O591" s="381" t="s">
        <v>1207</v>
      </c>
      <c r="P591" s="382"/>
      <c r="Q591" s="383"/>
      <c r="R591" s="376" t="s">
        <v>1259</v>
      </c>
      <c r="S591" s="378"/>
      <c r="T591" s="330">
        <v>0</v>
      </c>
      <c r="W591" s="112" t="s">
        <v>1243</v>
      </c>
      <c r="X591" s="61"/>
      <c r="Y591" s="260">
        <v>4900</v>
      </c>
      <c r="Z591" s="243">
        <f t="shared" si="60"/>
        <v>4900</v>
      </c>
      <c r="AB591" s="196"/>
      <c r="AC591" s="199"/>
    </row>
    <row r="592" spans="1:29" ht="20.100000000000001" customHeight="1" x14ac:dyDescent="0.25">
      <c r="A592" s="36"/>
      <c r="B592" s="143">
        <f t="shared" si="58"/>
        <v>544</v>
      </c>
      <c r="C592" s="88">
        <v>537</v>
      </c>
      <c r="D592" s="110" t="str">
        <f>HYPERLINK("https://sites.wustl.edu/meteoritesite/items/lm_nwa_14695/",W592)</f>
        <v>Northwest Africa 14695</v>
      </c>
      <c r="E592" s="376" t="s">
        <v>1273</v>
      </c>
      <c r="F592" s="377"/>
      <c r="G592" s="377"/>
      <c r="H592" s="378"/>
      <c r="I592" s="285"/>
      <c r="J592" s="333"/>
      <c r="K592" s="333"/>
      <c r="L592" s="334"/>
      <c r="M592" s="432" t="s">
        <v>1287</v>
      </c>
      <c r="N592" s="433"/>
      <c r="O592" s="381" t="s">
        <v>1286</v>
      </c>
      <c r="P592" s="382"/>
      <c r="Q592" s="383"/>
      <c r="R592" s="376" t="s">
        <v>6</v>
      </c>
      <c r="S592" s="378"/>
      <c r="T592" s="330">
        <v>0</v>
      </c>
      <c r="W592" s="112" t="s">
        <v>1283</v>
      </c>
      <c r="X592" s="61"/>
      <c r="Y592" s="260">
        <v>510</v>
      </c>
      <c r="Z592" s="243">
        <f t="shared" si="60"/>
        <v>510</v>
      </c>
      <c r="AB592" s="196"/>
      <c r="AC592" s="199"/>
    </row>
    <row r="593" spans="1:29" ht="20.100000000000001" customHeight="1" x14ac:dyDescent="0.25">
      <c r="A593" s="36"/>
      <c r="B593" s="143">
        <f t="shared" si="58"/>
        <v>545</v>
      </c>
      <c r="C593" s="88">
        <v>517</v>
      </c>
      <c r="D593" s="110" t="str">
        <f>HYPERLINK("https://sites.wustl.edu/meteoritesite/items/lm_nwa_14703/",W593)</f>
        <v>Northwest Africa 14703</v>
      </c>
      <c r="E593" s="376" t="s">
        <v>603</v>
      </c>
      <c r="F593" s="377"/>
      <c r="G593" s="377"/>
      <c r="H593" s="378"/>
      <c r="I593" s="285"/>
      <c r="J593" s="333"/>
      <c r="K593" s="333"/>
      <c r="L593" s="334"/>
      <c r="M593" s="432" t="s">
        <v>1261</v>
      </c>
      <c r="N593" s="433"/>
      <c r="O593" s="381" t="s">
        <v>1107</v>
      </c>
      <c r="P593" s="382"/>
      <c r="Q593" s="383"/>
      <c r="R593" s="376" t="s">
        <v>6</v>
      </c>
      <c r="S593" s="378"/>
      <c r="T593" s="330">
        <v>0</v>
      </c>
      <c r="W593" s="112" t="s">
        <v>1244</v>
      </c>
      <c r="X593" s="61"/>
      <c r="Y593" s="260">
        <v>252</v>
      </c>
      <c r="Z593" s="243">
        <f t="shared" si="60"/>
        <v>252</v>
      </c>
      <c r="AB593" s="196"/>
      <c r="AC593" s="199"/>
    </row>
    <row r="594" spans="1:29" ht="20.100000000000001" customHeight="1" x14ac:dyDescent="0.25">
      <c r="A594" s="36"/>
      <c r="B594" s="143">
        <f t="shared" si="58"/>
        <v>546</v>
      </c>
      <c r="C594" s="88">
        <v>518</v>
      </c>
      <c r="D594" s="110" t="str">
        <f>HYPERLINK("https://sites.wustl.edu/meteoritesite/items/lm_nwa_14704/",W594)</f>
        <v>Northwest Africa 14704</v>
      </c>
      <c r="E594" s="376" t="s">
        <v>1257</v>
      </c>
      <c r="F594" s="377"/>
      <c r="G594" s="377"/>
      <c r="H594" s="378"/>
      <c r="I594" s="285"/>
      <c r="J594" s="333"/>
      <c r="K594" s="333"/>
      <c r="L594" s="334"/>
      <c r="M594" s="402">
        <v>74</v>
      </c>
      <c r="N594" s="403"/>
      <c r="O594" s="381" t="s">
        <v>1184</v>
      </c>
      <c r="P594" s="382"/>
      <c r="Q594" s="383"/>
      <c r="R594" s="376" t="s">
        <v>6</v>
      </c>
      <c r="S594" s="378"/>
      <c r="T594" s="330">
        <v>0</v>
      </c>
      <c r="W594" s="112" t="s">
        <v>1245</v>
      </c>
      <c r="X594" s="61"/>
      <c r="Y594" s="260">
        <v>74</v>
      </c>
      <c r="Z594" s="243">
        <f t="shared" si="60"/>
        <v>74</v>
      </c>
      <c r="AB594" s="196"/>
      <c r="AC594" s="199"/>
    </row>
    <row r="595" spans="1:29" ht="20.100000000000001" customHeight="1" x14ac:dyDescent="0.25">
      <c r="A595" s="36"/>
      <c r="B595" s="143">
        <f t="shared" si="58"/>
        <v>547</v>
      </c>
      <c r="C595" s="88">
        <v>519</v>
      </c>
      <c r="D595" s="110" t="str">
        <f>HYPERLINK("https://sites.wustl.edu/meteoritesite/items/lm_nwa_14704/",W595)</f>
        <v>Northwest Africa 14705</v>
      </c>
      <c r="E595" s="376" t="s">
        <v>1256</v>
      </c>
      <c r="F595" s="377"/>
      <c r="G595" s="377"/>
      <c r="H595" s="378"/>
      <c r="I595" s="285"/>
      <c r="J595" s="333"/>
      <c r="K595" s="333"/>
      <c r="L595" s="334"/>
      <c r="M595" s="463">
        <v>181.5</v>
      </c>
      <c r="N595" s="464"/>
      <c r="O595" s="381" t="s">
        <v>1184</v>
      </c>
      <c r="P595" s="382"/>
      <c r="Q595" s="383"/>
      <c r="R595" s="376" t="s">
        <v>6</v>
      </c>
      <c r="S595" s="378"/>
      <c r="T595" s="330">
        <v>0</v>
      </c>
      <c r="W595" s="112" t="s">
        <v>1246</v>
      </c>
      <c r="X595" s="61"/>
      <c r="Y595" s="267">
        <v>181.5</v>
      </c>
      <c r="Z595" s="243">
        <f t="shared" si="60"/>
        <v>181.5</v>
      </c>
      <c r="AB595" s="196"/>
      <c r="AC595" s="199"/>
    </row>
    <row r="596" spans="1:29" ht="20.100000000000001" customHeight="1" x14ac:dyDescent="0.25">
      <c r="A596" s="36"/>
      <c r="B596" s="143">
        <f t="shared" si="58"/>
        <v>548</v>
      </c>
      <c r="C596" s="88">
        <v>520</v>
      </c>
      <c r="D596" s="110" t="str">
        <f>HYPERLINK("https://sites.wustl.edu/meteoritesite/items/lm_nwa_14706/",W596)</f>
        <v>Northwest Africa 14706</v>
      </c>
      <c r="E596" s="376" t="s">
        <v>603</v>
      </c>
      <c r="F596" s="377"/>
      <c r="G596" s="377"/>
      <c r="H596" s="378"/>
      <c r="I596" s="285"/>
      <c r="J596" s="333"/>
      <c r="K596" s="333"/>
      <c r="L596" s="334"/>
      <c r="M596" s="402">
        <v>156</v>
      </c>
      <c r="N596" s="403"/>
      <c r="O596" s="381" t="s">
        <v>1187</v>
      </c>
      <c r="P596" s="382"/>
      <c r="Q596" s="383"/>
      <c r="R596" s="376" t="s">
        <v>6</v>
      </c>
      <c r="S596" s="378"/>
      <c r="T596" s="330">
        <v>0</v>
      </c>
      <c r="W596" s="112" t="s">
        <v>1247</v>
      </c>
      <c r="X596" s="61"/>
      <c r="Y596" s="260">
        <v>156</v>
      </c>
      <c r="Z596" s="243">
        <f t="shared" si="60"/>
        <v>156</v>
      </c>
      <c r="AB596" s="196"/>
      <c r="AC596" s="199"/>
    </row>
    <row r="597" spans="1:29" ht="20.100000000000001" customHeight="1" x14ac:dyDescent="0.25">
      <c r="A597" s="36"/>
      <c r="B597" s="143">
        <f t="shared" si="58"/>
        <v>549</v>
      </c>
      <c r="C597" s="88">
        <v>521</v>
      </c>
      <c r="D597" s="110" t="str">
        <f>HYPERLINK("https://sites.wustl.edu/meteoritesite/items/lm_nwa_14727/",W597)</f>
        <v>Northwest Africa 14727</v>
      </c>
      <c r="E597" s="376" t="s">
        <v>603</v>
      </c>
      <c r="F597" s="377"/>
      <c r="G597" s="377"/>
      <c r="H597" s="378"/>
      <c r="I597" s="285"/>
      <c r="J597" s="333"/>
      <c r="K597" s="333"/>
      <c r="L597" s="334"/>
      <c r="M597" s="402">
        <v>1571</v>
      </c>
      <c r="N597" s="403"/>
      <c r="O597" s="381" t="s">
        <v>1262</v>
      </c>
      <c r="P597" s="382"/>
      <c r="Q597" s="383"/>
      <c r="R597" s="376" t="s">
        <v>6</v>
      </c>
      <c r="S597" s="378"/>
      <c r="T597" s="330">
        <v>0</v>
      </c>
      <c r="W597" s="112" t="s">
        <v>1248</v>
      </c>
      <c r="X597" s="61"/>
      <c r="Y597" s="260">
        <v>1571</v>
      </c>
      <c r="Z597" s="243">
        <f t="shared" si="60"/>
        <v>1571</v>
      </c>
      <c r="AB597" s="196"/>
      <c r="AC597" s="199"/>
    </row>
    <row r="598" spans="1:29" ht="20.100000000000001" customHeight="1" x14ac:dyDescent="0.25">
      <c r="A598" s="36"/>
      <c r="B598" s="143">
        <f t="shared" si="58"/>
        <v>550</v>
      </c>
      <c r="C598" s="88">
        <v>522</v>
      </c>
      <c r="D598" s="110" t="str">
        <f>HYPERLINK("https://sites.wustl.edu/meteoritesite/items/lm_nwa_14729/",W598)</f>
        <v>Northwest Africa 14729</v>
      </c>
      <c r="E598" s="376" t="s">
        <v>603</v>
      </c>
      <c r="F598" s="377"/>
      <c r="G598" s="377"/>
      <c r="H598" s="378"/>
      <c r="I598" s="285"/>
      <c r="J598" s="333"/>
      <c r="K598" s="333"/>
      <c r="L598" s="334"/>
      <c r="M598" s="402">
        <v>2300</v>
      </c>
      <c r="N598" s="403"/>
      <c r="O598" s="381" t="s">
        <v>1076</v>
      </c>
      <c r="P598" s="382"/>
      <c r="Q598" s="383"/>
      <c r="R598" s="376" t="s">
        <v>1326</v>
      </c>
      <c r="S598" s="378"/>
      <c r="T598" s="330">
        <v>0</v>
      </c>
      <c r="W598" s="112" t="s">
        <v>1249</v>
      </c>
      <c r="X598" s="61"/>
      <c r="Y598" s="260">
        <v>2300</v>
      </c>
      <c r="Z598" s="243">
        <f t="shared" si="60"/>
        <v>2300</v>
      </c>
      <c r="AB598" s="196"/>
      <c r="AC598" s="199"/>
    </row>
    <row r="599" spans="1:29" ht="20.100000000000001" customHeight="1" x14ac:dyDescent="0.25">
      <c r="A599" s="36"/>
      <c r="B599" s="143">
        <f t="shared" si="58"/>
        <v>551</v>
      </c>
      <c r="C599" s="88">
        <v>523</v>
      </c>
      <c r="D599" s="110" t="str">
        <f>HYPERLINK("https://sites.wustl.edu/meteoritesite/items/lm_nwa_14730/",W599)</f>
        <v>Northwest Africa 14730</v>
      </c>
      <c r="E599" s="376" t="s">
        <v>1264</v>
      </c>
      <c r="F599" s="377"/>
      <c r="G599" s="377"/>
      <c r="H599" s="378"/>
      <c r="I599" s="285"/>
      <c r="J599" s="333"/>
      <c r="K599" s="333"/>
      <c r="L599" s="334"/>
      <c r="M599" s="432" t="s">
        <v>1000</v>
      </c>
      <c r="N599" s="433"/>
      <c r="O599" s="381" t="s">
        <v>1187</v>
      </c>
      <c r="P599" s="382"/>
      <c r="Q599" s="383"/>
      <c r="R599" s="376" t="s">
        <v>1259</v>
      </c>
      <c r="S599" s="378"/>
      <c r="T599" s="330">
        <v>0</v>
      </c>
      <c r="W599" s="112" t="s">
        <v>1250</v>
      </c>
      <c r="X599" s="61"/>
      <c r="Y599" s="260">
        <v>60</v>
      </c>
      <c r="Z599" s="243">
        <f t="shared" si="60"/>
        <v>60</v>
      </c>
      <c r="AB599" s="196"/>
      <c r="AC599" s="199"/>
    </row>
    <row r="600" spans="1:29" ht="20.100000000000001" customHeight="1" x14ac:dyDescent="0.25">
      <c r="A600" s="36"/>
      <c r="B600" s="143">
        <f t="shared" si="58"/>
        <v>552</v>
      </c>
      <c r="C600" s="88">
        <v>524</v>
      </c>
      <c r="D600" s="110" t="str">
        <f>HYPERLINK("https://sites.wustl.edu/meteoritesite/items/lm_nwa_14730/",W600)</f>
        <v>Northwest Africa 14731</v>
      </c>
      <c r="E600" s="376" t="s">
        <v>1265</v>
      </c>
      <c r="F600" s="377"/>
      <c r="G600" s="377"/>
      <c r="H600" s="378"/>
      <c r="I600" s="285"/>
      <c r="J600" s="333"/>
      <c r="K600" s="333"/>
      <c r="L600" s="334"/>
      <c r="M600" s="432" t="s">
        <v>1263</v>
      </c>
      <c r="N600" s="433"/>
      <c r="O600" s="381" t="s">
        <v>1187</v>
      </c>
      <c r="P600" s="382"/>
      <c r="Q600" s="383"/>
      <c r="R600" s="376" t="s">
        <v>1259</v>
      </c>
      <c r="S600" s="378"/>
      <c r="T600" s="330">
        <v>0</v>
      </c>
      <c r="W600" s="112" t="s">
        <v>1251</v>
      </c>
      <c r="X600" s="61"/>
      <c r="Y600" s="260">
        <v>45</v>
      </c>
      <c r="Z600" s="243">
        <f t="shared" si="60"/>
        <v>45</v>
      </c>
      <c r="AB600" s="196"/>
      <c r="AC600" s="199"/>
    </row>
    <row r="601" spans="1:29" ht="20.100000000000001" customHeight="1" x14ac:dyDescent="0.25">
      <c r="A601" s="36"/>
      <c r="B601" s="143">
        <f t="shared" si="58"/>
        <v>553</v>
      </c>
      <c r="C601" s="88">
        <v>544</v>
      </c>
      <c r="D601" s="110" t="str">
        <f>HYPERLINK("https://sites.wustl.edu/meteoritesite/items/lm_nwa_14741/",W601)</f>
        <v>Northwest Africa 14741</v>
      </c>
      <c r="E601" s="376" t="s">
        <v>603</v>
      </c>
      <c r="F601" s="377"/>
      <c r="G601" s="377"/>
      <c r="H601" s="378"/>
      <c r="I601" s="285"/>
      <c r="J601" s="333"/>
      <c r="K601" s="333"/>
      <c r="L601" s="334"/>
      <c r="M601" s="463">
        <v>19.100000000000001</v>
      </c>
      <c r="N601" s="464"/>
      <c r="O601" s="381" t="s">
        <v>1286</v>
      </c>
      <c r="P601" s="382"/>
      <c r="Q601" s="383"/>
      <c r="R601" s="376" t="s">
        <v>562</v>
      </c>
      <c r="S601" s="378"/>
      <c r="T601" s="330">
        <v>0</v>
      </c>
      <c r="W601" s="112" t="s">
        <v>1306</v>
      </c>
      <c r="X601" s="61"/>
      <c r="Y601" s="267">
        <v>19.100000000000001</v>
      </c>
      <c r="Z601" s="243">
        <f t="shared" si="60"/>
        <v>19.100000000000001</v>
      </c>
      <c r="AB601" s="196"/>
      <c r="AC601" s="199"/>
    </row>
    <row r="602" spans="1:29" ht="20.100000000000001" customHeight="1" x14ac:dyDescent="0.25">
      <c r="A602" s="36"/>
      <c r="B602" s="143">
        <f>B601+1</f>
        <v>554</v>
      </c>
      <c r="C602" s="88">
        <v>525</v>
      </c>
      <c r="D602" s="110" t="str">
        <f>HYPERLINK("https://sites.wustl.edu/meteoritesite/items/lm_nwa_14747/",W602)</f>
        <v>Northwest Africa 14747</v>
      </c>
      <c r="E602" s="376" t="s">
        <v>603</v>
      </c>
      <c r="F602" s="377"/>
      <c r="G602" s="377"/>
      <c r="H602" s="378"/>
      <c r="I602" s="285"/>
      <c r="J602" s="333"/>
      <c r="K602" s="333"/>
      <c r="L602" s="334"/>
      <c r="M602" s="402">
        <v>5300</v>
      </c>
      <c r="N602" s="403"/>
      <c r="O602" s="381" t="s">
        <v>1076</v>
      </c>
      <c r="P602" s="382"/>
      <c r="Q602" s="383"/>
      <c r="R602" s="376" t="s">
        <v>1266</v>
      </c>
      <c r="S602" s="378"/>
      <c r="T602" s="330">
        <v>0</v>
      </c>
      <c r="W602" s="112" t="s">
        <v>1252</v>
      </c>
      <c r="X602" s="61"/>
      <c r="Y602" s="260">
        <v>5300</v>
      </c>
      <c r="Z602" s="243">
        <f t="shared" si="60"/>
        <v>5300</v>
      </c>
      <c r="AB602" s="196"/>
      <c r="AC602" s="199"/>
    </row>
    <row r="603" spans="1:29" ht="20.100000000000001" customHeight="1" x14ac:dyDescent="0.25">
      <c r="A603" s="36"/>
      <c r="B603" s="143">
        <f t="shared" si="58"/>
        <v>555</v>
      </c>
      <c r="C603" s="88">
        <v>526</v>
      </c>
      <c r="D603" s="110" t="str">
        <f>HYPERLINK("https://sites.wustl.edu/meteoritesite/items/lm_nwa_14755/",W603)</f>
        <v>Northwest Africa 14755</v>
      </c>
      <c r="E603" s="376" t="s">
        <v>1269</v>
      </c>
      <c r="F603" s="377"/>
      <c r="G603" s="377"/>
      <c r="H603" s="378"/>
      <c r="I603" s="285"/>
      <c r="J603" s="333"/>
      <c r="K603" s="333"/>
      <c r="L603" s="334"/>
      <c r="M603" s="432" t="s">
        <v>1267</v>
      </c>
      <c r="N603" s="433"/>
      <c r="O603" s="381" t="s">
        <v>1176</v>
      </c>
      <c r="P603" s="382"/>
      <c r="Q603" s="383"/>
      <c r="R603" s="376" t="s">
        <v>6</v>
      </c>
      <c r="S603" s="378"/>
      <c r="T603" s="330">
        <v>0</v>
      </c>
      <c r="W603" s="112" t="s">
        <v>1253</v>
      </c>
      <c r="X603" s="61"/>
      <c r="Y603" s="260">
        <v>386</v>
      </c>
      <c r="Z603" s="243">
        <f t="shared" si="60"/>
        <v>386</v>
      </c>
      <c r="AB603" s="196"/>
      <c r="AC603" s="199"/>
    </row>
    <row r="604" spans="1:29" ht="20.100000000000001" customHeight="1" x14ac:dyDescent="0.25">
      <c r="A604" s="36"/>
      <c r="B604" s="143">
        <f t="shared" si="58"/>
        <v>556</v>
      </c>
      <c r="C604" s="88">
        <v>527</v>
      </c>
      <c r="D604" s="110" t="str">
        <f>HYPERLINK("https://sites.wustl.edu/meteoritesite/items/lm_nwa_14755/",W604)</f>
        <v>Northwest Africa 14761</v>
      </c>
      <c r="E604" s="376" t="s">
        <v>1270</v>
      </c>
      <c r="F604" s="377"/>
      <c r="G604" s="377"/>
      <c r="H604" s="378"/>
      <c r="I604" s="285"/>
      <c r="J604" s="333"/>
      <c r="K604" s="333"/>
      <c r="L604" s="334"/>
      <c r="M604" s="432" t="s">
        <v>1268</v>
      </c>
      <c r="N604" s="433"/>
      <c r="O604" s="381" t="s">
        <v>1176</v>
      </c>
      <c r="P604" s="382"/>
      <c r="Q604" s="383"/>
      <c r="R604" s="376" t="s">
        <v>6</v>
      </c>
      <c r="S604" s="378"/>
      <c r="T604" s="330">
        <v>0</v>
      </c>
      <c r="W604" s="112" t="s">
        <v>1254</v>
      </c>
      <c r="X604" s="61"/>
      <c r="Y604" s="260">
        <v>196</v>
      </c>
      <c r="Z604" s="243">
        <f t="shared" si="60"/>
        <v>196</v>
      </c>
      <c r="AB604" s="196"/>
      <c r="AC604" s="199"/>
    </row>
    <row r="605" spans="1:29" ht="20.100000000000001" customHeight="1" x14ac:dyDescent="0.25">
      <c r="A605" s="36"/>
      <c r="B605" s="143">
        <f t="shared" si="58"/>
        <v>557</v>
      </c>
      <c r="C605" s="88">
        <v>528</v>
      </c>
      <c r="D605" s="110" t="str">
        <f>HYPERLINK("https://sites.wustl.edu/meteoritesite/items/lm_nwa_14769/",W605)</f>
        <v>Northwest Africa 14769</v>
      </c>
      <c r="E605" s="376" t="s">
        <v>603</v>
      </c>
      <c r="F605" s="377"/>
      <c r="G605" s="377"/>
      <c r="H605" s="378"/>
      <c r="I605" s="285"/>
      <c r="J605" s="333"/>
      <c r="K605" s="333"/>
      <c r="L605" s="334"/>
      <c r="M605" s="402">
        <v>885</v>
      </c>
      <c r="N605" s="403"/>
      <c r="O605" s="381" t="s">
        <v>1076</v>
      </c>
      <c r="P605" s="382"/>
      <c r="Q605" s="383"/>
      <c r="R605" s="376" t="s">
        <v>1259</v>
      </c>
      <c r="S605" s="378"/>
      <c r="T605" s="330">
        <v>0</v>
      </c>
      <c r="W605" s="112" t="s">
        <v>1255</v>
      </c>
      <c r="X605" s="61"/>
      <c r="Y605" s="260">
        <v>885</v>
      </c>
      <c r="Z605" s="243">
        <f t="shared" si="60"/>
        <v>885</v>
      </c>
      <c r="AB605" s="196"/>
      <c r="AC605" s="199"/>
    </row>
    <row r="606" spans="1:29" ht="20.100000000000001" customHeight="1" x14ac:dyDescent="0.25">
      <c r="A606" s="36"/>
      <c r="B606" s="143">
        <f t="shared" si="58"/>
        <v>558</v>
      </c>
      <c r="C606" s="88">
        <v>531</v>
      </c>
      <c r="D606" s="110" t="str">
        <f>HYPERLINK("https://sites.wustl.edu/meteoritesite/items/lm_nwa_14798/",W606)</f>
        <v>Northwest Africa 14798</v>
      </c>
      <c r="E606" s="376" t="s">
        <v>603</v>
      </c>
      <c r="F606" s="377"/>
      <c r="G606" s="377"/>
      <c r="H606" s="378"/>
      <c r="I606" s="285"/>
      <c r="J606" s="333"/>
      <c r="K606" s="333"/>
      <c r="L606" s="334"/>
      <c r="M606" s="432" t="s">
        <v>1275</v>
      </c>
      <c r="N606" s="433"/>
      <c r="O606" s="381" t="s">
        <v>1046</v>
      </c>
      <c r="P606" s="382"/>
      <c r="Q606" s="383"/>
      <c r="R606" s="376" t="s">
        <v>1259</v>
      </c>
      <c r="S606" s="378"/>
      <c r="T606" s="330">
        <v>0</v>
      </c>
      <c r="W606" s="112" t="s">
        <v>1274</v>
      </c>
      <c r="X606" s="61"/>
      <c r="Y606" s="267">
        <v>355.6</v>
      </c>
      <c r="Z606" s="243">
        <f t="shared" si="60"/>
        <v>355.6</v>
      </c>
      <c r="AB606" s="196"/>
      <c r="AC606" s="199"/>
    </row>
    <row r="607" spans="1:29" ht="20.100000000000001" customHeight="1" x14ac:dyDescent="0.25">
      <c r="A607" s="36"/>
      <c r="B607" s="143">
        <f t="shared" si="58"/>
        <v>559</v>
      </c>
      <c r="C607" s="88">
        <v>538</v>
      </c>
      <c r="D607" s="110" t="str">
        <f>HYPERLINK("https://sites.wustl.edu/meteoritesite/items/lm_nwa_14836/",W607)</f>
        <v>Northwest Africa 14836</v>
      </c>
      <c r="E607" s="376" t="s">
        <v>603</v>
      </c>
      <c r="F607" s="377"/>
      <c r="G607" s="377"/>
      <c r="H607" s="378"/>
      <c r="I607" s="285"/>
      <c r="J607" s="333"/>
      <c r="K607" s="333"/>
      <c r="L607" s="334"/>
      <c r="M607" s="432" t="s">
        <v>1288</v>
      </c>
      <c r="N607" s="433"/>
      <c r="O607" s="381" t="s">
        <v>1076</v>
      </c>
      <c r="P607" s="382"/>
      <c r="Q607" s="383"/>
      <c r="R607" s="376" t="s">
        <v>6</v>
      </c>
      <c r="S607" s="378"/>
      <c r="T607" s="330">
        <v>0</v>
      </c>
      <c r="W607" s="112" t="s">
        <v>1284</v>
      </c>
      <c r="X607" s="61"/>
      <c r="Y607" s="260">
        <v>90</v>
      </c>
      <c r="Z607" s="243">
        <f t="shared" si="60"/>
        <v>90</v>
      </c>
      <c r="AB607" s="196"/>
      <c r="AC607" s="199"/>
    </row>
    <row r="608" spans="1:29" ht="20.100000000000001" customHeight="1" x14ac:dyDescent="0.25">
      <c r="A608" s="36"/>
      <c r="B608" s="143">
        <f t="shared" si="58"/>
        <v>560</v>
      </c>
      <c r="C608" s="88">
        <v>532</v>
      </c>
      <c r="D608" s="110" t="str">
        <f>HYPERLINK("https://sites.wustl.edu/meteoritesite/items/lm_nwa_14884/",W608)</f>
        <v>Northwest Africa 14884</v>
      </c>
      <c r="E608" s="376" t="s">
        <v>603</v>
      </c>
      <c r="F608" s="377"/>
      <c r="G608" s="377"/>
      <c r="H608" s="378"/>
      <c r="I608" s="285"/>
      <c r="J608" s="333"/>
      <c r="K608" s="333"/>
      <c r="L608" s="334"/>
      <c r="M608" s="402">
        <v>243</v>
      </c>
      <c r="N608" s="403"/>
      <c r="O608" s="381" t="s">
        <v>1076</v>
      </c>
      <c r="P608" s="382"/>
      <c r="Q608" s="383"/>
      <c r="R608" s="376" t="s">
        <v>562</v>
      </c>
      <c r="S608" s="378"/>
      <c r="T608" s="330">
        <v>0</v>
      </c>
      <c r="W608" s="112" t="s">
        <v>1278</v>
      </c>
      <c r="X608" s="61"/>
      <c r="Y608" s="260">
        <v>243</v>
      </c>
      <c r="Z608" s="243">
        <f t="shared" si="60"/>
        <v>243</v>
      </c>
      <c r="AB608" s="196"/>
      <c r="AC608" s="199"/>
    </row>
    <row r="609" spans="1:29" ht="36" customHeight="1" x14ac:dyDescent="0.25">
      <c r="A609" s="36"/>
      <c r="B609" s="125" t="s">
        <v>402</v>
      </c>
      <c r="C609" s="30" t="s">
        <v>1034</v>
      </c>
      <c r="D609" s="33" t="s">
        <v>915</v>
      </c>
      <c r="E609" s="420" t="s">
        <v>916</v>
      </c>
      <c r="F609" s="421"/>
      <c r="G609" s="421"/>
      <c r="H609" s="422"/>
      <c r="I609" s="423" t="s">
        <v>917</v>
      </c>
      <c r="J609" s="424"/>
      <c r="K609" s="424"/>
      <c r="L609" s="425"/>
      <c r="M609" s="430" t="s">
        <v>918</v>
      </c>
      <c r="N609" s="431"/>
      <c r="O609" s="426" t="s">
        <v>919</v>
      </c>
      <c r="P609" s="427"/>
      <c r="Q609" s="428"/>
      <c r="R609" s="423" t="s">
        <v>920</v>
      </c>
      <c r="S609" s="425"/>
      <c r="T609" s="5" t="s">
        <v>5</v>
      </c>
      <c r="Y609" s="243"/>
      <c r="AB609" s="196"/>
      <c r="AC609" s="199"/>
    </row>
    <row r="610" spans="1:29" ht="20.100000000000001" customHeight="1" x14ac:dyDescent="0.25">
      <c r="A610" s="36"/>
      <c r="B610" s="143">
        <f>B608+1</f>
        <v>561</v>
      </c>
      <c r="C610" s="88">
        <v>533</v>
      </c>
      <c r="D610" s="110" t="str">
        <f>HYPERLINK("https://sites.wustl.edu/meteoritesite/items/lm_nwa_14900/",W610)</f>
        <v>Northwest Africa 14900</v>
      </c>
      <c r="E610" s="376" t="s">
        <v>603</v>
      </c>
      <c r="F610" s="377"/>
      <c r="G610" s="377"/>
      <c r="H610" s="378"/>
      <c r="I610" s="285"/>
      <c r="J610" s="333"/>
      <c r="K610" s="333"/>
      <c r="L610" s="334"/>
      <c r="M610" s="432" t="s">
        <v>1290</v>
      </c>
      <c r="N610" s="433"/>
      <c r="O610" s="381" t="s">
        <v>1289</v>
      </c>
      <c r="P610" s="382"/>
      <c r="Q610" s="383"/>
      <c r="R610" s="376" t="s">
        <v>1259</v>
      </c>
      <c r="S610" s="378"/>
      <c r="T610" s="330">
        <v>0</v>
      </c>
      <c r="W610" s="112" t="s">
        <v>1279</v>
      </c>
      <c r="X610" s="61"/>
      <c r="Y610" s="260">
        <v>277</v>
      </c>
      <c r="Z610" s="243">
        <f t="shared" si="60"/>
        <v>277</v>
      </c>
      <c r="AB610" s="196"/>
      <c r="AC610" s="199"/>
    </row>
    <row r="611" spans="1:29" ht="20.100000000000001" customHeight="1" x14ac:dyDescent="0.25">
      <c r="A611" s="36"/>
      <c r="B611" s="143">
        <f t="shared" si="58"/>
        <v>562</v>
      </c>
      <c r="C611" s="88">
        <v>534</v>
      </c>
      <c r="D611" s="110" t="str">
        <f>HYPERLINK("https://sites.wustl.edu/meteoritesite/items/lm_nwa_14905/",W611)</f>
        <v>Northwest Africa 14905</v>
      </c>
      <c r="E611" s="376" t="s">
        <v>603</v>
      </c>
      <c r="F611" s="377"/>
      <c r="G611" s="377"/>
      <c r="H611" s="378"/>
      <c r="I611" s="285"/>
      <c r="J611" s="333"/>
      <c r="K611" s="333"/>
      <c r="L611" s="334"/>
      <c r="M611" s="432" t="s">
        <v>1291</v>
      </c>
      <c r="N611" s="433"/>
      <c r="O611" s="381" t="s">
        <v>1046</v>
      </c>
      <c r="P611" s="382"/>
      <c r="Q611" s="383"/>
      <c r="R611" s="376" t="s">
        <v>1259</v>
      </c>
      <c r="S611" s="378"/>
      <c r="T611" s="330">
        <v>0</v>
      </c>
      <c r="W611" s="112" t="s">
        <v>1280</v>
      </c>
      <c r="X611" s="61"/>
      <c r="Y611" s="260">
        <v>2928</v>
      </c>
      <c r="Z611" s="243">
        <f t="shared" si="60"/>
        <v>2928</v>
      </c>
      <c r="AB611" s="196"/>
      <c r="AC611" s="199"/>
    </row>
    <row r="612" spans="1:29" ht="20.100000000000001" customHeight="1" x14ac:dyDescent="0.25">
      <c r="A612" s="36"/>
      <c r="B612" s="143">
        <f t="shared" si="58"/>
        <v>563</v>
      </c>
      <c r="C612" s="88">
        <v>535</v>
      </c>
      <c r="D612" s="110" t="str">
        <f>HYPERLINK("https://sites.wustl.edu/meteoritesite/items/lm_nwa_14908/",W612)</f>
        <v>Northwest Africa 14908</v>
      </c>
      <c r="E612" s="376" t="s">
        <v>1273</v>
      </c>
      <c r="F612" s="377"/>
      <c r="G612" s="377"/>
      <c r="H612" s="378"/>
      <c r="I612" s="285"/>
      <c r="J612" s="333"/>
      <c r="K612" s="333"/>
      <c r="L612" s="334"/>
      <c r="M612" s="402">
        <v>960</v>
      </c>
      <c r="N612" s="403"/>
      <c r="O612" s="381" t="s">
        <v>862</v>
      </c>
      <c r="P612" s="382"/>
      <c r="Q612" s="383"/>
      <c r="R612" s="376" t="s">
        <v>1259</v>
      </c>
      <c r="S612" s="378"/>
      <c r="T612" s="330">
        <v>0</v>
      </c>
      <c r="W612" s="112" t="s">
        <v>1281</v>
      </c>
      <c r="X612" s="61"/>
      <c r="Y612" s="260">
        <v>960</v>
      </c>
      <c r="Z612" s="243">
        <f t="shared" si="60"/>
        <v>960</v>
      </c>
      <c r="AB612" s="196"/>
      <c r="AC612" s="199"/>
    </row>
    <row r="613" spans="1:29" ht="20.100000000000001" customHeight="1" x14ac:dyDescent="0.25">
      <c r="A613" s="36"/>
      <c r="B613" s="143">
        <f t="shared" si="58"/>
        <v>564</v>
      </c>
      <c r="C613" s="88">
        <v>539</v>
      </c>
      <c r="D613" s="110" t="str">
        <f>HYPERLINK("https://sites.wustl.edu/meteoritesite/items/lm_nwa_14969/",W613)</f>
        <v>Northwest Africa 14969</v>
      </c>
      <c r="E613" s="376" t="s">
        <v>603</v>
      </c>
      <c r="F613" s="377"/>
      <c r="G613" s="377"/>
      <c r="H613" s="378"/>
      <c r="I613" s="285"/>
      <c r="J613" s="333"/>
      <c r="K613" s="333"/>
      <c r="L613" s="334"/>
      <c r="M613" s="402">
        <v>541</v>
      </c>
      <c r="N613" s="403"/>
      <c r="O613" s="381" t="s">
        <v>1297</v>
      </c>
      <c r="P613" s="382"/>
      <c r="Q613" s="383"/>
      <c r="R613" s="376" t="s">
        <v>6</v>
      </c>
      <c r="S613" s="378"/>
      <c r="T613" s="330">
        <v>0</v>
      </c>
      <c r="W613" s="112" t="s">
        <v>1295</v>
      </c>
      <c r="X613" s="61"/>
      <c r="Y613" s="260">
        <v>541</v>
      </c>
      <c r="Z613" s="243">
        <f t="shared" si="60"/>
        <v>541</v>
      </c>
      <c r="AB613" s="196"/>
      <c r="AC613" s="199"/>
    </row>
    <row r="614" spans="1:29" ht="20.100000000000001" customHeight="1" x14ac:dyDescent="0.25">
      <c r="A614" s="36"/>
      <c r="B614" s="143">
        <f t="shared" si="58"/>
        <v>565</v>
      </c>
      <c r="C614" s="88">
        <v>540</v>
      </c>
      <c r="D614" s="110" t="str">
        <f>HYPERLINK("https://sites.wustl.edu/meteoritesite/items/lm_nwa_14977/",W614)</f>
        <v>Northwest Africa 14977</v>
      </c>
      <c r="E614" s="376" t="s">
        <v>603</v>
      </c>
      <c r="F614" s="377"/>
      <c r="G614" s="377"/>
      <c r="H614" s="378"/>
      <c r="I614" s="285"/>
      <c r="J614" s="333"/>
      <c r="K614" s="333"/>
      <c r="L614" s="334"/>
      <c r="M614" s="432" t="s">
        <v>1298</v>
      </c>
      <c r="N614" s="433"/>
      <c r="O614" s="381" t="s">
        <v>1286</v>
      </c>
      <c r="P614" s="382"/>
      <c r="Q614" s="383"/>
      <c r="R614" s="376" t="s">
        <v>6</v>
      </c>
      <c r="S614" s="378"/>
      <c r="T614" s="330">
        <v>0</v>
      </c>
      <c r="W614" s="112" t="s">
        <v>1296</v>
      </c>
      <c r="X614" s="61"/>
      <c r="Y614" s="260">
        <v>849</v>
      </c>
      <c r="Z614" s="243">
        <f t="shared" si="60"/>
        <v>849</v>
      </c>
      <c r="AB614" s="196"/>
      <c r="AC614" s="199"/>
    </row>
    <row r="615" spans="1:29" ht="20.100000000000001" customHeight="1" x14ac:dyDescent="0.25">
      <c r="A615" s="36"/>
      <c r="B615" s="143">
        <f t="shared" si="58"/>
        <v>566</v>
      </c>
      <c r="C615" s="88">
        <v>547</v>
      </c>
      <c r="D615" s="110" t="str">
        <f>HYPERLINK("https://sites.wustl.edu/meteoritesite/items/lm_nwa_14992/",W615)</f>
        <v>Northwest Africa 14992</v>
      </c>
      <c r="E615" s="376" t="s">
        <v>1716</v>
      </c>
      <c r="F615" s="377"/>
      <c r="G615" s="377"/>
      <c r="H615" s="378"/>
      <c r="I615" s="285"/>
      <c r="J615" s="333"/>
      <c r="K615" s="333"/>
      <c r="L615" s="334"/>
      <c r="M615" s="402">
        <v>158</v>
      </c>
      <c r="N615" s="403"/>
      <c r="O615" s="381" t="s">
        <v>1130</v>
      </c>
      <c r="P615" s="382"/>
      <c r="Q615" s="383"/>
      <c r="R615" s="376" t="s">
        <v>1145</v>
      </c>
      <c r="S615" s="378"/>
      <c r="T615" s="330">
        <v>0</v>
      </c>
      <c r="W615" s="112" t="s">
        <v>1313</v>
      </c>
      <c r="X615" s="61"/>
      <c r="Y615" s="260">
        <v>158</v>
      </c>
      <c r="Z615" s="243">
        <f t="shared" si="60"/>
        <v>158</v>
      </c>
      <c r="AB615" s="196"/>
      <c r="AC615" s="199"/>
    </row>
    <row r="616" spans="1:29" ht="20.100000000000001" customHeight="1" x14ac:dyDescent="0.25">
      <c r="A616" s="36"/>
      <c r="B616" s="143">
        <f t="shared" ref="B616:B664" si="61">B615+1</f>
        <v>567</v>
      </c>
      <c r="C616" s="88">
        <v>548</v>
      </c>
      <c r="D616" s="110" t="str">
        <f>HYPERLINK("https://sites.wustl.edu/meteoritesite/items/lm_nwa_15018/",W616)</f>
        <v>Northwest Africa 15018</v>
      </c>
      <c r="E616" s="376" t="s">
        <v>603</v>
      </c>
      <c r="F616" s="377"/>
      <c r="G616" s="377"/>
      <c r="H616" s="378"/>
      <c r="I616" s="285"/>
      <c r="J616" s="333"/>
      <c r="K616" s="333"/>
      <c r="L616" s="334"/>
      <c r="M616" s="432" t="s">
        <v>1317</v>
      </c>
      <c r="N616" s="433"/>
      <c r="O616" s="381" t="s">
        <v>1318</v>
      </c>
      <c r="P616" s="382"/>
      <c r="Q616" s="383"/>
      <c r="R616" s="376" t="s">
        <v>6</v>
      </c>
      <c r="S616" s="378"/>
      <c r="T616" s="330">
        <v>0</v>
      </c>
      <c r="W616" s="112" t="s">
        <v>1314</v>
      </c>
      <c r="X616" s="61"/>
      <c r="Y616" s="260">
        <v>1200</v>
      </c>
      <c r="Z616" s="243">
        <f t="shared" si="60"/>
        <v>1200</v>
      </c>
      <c r="AB616" s="196"/>
      <c r="AC616" s="199"/>
    </row>
    <row r="617" spans="1:29" ht="20.100000000000001" customHeight="1" x14ac:dyDescent="0.25">
      <c r="A617" s="36"/>
      <c r="B617" s="143">
        <f t="shared" si="61"/>
        <v>568</v>
      </c>
      <c r="C617" s="88">
        <v>553</v>
      </c>
      <c r="D617" s="110" t="str">
        <f>HYPERLINK("https://sites.wustl.edu/meteoritesite/items/lm_nwa_15026/",W617)</f>
        <v>Northwest Africa 15026</v>
      </c>
      <c r="E617" s="376" t="s">
        <v>603</v>
      </c>
      <c r="F617" s="377"/>
      <c r="G617" s="377"/>
      <c r="H617" s="378"/>
      <c r="I617" s="285"/>
      <c r="J617" s="333"/>
      <c r="K617" s="333"/>
      <c r="L617" s="334"/>
      <c r="M617" s="463">
        <v>125.8</v>
      </c>
      <c r="N617" s="464"/>
      <c r="O617" s="381" t="s">
        <v>1187</v>
      </c>
      <c r="P617" s="382"/>
      <c r="Q617" s="383"/>
      <c r="R617" s="376" t="s">
        <v>1193</v>
      </c>
      <c r="S617" s="378"/>
      <c r="T617" s="330">
        <v>0</v>
      </c>
      <c r="W617" s="112" t="s">
        <v>1325</v>
      </c>
      <c r="X617" s="61"/>
      <c r="Y617" s="267">
        <v>125.8</v>
      </c>
      <c r="Z617" s="243">
        <f t="shared" si="60"/>
        <v>125.8</v>
      </c>
      <c r="AB617" s="196"/>
      <c r="AC617" s="199"/>
    </row>
    <row r="618" spans="1:29" ht="20.100000000000001" customHeight="1" x14ac:dyDescent="0.25">
      <c r="A618" s="36"/>
      <c r="B618" s="143">
        <f>B617+1</f>
        <v>569</v>
      </c>
      <c r="C618" s="88">
        <v>549</v>
      </c>
      <c r="D618" s="110" t="str">
        <f>HYPERLINK("https://sites.wustl.edu/meteoritesite/items/lm_nwa_15051/",W618)</f>
        <v>Northwest Africa 15051</v>
      </c>
      <c r="E618" s="376" t="s">
        <v>603</v>
      </c>
      <c r="F618" s="377"/>
      <c r="G618" s="377"/>
      <c r="H618" s="378"/>
      <c r="I618" s="285"/>
      <c r="J618" s="333"/>
      <c r="K618" s="333"/>
      <c r="L618" s="334"/>
      <c r="M618" s="402">
        <v>106</v>
      </c>
      <c r="N618" s="403"/>
      <c r="O618" s="381" t="s">
        <v>1286</v>
      </c>
      <c r="P618" s="382"/>
      <c r="Q618" s="383"/>
      <c r="R618" s="376" t="s">
        <v>1259</v>
      </c>
      <c r="S618" s="378"/>
      <c r="T618" s="330">
        <v>0</v>
      </c>
      <c r="W618" s="112" t="s">
        <v>1315</v>
      </c>
      <c r="X618" s="61"/>
      <c r="Y618" s="260">
        <v>106</v>
      </c>
      <c r="Z618" s="243">
        <f t="shared" si="60"/>
        <v>106</v>
      </c>
      <c r="AB618" s="196"/>
      <c r="AC618" s="199"/>
    </row>
    <row r="619" spans="1:29" ht="20.100000000000001" customHeight="1" x14ac:dyDescent="0.25">
      <c r="A619" s="36"/>
      <c r="B619" s="143">
        <f t="shared" si="61"/>
        <v>570</v>
      </c>
      <c r="C619" s="88">
        <v>545</v>
      </c>
      <c r="D619" s="110" t="str">
        <f>HYPERLINK("https://sites.wustl.edu/meteoritesite/items/lm_nwa_15052/",W619)</f>
        <v>Northwest Africa 15052</v>
      </c>
      <c r="E619" s="376" t="s">
        <v>603</v>
      </c>
      <c r="F619" s="377"/>
      <c r="G619" s="377"/>
      <c r="H619" s="378"/>
      <c r="I619" s="285"/>
      <c r="J619" s="333"/>
      <c r="K619" s="333"/>
      <c r="L619" s="334"/>
      <c r="M619" s="402">
        <v>202</v>
      </c>
      <c r="N619" s="403"/>
      <c r="O619" s="381" t="s">
        <v>1309</v>
      </c>
      <c r="P619" s="382"/>
      <c r="Q619" s="383"/>
      <c r="R619" s="376" t="s">
        <v>562</v>
      </c>
      <c r="S619" s="378"/>
      <c r="T619" s="330">
        <v>0</v>
      </c>
      <c r="W619" s="112" t="s">
        <v>1307</v>
      </c>
      <c r="X619" s="61"/>
      <c r="Y619" s="260">
        <v>202</v>
      </c>
      <c r="Z619" s="243">
        <f t="shared" si="60"/>
        <v>202</v>
      </c>
      <c r="AB619" s="196"/>
      <c r="AC619" s="199"/>
    </row>
    <row r="620" spans="1:29" ht="20.100000000000001" customHeight="1" x14ac:dyDescent="0.25">
      <c r="A620" s="36"/>
      <c r="B620" s="143">
        <f>B619+1</f>
        <v>571</v>
      </c>
      <c r="C620" s="88">
        <v>657</v>
      </c>
      <c r="D620" s="110" t="str">
        <f>HYPERLINK("https://sites.wustl.edu/meteoritesite/items/lm_nwa_15059/",W620)</f>
        <v>Northwest Africa 15059</v>
      </c>
      <c r="E620" s="376" t="s">
        <v>603</v>
      </c>
      <c r="F620" s="377"/>
      <c r="G620" s="377"/>
      <c r="H620" s="378"/>
      <c r="I620" s="285"/>
      <c r="J620" s="333"/>
      <c r="K620" s="333"/>
      <c r="L620" s="334"/>
      <c r="M620" s="402">
        <v>1367</v>
      </c>
      <c r="N620" s="403"/>
      <c r="O620" s="381" t="s">
        <v>1309</v>
      </c>
      <c r="P620" s="382"/>
      <c r="Q620" s="383"/>
      <c r="R620" s="376" t="s">
        <v>6</v>
      </c>
      <c r="S620" s="378"/>
      <c r="T620" s="330">
        <v>0</v>
      </c>
      <c r="W620" s="112" t="s">
        <v>1569</v>
      </c>
      <c r="X620" s="61"/>
      <c r="Y620" s="260">
        <v>1367</v>
      </c>
      <c r="Z620" s="243">
        <f t="shared" si="60"/>
        <v>1367</v>
      </c>
      <c r="AB620" s="196"/>
      <c r="AC620" s="199"/>
    </row>
    <row r="621" spans="1:29" ht="20.100000000000001" customHeight="1" x14ac:dyDescent="0.25">
      <c r="A621" s="36"/>
      <c r="B621" s="143">
        <f>B619+1</f>
        <v>571</v>
      </c>
      <c r="C621" s="88">
        <v>604</v>
      </c>
      <c r="D621" s="110" t="str">
        <f>HYPERLINK("https://sites.wustl.edu/meteoritesite/items/lm_nwa_15062/",W621)</f>
        <v>Northwest Africa 15062</v>
      </c>
      <c r="E621" s="376" t="s">
        <v>1444</v>
      </c>
      <c r="F621" s="377"/>
      <c r="G621" s="377"/>
      <c r="H621" s="378"/>
      <c r="I621" s="285"/>
      <c r="J621" s="333"/>
      <c r="K621" s="333"/>
      <c r="L621" s="334"/>
      <c r="M621" s="432">
        <v>40.18</v>
      </c>
      <c r="N621" s="433"/>
      <c r="O621" s="381" t="s">
        <v>1441</v>
      </c>
      <c r="P621" s="382"/>
      <c r="Q621" s="383"/>
      <c r="R621" s="376" t="s">
        <v>6</v>
      </c>
      <c r="S621" s="378"/>
      <c r="T621" s="330">
        <v>0</v>
      </c>
      <c r="W621" s="112" t="s">
        <v>1440</v>
      </c>
      <c r="X621" s="61"/>
      <c r="Y621" s="268">
        <v>40.18</v>
      </c>
      <c r="Z621" s="243">
        <f t="shared" si="60"/>
        <v>40.18</v>
      </c>
      <c r="AB621" s="196"/>
      <c r="AC621" s="199"/>
    </row>
    <row r="622" spans="1:29" ht="20.100000000000001" customHeight="1" x14ac:dyDescent="0.25">
      <c r="A622" s="36"/>
      <c r="B622" s="143">
        <f t="shared" si="61"/>
        <v>572</v>
      </c>
      <c r="C622" s="88">
        <v>605</v>
      </c>
      <c r="D622" s="110" t="str">
        <f>HYPERLINK("https://sites.wustl.edu/meteoritesite/items/lm_nwa_15062/",W622)</f>
        <v>Northwest Africa 15063</v>
      </c>
      <c r="E622" s="376" t="s">
        <v>1443</v>
      </c>
      <c r="F622" s="377"/>
      <c r="G622" s="377"/>
      <c r="H622" s="378"/>
      <c r="I622" s="285"/>
      <c r="J622" s="333"/>
      <c r="K622" s="333"/>
      <c r="L622" s="334"/>
      <c r="M622" s="432">
        <v>15.73</v>
      </c>
      <c r="N622" s="433"/>
      <c r="O622" s="381" t="s">
        <v>1441</v>
      </c>
      <c r="P622" s="382"/>
      <c r="Q622" s="383"/>
      <c r="R622" s="376" t="s">
        <v>6</v>
      </c>
      <c r="S622" s="378"/>
      <c r="T622" s="330">
        <v>0</v>
      </c>
      <c r="W622" s="112" t="s">
        <v>1442</v>
      </c>
      <c r="X622" s="61"/>
      <c r="Y622" s="268">
        <v>15.73</v>
      </c>
      <c r="Z622" s="243">
        <f t="shared" si="60"/>
        <v>15.73</v>
      </c>
      <c r="AB622" s="196"/>
      <c r="AC622" s="199"/>
    </row>
    <row r="623" spans="1:29" ht="20.100000000000001" customHeight="1" x14ac:dyDescent="0.25">
      <c r="A623" s="36"/>
      <c r="B623" s="143">
        <f>B622+1</f>
        <v>573</v>
      </c>
      <c r="C623" s="88">
        <v>546</v>
      </c>
      <c r="D623" s="110" t="str">
        <f>HYPERLINK("https://sites.wustl.edu/meteoritesite/items/lm_nwa_15069/",W623)</f>
        <v>Northwest Africa 15069</v>
      </c>
      <c r="E623" s="376" t="s">
        <v>603</v>
      </c>
      <c r="F623" s="377"/>
      <c r="G623" s="377"/>
      <c r="H623" s="378"/>
      <c r="I623" s="285"/>
      <c r="J623" s="333"/>
      <c r="K623" s="333"/>
      <c r="L623" s="334"/>
      <c r="M623" s="402">
        <v>458</v>
      </c>
      <c r="N623" s="403"/>
      <c r="O623" s="381" t="s">
        <v>1286</v>
      </c>
      <c r="P623" s="382"/>
      <c r="Q623" s="383"/>
      <c r="R623" s="376" t="s">
        <v>6</v>
      </c>
      <c r="S623" s="378"/>
      <c r="T623" s="330">
        <v>0</v>
      </c>
      <c r="W623" s="112" t="s">
        <v>1308</v>
      </c>
      <c r="X623" s="61"/>
      <c r="Y623" s="260">
        <v>458</v>
      </c>
      <c r="Z623" s="243">
        <f t="shared" si="60"/>
        <v>458</v>
      </c>
      <c r="AB623" s="196"/>
      <c r="AC623" s="199"/>
    </row>
    <row r="624" spans="1:29" ht="20.100000000000001" customHeight="1" x14ac:dyDescent="0.25">
      <c r="A624" s="36"/>
      <c r="B624" s="143">
        <f t="shared" si="61"/>
        <v>574</v>
      </c>
      <c r="C624" s="87">
        <v>550</v>
      </c>
      <c r="D624" s="280" t="str">
        <f>HYPERLINK("https://sites.wustl.edu/meteoritesite/items/lm_nwa_15099/",W624)</f>
        <v>Northwest Africa 15099</v>
      </c>
      <c r="E624" s="376" t="s">
        <v>603</v>
      </c>
      <c r="F624" s="377"/>
      <c r="G624" s="377"/>
      <c r="H624" s="378"/>
      <c r="I624" s="285"/>
      <c r="J624" s="333"/>
      <c r="K624" s="333"/>
      <c r="L624" s="334"/>
      <c r="M624" s="402" t="s">
        <v>1370</v>
      </c>
      <c r="N624" s="403"/>
      <c r="O624" s="381" t="s">
        <v>1289</v>
      </c>
      <c r="P624" s="382"/>
      <c r="Q624" s="383"/>
      <c r="R624" s="376" t="s">
        <v>6</v>
      </c>
      <c r="S624" s="378"/>
      <c r="T624" s="330">
        <v>0</v>
      </c>
      <c r="W624" s="112" t="s">
        <v>1316</v>
      </c>
      <c r="X624" s="61"/>
      <c r="Y624" s="260">
        <v>425</v>
      </c>
      <c r="Z624" s="243">
        <f t="shared" si="60"/>
        <v>425</v>
      </c>
      <c r="AB624" s="196"/>
      <c r="AC624" s="199"/>
    </row>
    <row r="625" spans="1:29" ht="20.100000000000001" customHeight="1" x14ac:dyDescent="0.25">
      <c r="A625" s="36"/>
      <c r="B625" s="143">
        <f t="shared" si="61"/>
        <v>575</v>
      </c>
      <c r="C625" s="87">
        <v>590</v>
      </c>
      <c r="D625" s="280" t="str">
        <f>HYPERLINK("https://sites.wustl.edu/meteoritesite/items/lm_nwa_15169/",W625)</f>
        <v>Northwest Africa 15169</v>
      </c>
      <c r="E625" s="376" t="s">
        <v>603</v>
      </c>
      <c r="F625" s="377"/>
      <c r="G625" s="377"/>
      <c r="H625" s="378"/>
      <c r="I625" s="285"/>
      <c r="J625" s="333"/>
      <c r="K625" s="333"/>
      <c r="L625" s="334"/>
      <c r="M625" s="402" t="s">
        <v>1417</v>
      </c>
      <c r="N625" s="403"/>
      <c r="O625" s="381" t="s">
        <v>1076</v>
      </c>
      <c r="P625" s="382"/>
      <c r="Q625" s="383"/>
      <c r="R625" s="376" t="s">
        <v>1410</v>
      </c>
      <c r="S625" s="378"/>
      <c r="T625" s="330">
        <v>0</v>
      </c>
      <c r="W625" s="112" t="s">
        <v>1409</v>
      </c>
      <c r="X625" s="61"/>
      <c r="Y625" s="260">
        <v>342</v>
      </c>
      <c r="Z625" s="243">
        <f t="shared" si="60"/>
        <v>342</v>
      </c>
      <c r="AB625" s="196"/>
      <c r="AC625" s="199"/>
    </row>
    <row r="626" spans="1:29" ht="20.100000000000001" customHeight="1" x14ac:dyDescent="0.25">
      <c r="A626" s="36"/>
      <c r="B626" s="143">
        <f t="shared" si="61"/>
        <v>576</v>
      </c>
      <c r="C626" s="87">
        <v>560</v>
      </c>
      <c r="D626" s="280" t="str">
        <f>HYPERLINK("https://sites.wustl.edu/meteoritesite/items/lm_nwa_15172/",W626)</f>
        <v>Northwest Africa 15172</v>
      </c>
      <c r="E626" s="376" t="s">
        <v>1352</v>
      </c>
      <c r="F626" s="377"/>
      <c r="G626" s="377"/>
      <c r="H626" s="378"/>
      <c r="I626" s="285"/>
      <c r="J626" s="333"/>
      <c r="K626" s="333"/>
      <c r="L626" s="334"/>
      <c r="M626" s="432" t="s">
        <v>1344</v>
      </c>
      <c r="N626" s="433"/>
      <c r="O626" s="381" t="s">
        <v>1076</v>
      </c>
      <c r="P626" s="382"/>
      <c r="Q626" s="383"/>
      <c r="R626" s="376" t="s">
        <v>6</v>
      </c>
      <c r="S626" s="378"/>
      <c r="T626" s="330">
        <v>0</v>
      </c>
      <c r="W626" s="112" t="s">
        <v>1343</v>
      </c>
      <c r="X626" s="61"/>
      <c r="Y626" s="260">
        <v>38</v>
      </c>
      <c r="Z626" s="243">
        <f t="shared" si="60"/>
        <v>38</v>
      </c>
      <c r="AB626" s="196"/>
      <c r="AC626" s="199"/>
    </row>
    <row r="627" spans="1:29" ht="20.100000000000001" customHeight="1" x14ac:dyDescent="0.25">
      <c r="A627" s="36"/>
      <c r="B627" s="143">
        <f t="shared" si="61"/>
        <v>577</v>
      </c>
      <c r="C627" s="87">
        <v>564</v>
      </c>
      <c r="D627" s="280" t="str">
        <f>HYPERLINK("https://sites.wustl.edu/meteoritesite/items/lm_nwa_15172/",W627)</f>
        <v>Northwest Africa 15173</v>
      </c>
      <c r="E627" s="376" t="s">
        <v>1353</v>
      </c>
      <c r="F627" s="377"/>
      <c r="G627" s="377"/>
      <c r="H627" s="378"/>
      <c r="I627" s="285"/>
      <c r="J627" s="333"/>
      <c r="K627" s="333"/>
      <c r="L627" s="334"/>
      <c r="M627" s="432" t="s">
        <v>1351</v>
      </c>
      <c r="N627" s="433"/>
      <c r="O627" s="381" t="s">
        <v>1076</v>
      </c>
      <c r="P627" s="382"/>
      <c r="Q627" s="383"/>
      <c r="R627" s="376" t="s">
        <v>6</v>
      </c>
      <c r="S627" s="378"/>
      <c r="T627" s="330">
        <v>0</v>
      </c>
      <c r="W627" s="112" t="s">
        <v>1350</v>
      </c>
      <c r="X627" s="61"/>
      <c r="Y627" s="260">
        <v>69</v>
      </c>
      <c r="Z627" s="243">
        <f t="shared" si="60"/>
        <v>69</v>
      </c>
      <c r="AB627" s="196"/>
      <c r="AC627" s="199"/>
    </row>
    <row r="628" spans="1:29" ht="20.100000000000001" customHeight="1" x14ac:dyDescent="0.25">
      <c r="A628" s="36"/>
      <c r="B628" s="143">
        <f t="shared" si="61"/>
        <v>578</v>
      </c>
      <c r="C628" s="87">
        <v>610</v>
      </c>
      <c r="D628" s="280" t="str">
        <f>HYPERLINK("https://sites.wustl.edu/meteoritesite/items/lm_nwa_15192/",W628)</f>
        <v>Northwest Africa 15192</v>
      </c>
      <c r="E628" s="376" t="s">
        <v>603</v>
      </c>
      <c r="F628" s="377"/>
      <c r="G628" s="377"/>
      <c r="H628" s="378"/>
      <c r="I628" s="285"/>
      <c r="J628" s="333"/>
      <c r="K628" s="333"/>
      <c r="L628" s="334"/>
      <c r="M628" s="402">
        <v>9800</v>
      </c>
      <c r="N628" s="403"/>
      <c r="O628" s="381" t="s">
        <v>1226</v>
      </c>
      <c r="P628" s="382"/>
      <c r="Q628" s="383"/>
      <c r="R628" s="376" t="s">
        <v>1259</v>
      </c>
      <c r="S628" s="378"/>
      <c r="T628" s="330">
        <v>0</v>
      </c>
      <c r="W628" s="112" t="s">
        <v>1457</v>
      </c>
      <c r="X628" s="61"/>
      <c r="Y628" s="260">
        <v>9800</v>
      </c>
      <c r="Z628" s="243">
        <f>Y628</f>
        <v>9800</v>
      </c>
      <c r="AB628" s="196"/>
      <c r="AC628" s="199"/>
    </row>
    <row r="629" spans="1:29" ht="20.100000000000001" customHeight="1" x14ac:dyDescent="0.25">
      <c r="A629" s="36"/>
      <c r="B629" s="143">
        <f t="shared" si="61"/>
        <v>579</v>
      </c>
      <c r="C629" s="87">
        <v>555</v>
      </c>
      <c r="D629" s="280" t="str">
        <f>HYPERLINK("https://sites.wustl.edu/meteoritesite/items/lm_nwa_10073/",W629)</f>
        <v>Northwest Africa 15216</v>
      </c>
      <c r="E629" s="376">
        <v>10073</v>
      </c>
      <c r="F629" s="377"/>
      <c r="G629" s="377"/>
      <c r="H629" s="378"/>
      <c r="I629" s="412"/>
      <c r="J629" s="413"/>
      <c r="K629" s="413"/>
      <c r="L629" s="414"/>
      <c r="M629" s="379">
        <v>249</v>
      </c>
      <c r="N629" s="380"/>
      <c r="O629" s="381" t="s">
        <v>883</v>
      </c>
      <c r="P629" s="382"/>
      <c r="Q629" s="383"/>
      <c r="R629" s="376" t="s">
        <v>6</v>
      </c>
      <c r="S629" s="378"/>
      <c r="T629" s="157">
        <v>1</v>
      </c>
      <c r="W629" s="112" t="s">
        <v>1331</v>
      </c>
      <c r="X629" s="61"/>
      <c r="Y629" s="243">
        <v>249</v>
      </c>
      <c r="Z629" s="243">
        <f t="shared" si="60"/>
        <v>249</v>
      </c>
      <c r="AB629" s="196"/>
      <c r="AC629" s="199"/>
    </row>
    <row r="630" spans="1:29" ht="20.100000000000001" customHeight="1" x14ac:dyDescent="0.25">
      <c r="A630" s="36"/>
      <c r="B630" s="143">
        <f t="shared" si="61"/>
        <v>580</v>
      </c>
      <c r="C630" s="87">
        <v>561</v>
      </c>
      <c r="D630" s="280" t="str">
        <f>HYPERLINK("https://sites.wustl.edu/meteoritesite/items/lm_nwa_15286/",W630)</f>
        <v>Northwest Africa 15286</v>
      </c>
      <c r="E630" s="376" t="s">
        <v>603</v>
      </c>
      <c r="F630" s="377"/>
      <c r="G630" s="377"/>
      <c r="H630" s="378"/>
      <c r="I630" s="412"/>
      <c r="J630" s="413"/>
      <c r="K630" s="413"/>
      <c r="L630" s="414"/>
      <c r="M630" s="379">
        <v>268</v>
      </c>
      <c r="N630" s="380"/>
      <c r="O630" s="381" t="s">
        <v>1076</v>
      </c>
      <c r="P630" s="382"/>
      <c r="Q630" s="383"/>
      <c r="R630" s="376" t="s">
        <v>1259</v>
      </c>
      <c r="S630" s="378"/>
      <c r="T630" s="330">
        <v>0</v>
      </c>
      <c r="W630" s="112" t="s">
        <v>1346</v>
      </c>
      <c r="X630" s="61"/>
      <c r="Y630" s="260">
        <v>68</v>
      </c>
      <c r="Z630" s="243">
        <f t="shared" si="60"/>
        <v>68</v>
      </c>
      <c r="AB630" s="196"/>
      <c r="AC630" s="199"/>
    </row>
    <row r="631" spans="1:29" ht="20.100000000000001" customHeight="1" x14ac:dyDescent="0.25">
      <c r="A631" s="36"/>
      <c r="B631" s="143">
        <f t="shared" si="61"/>
        <v>581</v>
      </c>
      <c r="C631" s="87">
        <v>562</v>
      </c>
      <c r="D631" s="280" t="str">
        <f>HYPERLINK("https://sites.wustl.edu/meteoritesite/items/lm_nwa_15288/",W631)</f>
        <v>Northwest Africa 15288</v>
      </c>
      <c r="E631" s="376" t="s">
        <v>603</v>
      </c>
      <c r="F631" s="377"/>
      <c r="G631" s="377"/>
      <c r="H631" s="378"/>
      <c r="I631" s="412"/>
      <c r="J631" s="413"/>
      <c r="K631" s="413"/>
      <c r="L631" s="414"/>
      <c r="M631" s="379">
        <v>5800</v>
      </c>
      <c r="N631" s="380"/>
      <c r="O631" s="381" t="s">
        <v>1076</v>
      </c>
      <c r="P631" s="382"/>
      <c r="Q631" s="383"/>
      <c r="R631" s="376" t="s">
        <v>6</v>
      </c>
      <c r="S631" s="378"/>
      <c r="T631" s="330">
        <v>0</v>
      </c>
      <c r="W631" s="112" t="s">
        <v>1347</v>
      </c>
      <c r="X631" s="61"/>
      <c r="Y631" s="260">
        <v>5800</v>
      </c>
      <c r="Z631" s="243">
        <f t="shared" si="60"/>
        <v>5800</v>
      </c>
      <c r="AB631" s="196"/>
      <c r="AC631" s="199"/>
    </row>
    <row r="632" spans="1:29" ht="36" customHeight="1" x14ac:dyDescent="0.25">
      <c r="A632" s="36"/>
      <c r="B632" s="125" t="s">
        <v>402</v>
      </c>
      <c r="C632" s="30" t="s">
        <v>1034</v>
      </c>
      <c r="D632" s="33" t="s">
        <v>915</v>
      </c>
      <c r="E632" s="420" t="s">
        <v>916</v>
      </c>
      <c r="F632" s="421"/>
      <c r="G632" s="421"/>
      <c r="H632" s="422"/>
      <c r="I632" s="423" t="s">
        <v>917</v>
      </c>
      <c r="J632" s="424"/>
      <c r="K632" s="424"/>
      <c r="L632" s="425"/>
      <c r="M632" s="430" t="s">
        <v>918</v>
      </c>
      <c r="N632" s="431"/>
      <c r="O632" s="426" t="s">
        <v>919</v>
      </c>
      <c r="P632" s="427"/>
      <c r="Q632" s="428"/>
      <c r="R632" s="423" t="s">
        <v>920</v>
      </c>
      <c r="S632" s="425"/>
      <c r="T632" s="5" t="s">
        <v>5</v>
      </c>
      <c r="Y632" s="243"/>
      <c r="AB632" s="196"/>
      <c r="AC632" s="199"/>
    </row>
    <row r="633" spans="1:29" ht="20.100000000000001" customHeight="1" x14ac:dyDescent="0.25">
      <c r="A633" s="36"/>
      <c r="B633" s="143">
        <f>B631+1</f>
        <v>582</v>
      </c>
      <c r="C633" s="87">
        <v>565</v>
      </c>
      <c r="D633" s="280" t="str">
        <f>HYPERLINK("https://sites.wustl.edu/meteoritesite/items/lm_nwa_15300/",W633)</f>
        <v>Northwest Africa 15300</v>
      </c>
      <c r="E633" s="376" t="s">
        <v>603</v>
      </c>
      <c r="F633" s="377"/>
      <c r="G633" s="377"/>
      <c r="H633" s="378"/>
      <c r="I633" s="412"/>
      <c r="J633" s="413"/>
      <c r="K633" s="413"/>
      <c r="L633" s="414"/>
      <c r="M633" s="379">
        <v>113</v>
      </c>
      <c r="N633" s="380"/>
      <c r="O633" s="381" t="s">
        <v>886</v>
      </c>
      <c r="P633" s="382"/>
      <c r="Q633" s="383"/>
      <c r="R633" s="376" t="s">
        <v>1259</v>
      </c>
      <c r="S633" s="378"/>
      <c r="T633" s="330">
        <v>0</v>
      </c>
      <c r="W633" s="112" t="s">
        <v>1354</v>
      </c>
      <c r="X633" s="61"/>
      <c r="Y633" s="260">
        <v>113</v>
      </c>
      <c r="Z633" s="243">
        <f t="shared" si="60"/>
        <v>113</v>
      </c>
      <c r="AB633" s="196"/>
      <c r="AC633" s="199"/>
    </row>
    <row r="634" spans="1:29" ht="20.100000000000001" customHeight="1" x14ac:dyDescent="0.25">
      <c r="A634" s="36"/>
      <c r="B634" s="143">
        <f t="shared" si="61"/>
        <v>583</v>
      </c>
      <c r="C634" s="87">
        <v>571</v>
      </c>
      <c r="D634" s="280" t="str">
        <f>HYPERLINK("https://sites.wustl.edu/meteoritesite/items/lm_nwa_15312/",W634)</f>
        <v>Northwest Africa 15312</v>
      </c>
      <c r="E634" s="376" t="s">
        <v>603</v>
      </c>
      <c r="F634" s="377"/>
      <c r="G634" s="377"/>
      <c r="H634" s="378"/>
      <c r="I634" s="286"/>
      <c r="J634" s="155"/>
      <c r="K634" s="155"/>
      <c r="L634" s="156"/>
      <c r="M634" s="379">
        <v>1021</v>
      </c>
      <c r="N634" s="380"/>
      <c r="O634" s="381" t="s">
        <v>1130</v>
      </c>
      <c r="P634" s="382"/>
      <c r="Q634" s="383"/>
      <c r="R634" s="376" t="s">
        <v>6</v>
      </c>
      <c r="S634" s="378"/>
      <c r="T634" s="330">
        <v>0</v>
      </c>
      <c r="W634" s="112" t="s">
        <v>1365</v>
      </c>
      <c r="X634" s="61"/>
      <c r="Y634" s="260">
        <v>1021</v>
      </c>
      <c r="Z634" s="243">
        <f t="shared" si="60"/>
        <v>1021</v>
      </c>
      <c r="AB634" s="196"/>
      <c r="AC634" s="199"/>
    </row>
    <row r="635" spans="1:29" ht="20.100000000000001" customHeight="1" x14ac:dyDescent="0.25">
      <c r="A635" s="36"/>
      <c r="B635" s="143">
        <f t="shared" si="61"/>
        <v>584</v>
      </c>
      <c r="C635" s="87">
        <v>578</v>
      </c>
      <c r="D635" s="280" t="str">
        <f>HYPERLINK("https://sites.wustl.edu/meteoritesite/items/lm_nwa_15343/",W635)</f>
        <v>Northwest Africa 15343</v>
      </c>
      <c r="E635" s="376" t="s">
        <v>603</v>
      </c>
      <c r="F635" s="377"/>
      <c r="G635" s="377"/>
      <c r="H635" s="378"/>
      <c r="I635" s="286"/>
      <c r="J635" s="155"/>
      <c r="K635" s="155"/>
      <c r="L635" s="156"/>
      <c r="M635" s="432" t="s">
        <v>1379</v>
      </c>
      <c r="N635" s="433"/>
      <c r="O635" s="381" t="s">
        <v>1130</v>
      </c>
      <c r="P635" s="382"/>
      <c r="Q635" s="383"/>
      <c r="R635" s="376" t="s">
        <v>1259</v>
      </c>
      <c r="S635" s="378"/>
      <c r="T635" s="330">
        <v>0</v>
      </c>
      <c r="W635" s="112" t="s">
        <v>1374</v>
      </c>
      <c r="X635" s="61"/>
      <c r="Y635" s="260">
        <v>4016</v>
      </c>
      <c r="Z635" s="243">
        <f t="shared" si="60"/>
        <v>4016</v>
      </c>
      <c r="AB635" s="196"/>
      <c r="AC635" s="199"/>
    </row>
    <row r="636" spans="1:29" ht="20.100000000000001" customHeight="1" x14ac:dyDescent="0.25">
      <c r="A636" s="36"/>
      <c r="B636" s="143">
        <f t="shared" si="61"/>
        <v>585</v>
      </c>
      <c r="C636" s="87">
        <v>566</v>
      </c>
      <c r="D636" s="280" t="str">
        <f>HYPERLINK("https://sites.wustl.edu/meteoritesite/items/lm_nwa_15348/",W636)</f>
        <v>Northwest Africa 15348</v>
      </c>
      <c r="E636" s="376" t="s">
        <v>603</v>
      </c>
      <c r="F636" s="377"/>
      <c r="G636" s="377"/>
      <c r="H636" s="378"/>
      <c r="I636" s="412"/>
      <c r="J636" s="413"/>
      <c r="K636" s="413"/>
      <c r="L636" s="414"/>
      <c r="M636" s="432" t="s">
        <v>1357</v>
      </c>
      <c r="N636" s="433"/>
      <c r="O636" s="381" t="s">
        <v>1076</v>
      </c>
      <c r="P636" s="382"/>
      <c r="Q636" s="383"/>
      <c r="R636" s="376" t="s">
        <v>1259</v>
      </c>
      <c r="S636" s="378"/>
      <c r="T636" s="330">
        <v>0</v>
      </c>
      <c r="W636" s="112" t="s">
        <v>1355</v>
      </c>
      <c r="X636" s="61"/>
      <c r="Y636" s="260">
        <v>905</v>
      </c>
      <c r="Z636" s="243">
        <f t="shared" si="60"/>
        <v>905</v>
      </c>
      <c r="AB636" s="196"/>
      <c r="AC636" s="199"/>
    </row>
    <row r="637" spans="1:29" ht="20.100000000000001" customHeight="1" x14ac:dyDescent="0.25">
      <c r="A637" s="36"/>
      <c r="B637" s="143">
        <f t="shared" si="61"/>
        <v>586</v>
      </c>
      <c r="C637" s="87">
        <v>567</v>
      </c>
      <c r="D637" s="280" t="str">
        <f>HYPERLINK("https://sites.wustl.edu/meteoritesite/items/lm_nwa_15349/",W637)</f>
        <v>Northwest Africa 15349</v>
      </c>
      <c r="E637" s="376" t="s">
        <v>603</v>
      </c>
      <c r="F637" s="377"/>
      <c r="G637" s="377"/>
      <c r="H637" s="378"/>
      <c r="I637" s="412"/>
      <c r="J637" s="413"/>
      <c r="K637" s="413"/>
      <c r="L637" s="414"/>
      <c r="M637" s="432" t="s">
        <v>1358</v>
      </c>
      <c r="N637" s="433"/>
      <c r="O637" s="381" t="s">
        <v>1297</v>
      </c>
      <c r="P637" s="382"/>
      <c r="Q637" s="383"/>
      <c r="R637" s="376" t="s">
        <v>1259</v>
      </c>
      <c r="S637" s="378"/>
      <c r="T637" s="330">
        <v>0</v>
      </c>
      <c r="W637" s="112" t="s">
        <v>1356</v>
      </c>
      <c r="X637" s="61"/>
      <c r="Y637" s="260">
        <v>365</v>
      </c>
      <c r="Z637" s="243">
        <f t="shared" si="60"/>
        <v>365</v>
      </c>
      <c r="AB637" s="196"/>
      <c r="AC637" s="199"/>
    </row>
    <row r="638" spans="1:29" ht="20.100000000000001" customHeight="1" x14ac:dyDescent="0.25">
      <c r="A638" s="36"/>
      <c r="B638" s="143">
        <f t="shared" si="61"/>
        <v>587</v>
      </c>
      <c r="C638" s="87">
        <v>581</v>
      </c>
      <c r="D638" s="280" t="str">
        <f>HYPERLINK("https://sites.wustl.edu/meteoritesite/items/lm_nwa_13676/",W638)</f>
        <v>Northwest Africa 15352</v>
      </c>
      <c r="E638" s="376" t="s">
        <v>1384</v>
      </c>
      <c r="F638" s="377"/>
      <c r="G638" s="377"/>
      <c r="H638" s="378"/>
      <c r="I638" s="286"/>
      <c r="J638" s="155"/>
      <c r="K638" s="155"/>
      <c r="L638" s="156"/>
      <c r="M638" s="432" t="s">
        <v>1386</v>
      </c>
      <c r="N638" s="433"/>
      <c r="O638" s="381" t="s">
        <v>1046</v>
      </c>
      <c r="P638" s="382"/>
      <c r="Q638" s="383"/>
      <c r="R638" s="376" t="s">
        <v>1259</v>
      </c>
      <c r="S638" s="378"/>
      <c r="T638" s="330">
        <v>0</v>
      </c>
      <c r="W638" s="112" t="s">
        <v>1385</v>
      </c>
      <c r="X638" s="61"/>
      <c r="Y638" s="260">
        <v>4125</v>
      </c>
      <c r="Z638" s="243">
        <f t="shared" si="60"/>
        <v>4125</v>
      </c>
      <c r="AB638" s="196"/>
      <c r="AC638" s="199"/>
    </row>
    <row r="639" spans="1:29" ht="20.100000000000001" customHeight="1" x14ac:dyDescent="0.25">
      <c r="A639" s="36"/>
      <c r="B639" s="143">
        <f t="shared" si="61"/>
        <v>588</v>
      </c>
      <c r="C639" s="87">
        <v>579</v>
      </c>
      <c r="D639" s="280" t="str">
        <f>HYPERLINK("https://sites.wustl.edu/meteoritesite/items/lm_nwa_15367/",W639)</f>
        <v>Northwest Africa 15367</v>
      </c>
      <c r="E639" s="376" t="s">
        <v>603</v>
      </c>
      <c r="F639" s="377"/>
      <c r="G639" s="377"/>
      <c r="H639" s="378"/>
      <c r="I639" s="286"/>
      <c r="J639" s="155"/>
      <c r="K639" s="155"/>
      <c r="L639" s="156"/>
      <c r="M639" s="379">
        <v>2238</v>
      </c>
      <c r="N639" s="380"/>
      <c r="O639" s="381" t="s">
        <v>1380</v>
      </c>
      <c r="P639" s="382"/>
      <c r="Q639" s="383"/>
      <c r="R639" s="376" t="s">
        <v>6</v>
      </c>
      <c r="S639" s="378"/>
      <c r="T639" s="330">
        <v>0</v>
      </c>
      <c r="W639" s="112" t="s">
        <v>1377</v>
      </c>
      <c r="X639" s="61"/>
      <c r="Y639" s="260">
        <v>2238</v>
      </c>
      <c r="Z639" s="243">
        <f t="shared" si="60"/>
        <v>2238</v>
      </c>
      <c r="AB639" s="196"/>
      <c r="AC639" s="199"/>
    </row>
    <row r="640" spans="1:29" ht="20.100000000000001" customHeight="1" x14ac:dyDescent="0.25">
      <c r="A640" s="36"/>
      <c r="B640" s="143">
        <f t="shared" si="61"/>
        <v>589</v>
      </c>
      <c r="C640" s="87">
        <v>572</v>
      </c>
      <c r="D640" s="280" t="str">
        <f>HYPERLINK("https://sites.wustl.edu/meteoritesite/items/lm_nwa_15368/",W640)</f>
        <v>Northwest Africa 15368</v>
      </c>
      <c r="E640" s="376" t="s">
        <v>603</v>
      </c>
      <c r="F640" s="377"/>
      <c r="G640" s="377"/>
      <c r="H640" s="378"/>
      <c r="I640" s="412"/>
      <c r="J640" s="413"/>
      <c r="K640" s="413"/>
      <c r="L640" s="414"/>
      <c r="M640" s="401">
        <v>17840</v>
      </c>
      <c r="N640" s="429"/>
      <c r="O640" s="381" t="s">
        <v>1107</v>
      </c>
      <c r="P640" s="382"/>
      <c r="Q640" s="383"/>
      <c r="R640" s="376" t="s">
        <v>1259</v>
      </c>
      <c r="S640" s="378"/>
      <c r="T640" s="330">
        <v>0</v>
      </c>
      <c r="W640" s="112" t="s">
        <v>1366</v>
      </c>
      <c r="X640" s="61"/>
      <c r="Y640" s="260">
        <v>17840</v>
      </c>
      <c r="Z640" s="243">
        <f t="shared" si="60"/>
        <v>17840</v>
      </c>
      <c r="AB640" s="196"/>
      <c r="AC640" s="199"/>
    </row>
    <row r="641" spans="1:29" ht="20.100000000000001" customHeight="1" x14ac:dyDescent="0.25">
      <c r="A641" s="36"/>
      <c r="B641" s="143">
        <f t="shared" si="61"/>
        <v>590</v>
      </c>
      <c r="C641" s="87">
        <v>573</v>
      </c>
      <c r="D641" s="280" t="str">
        <f>HYPERLINK("https://sites.wustl.edu/meteoritesite/items/lm_nwa_15373/",W641)</f>
        <v>Northwest Africa 15373</v>
      </c>
      <c r="E641" s="376" t="s">
        <v>603</v>
      </c>
      <c r="F641" s="377"/>
      <c r="G641" s="377"/>
      <c r="H641" s="378"/>
      <c r="I641" s="412"/>
      <c r="J641" s="413"/>
      <c r="K641" s="413"/>
      <c r="L641" s="414"/>
      <c r="M641" s="401" t="s">
        <v>1372</v>
      </c>
      <c r="N641" s="429"/>
      <c r="O641" s="381" t="s">
        <v>1312</v>
      </c>
      <c r="P641" s="382"/>
      <c r="Q641" s="383"/>
      <c r="R641" s="376" t="s">
        <v>1259</v>
      </c>
      <c r="S641" s="378"/>
      <c r="T641" s="330">
        <v>0</v>
      </c>
      <c r="W641" s="112" t="s">
        <v>1367</v>
      </c>
      <c r="X641" s="61"/>
      <c r="Y641" s="260">
        <v>45000</v>
      </c>
      <c r="Z641" s="243">
        <f t="shared" si="60"/>
        <v>45000</v>
      </c>
      <c r="AB641" s="196"/>
      <c r="AC641" s="199"/>
    </row>
    <row r="642" spans="1:29" ht="20.100000000000001" customHeight="1" x14ac:dyDescent="0.25">
      <c r="A642" s="36"/>
      <c r="B642" s="143">
        <f t="shared" si="61"/>
        <v>591</v>
      </c>
      <c r="C642" s="87">
        <v>580</v>
      </c>
      <c r="D642" s="280" t="str">
        <f>HYPERLINK("https://sites.wustl.edu/meteoritesite/items/lm_nwa_15374/",W642)</f>
        <v>Northwest Africa 15374</v>
      </c>
      <c r="E642" s="376" t="s">
        <v>603</v>
      </c>
      <c r="F642" s="377"/>
      <c r="G642" s="377"/>
      <c r="H642" s="378"/>
      <c r="I642" s="286"/>
      <c r="J642" s="155"/>
      <c r="K642" s="155"/>
      <c r="L642" s="156"/>
      <c r="M642" s="379">
        <v>1300</v>
      </c>
      <c r="N642" s="380"/>
      <c r="O642" s="381" t="s">
        <v>1051</v>
      </c>
      <c r="P642" s="382"/>
      <c r="Q642" s="383"/>
      <c r="R642" s="376" t="s">
        <v>1259</v>
      </c>
      <c r="S642" s="378"/>
      <c r="T642" s="330">
        <v>0</v>
      </c>
      <c r="W642" s="112" t="s">
        <v>1378</v>
      </c>
      <c r="X642" s="61"/>
      <c r="Y642" s="260">
        <v>1300</v>
      </c>
      <c r="Z642" s="243">
        <f t="shared" si="60"/>
        <v>1300</v>
      </c>
      <c r="AB642" s="196"/>
      <c r="AC642" s="199"/>
    </row>
    <row r="643" spans="1:29" ht="20.100000000000001" customHeight="1" x14ac:dyDescent="0.25">
      <c r="A643" s="36"/>
      <c r="B643" s="143">
        <f t="shared" si="61"/>
        <v>592</v>
      </c>
      <c r="C643" s="87">
        <v>574</v>
      </c>
      <c r="D643" s="280" t="str">
        <f>HYPERLINK("https://sites.wustl.edu/meteoritesite/items/lm_nwa_15375/",W643)</f>
        <v>Northwest Africa 15375</v>
      </c>
      <c r="E643" s="376" t="s">
        <v>603</v>
      </c>
      <c r="F643" s="377"/>
      <c r="G643" s="377"/>
      <c r="H643" s="378"/>
      <c r="I643" s="412"/>
      <c r="J643" s="413"/>
      <c r="K643" s="413"/>
      <c r="L643" s="414"/>
      <c r="M643" s="401" t="s">
        <v>1371</v>
      </c>
      <c r="N643" s="429"/>
      <c r="O643" s="381" t="s">
        <v>1076</v>
      </c>
      <c r="P643" s="382"/>
      <c r="Q643" s="383"/>
      <c r="R643" s="376" t="s">
        <v>6</v>
      </c>
      <c r="S643" s="378"/>
      <c r="T643" s="330">
        <v>0</v>
      </c>
      <c r="W643" s="112" t="s">
        <v>1368</v>
      </c>
      <c r="X643" s="61"/>
      <c r="Y643" s="260">
        <v>1670</v>
      </c>
      <c r="Z643" s="243">
        <f t="shared" si="60"/>
        <v>1670</v>
      </c>
      <c r="AB643" s="196"/>
      <c r="AC643" s="199"/>
    </row>
    <row r="644" spans="1:29" ht="20.100000000000001" customHeight="1" x14ac:dyDescent="0.25">
      <c r="A644" s="36"/>
      <c r="B644" s="143">
        <f t="shared" si="61"/>
        <v>593</v>
      </c>
      <c r="C644" s="87">
        <v>575</v>
      </c>
      <c r="D644" s="280" t="str">
        <f>HYPERLINK("https://sites.wustl.edu/meteoritesite/items/lm_nwa_15377/",W644)</f>
        <v>Northwest Africa 15377</v>
      </c>
      <c r="E644" s="376" t="s">
        <v>603</v>
      </c>
      <c r="F644" s="377"/>
      <c r="G644" s="377"/>
      <c r="H644" s="378"/>
      <c r="I644" s="412"/>
      <c r="J644" s="413"/>
      <c r="K644" s="413"/>
      <c r="L644" s="414"/>
      <c r="M644" s="432" t="s">
        <v>1373</v>
      </c>
      <c r="N644" s="433"/>
      <c r="O644" s="381" t="s">
        <v>1076</v>
      </c>
      <c r="P644" s="382"/>
      <c r="Q644" s="383"/>
      <c r="R644" s="376" t="s">
        <v>6</v>
      </c>
      <c r="S644" s="378"/>
      <c r="T644" s="330">
        <v>0</v>
      </c>
      <c r="W644" s="112" t="s">
        <v>1369</v>
      </c>
      <c r="X644" s="61"/>
      <c r="Y644" s="260">
        <v>209</v>
      </c>
      <c r="Z644" s="243">
        <f t="shared" si="60"/>
        <v>209</v>
      </c>
      <c r="AB644" s="196"/>
      <c r="AC644" s="199"/>
    </row>
    <row r="645" spans="1:29" ht="20.100000000000001" customHeight="1" x14ac:dyDescent="0.25">
      <c r="A645" s="36"/>
      <c r="B645" s="143">
        <f t="shared" si="61"/>
        <v>594</v>
      </c>
      <c r="C645" s="87">
        <v>576</v>
      </c>
      <c r="D645" s="280" t="str">
        <f>HYPERLINK("https://sites.wustl.edu/meteoritesite/items/lm_nwa_15431/",W645)</f>
        <v>Northwest Africa 15431</v>
      </c>
      <c r="E645" s="376" t="s">
        <v>603</v>
      </c>
      <c r="F645" s="377"/>
      <c r="G645" s="377"/>
      <c r="H645" s="378"/>
      <c r="I645" s="412"/>
      <c r="J645" s="413"/>
      <c r="K645" s="413"/>
      <c r="L645" s="414"/>
      <c r="M645" s="379">
        <v>35</v>
      </c>
      <c r="N645" s="380"/>
      <c r="O645" s="381" t="s">
        <v>1018</v>
      </c>
      <c r="P645" s="382"/>
      <c r="Q645" s="383"/>
      <c r="R645" s="376" t="s">
        <v>6</v>
      </c>
      <c r="S645" s="378"/>
      <c r="T645" s="330">
        <v>0</v>
      </c>
      <c r="W645" s="112" t="s">
        <v>1376</v>
      </c>
      <c r="X645" s="61"/>
      <c r="Y645" s="260">
        <v>35</v>
      </c>
      <c r="Z645" s="243">
        <f t="shared" si="60"/>
        <v>35</v>
      </c>
      <c r="AB645" s="196"/>
      <c r="AC645" s="199"/>
    </row>
    <row r="646" spans="1:29" ht="20.100000000000001" customHeight="1" x14ac:dyDescent="0.25">
      <c r="A646" s="36"/>
      <c r="B646" s="143">
        <f t="shared" si="61"/>
        <v>595</v>
      </c>
      <c r="C646" s="87">
        <v>582</v>
      </c>
      <c r="D646" s="280" t="str">
        <f>HYPERLINK("https://sites.wustl.edu/meteoritesite/items/lm_nwa_15432/",W646)</f>
        <v>Northwest Africa 15432</v>
      </c>
      <c r="E646" s="376" t="s">
        <v>603</v>
      </c>
      <c r="F646" s="377"/>
      <c r="G646" s="377"/>
      <c r="H646" s="378"/>
      <c r="I646" s="412"/>
      <c r="J646" s="413"/>
      <c r="K646" s="413"/>
      <c r="L646" s="414"/>
      <c r="M646" s="379">
        <v>16</v>
      </c>
      <c r="N646" s="380"/>
      <c r="O646" s="381" t="s">
        <v>1207</v>
      </c>
      <c r="P646" s="382"/>
      <c r="Q646" s="383"/>
      <c r="R646" s="376" t="s">
        <v>6</v>
      </c>
      <c r="S646" s="378"/>
      <c r="T646" s="330">
        <v>0</v>
      </c>
      <c r="W646" s="112" t="s">
        <v>1387</v>
      </c>
      <c r="X646" s="61"/>
      <c r="Y646" s="260">
        <v>16</v>
      </c>
      <c r="Z646" s="243">
        <f t="shared" si="60"/>
        <v>16</v>
      </c>
      <c r="AB646" s="196"/>
      <c r="AC646" s="199"/>
    </row>
    <row r="647" spans="1:29" ht="20.100000000000001" customHeight="1" x14ac:dyDescent="0.25">
      <c r="A647" s="36"/>
      <c r="B647" s="143">
        <f t="shared" si="61"/>
        <v>596</v>
      </c>
      <c r="C647" s="87">
        <v>577</v>
      </c>
      <c r="D647" s="280" t="str">
        <f>HYPERLINK("https://sites.wustl.edu/meteoritesite/items/lm_nwa_15433/",W647)</f>
        <v>Northwest Africa 15433</v>
      </c>
      <c r="E647" s="376" t="s">
        <v>603</v>
      </c>
      <c r="F647" s="377"/>
      <c r="G647" s="377"/>
      <c r="H647" s="378"/>
      <c r="I647" s="412"/>
      <c r="J647" s="413"/>
      <c r="K647" s="413"/>
      <c r="L647" s="414"/>
      <c r="M647" s="379">
        <v>636</v>
      </c>
      <c r="N647" s="380"/>
      <c r="O647" s="381" t="s">
        <v>1381</v>
      </c>
      <c r="P647" s="382"/>
      <c r="Q647" s="383"/>
      <c r="R647" s="376" t="s">
        <v>6</v>
      </c>
      <c r="S647" s="378"/>
      <c r="T647" s="330">
        <v>0</v>
      </c>
      <c r="W647" s="112" t="s">
        <v>1375</v>
      </c>
      <c r="X647" s="61"/>
      <c r="Y647" s="260">
        <v>636</v>
      </c>
      <c r="Z647" s="243">
        <f t="shared" si="60"/>
        <v>636</v>
      </c>
      <c r="AB647" s="196"/>
      <c r="AC647" s="199"/>
    </row>
    <row r="648" spans="1:29" ht="20.100000000000001" customHeight="1" x14ac:dyDescent="0.25">
      <c r="A648" s="36"/>
      <c r="B648" s="143">
        <f t="shared" si="61"/>
        <v>597</v>
      </c>
      <c r="C648" s="87">
        <v>598</v>
      </c>
      <c r="D648" s="280" t="str">
        <f>HYPERLINK("https://sites.wustl.edu/meteoritesite/items/lm_nwa_15482/",W648)</f>
        <v>Northwest Africa 15482</v>
      </c>
      <c r="E648" s="376" t="s">
        <v>603</v>
      </c>
      <c r="F648" s="377"/>
      <c r="G648" s="377"/>
      <c r="H648" s="378"/>
      <c r="I648" s="286"/>
      <c r="J648" s="155"/>
      <c r="K648" s="155"/>
      <c r="L648" s="156"/>
      <c r="M648" s="463">
        <v>80.599999999999994</v>
      </c>
      <c r="N648" s="879"/>
      <c r="O648" s="381" t="s">
        <v>1433</v>
      </c>
      <c r="P648" s="382"/>
      <c r="Q648" s="383"/>
      <c r="R648" s="376" t="s">
        <v>1434</v>
      </c>
      <c r="S648" s="378"/>
      <c r="T648" s="330">
        <v>0</v>
      </c>
      <c r="W648" s="112" t="s">
        <v>1427</v>
      </c>
      <c r="X648" s="61"/>
      <c r="Y648" s="267">
        <v>80.599999999999994</v>
      </c>
      <c r="Z648" s="243">
        <f t="shared" si="60"/>
        <v>80.599999999999994</v>
      </c>
      <c r="AB648" s="196"/>
      <c r="AC648" s="199"/>
    </row>
    <row r="649" spans="1:29" ht="20.100000000000001" customHeight="1" x14ac:dyDescent="0.25">
      <c r="A649" s="36"/>
      <c r="B649" s="143">
        <f t="shared" si="61"/>
        <v>598</v>
      </c>
      <c r="C649" s="87">
        <v>583</v>
      </c>
      <c r="D649" s="280" t="str">
        <f>HYPERLINK("https://sites.wustl.edu/meteoritesite/items/lm_nwa_15483/",W649)</f>
        <v>Northwest Africa 15483</v>
      </c>
      <c r="E649" s="376" t="s">
        <v>603</v>
      </c>
      <c r="F649" s="377"/>
      <c r="G649" s="377"/>
      <c r="H649" s="378"/>
      <c r="I649" s="412"/>
      <c r="J649" s="413"/>
      <c r="K649" s="413"/>
      <c r="L649" s="414"/>
      <c r="M649" s="379">
        <v>72.930000000000007</v>
      </c>
      <c r="N649" s="380"/>
      <c r="O649" s="381" t="s">
        <v>1389</v>
      </c>
      <c r="P649" s="382"/>
      <c r="Q649" s="383"/>
      <c r="R649" s="376" t="s">
        <v>6</v>
      </c>
      <c r="S649" s="378"/>
      <c r="T649" s="330">
        <v>0</v>
      </c>
      <c r="W649" s="112" t="s">
        <v>1388</v>
      </c>
      <c r="X649" s="61"/>
      <c r="Y649" s="268">
        <v>72.930000000000007</v>
      </c>
      <c r="Z649" s="244">
        <f t="shared" si="60"/>
        <v>72.930000000000007</v>
      </c>
      <c r="AB649" s="196"/>
      <c r="AC649" s="199"/>
    </row>
    <row r="650" spans="1:29" ht="20.100000000000001" customHeight="1" x14ac:dyDescent="0.25">
      <c r="A650" s="36"/>
      <c r="B650" s="143">
        <f t="shared" si="61"/>
        <v>599</v>
      </c>
      <c r="C650" s="87">
        <v>584</v>
      </c>
      <c r="D650" s="280" t="str">
        <f>HYPERLINK("https://sites.wustl.edu/meteoritesite/items/lm_nwa_15500/",W650)</f>
        <v>Northwest Africa 15500</v>
      </c>
      <c r="E650" s="376" t="s">
        <v>1568</v>
      </c>
      <c r="F650" s="377"/>
      <c r="G650" s="377"/>
      <c r="H650" s="378"/>
      <c r="I650" s="286"/>
      <c r="J650" s="155"/>
      <c r="K650" s="155"/>
      <c r="L650" s="156"/>
      <c r="M650" s="379">
        <v>467</v>
      </c>
      <c r="N650" s="380"/>
      <c r="O650" s="381" t="s">
        <v>1398</v>
      </c>
      <c r="P650" s="382"/>
      <c r="Q650" s="383"/>
      <c r="R650" s="376" t="s">
        <v>1391</v>
      </c>
      <c r="S650" s="378"/>
      <c r="T650" s="330">
        <v>0</v>
      </c>
      <c r="W650" s="112" t="s">
        <v>1390</v>
      </c>
      <c r="X650" s="61"/>
      <c r="Y650" s="260">
        <v>467</v>
      </c>
      <c r="Z650" s="241">
        <f t="shared" si="60"/>
        <v>467</v>
      </c>
      <c r="AB650" s="196"/>
      <c r="AC650" s="199"/>
    </row>
    <row r="651" spans="1:29" ht="20.100000000000001" customHeight="1" x14ac:dyDescent="0.25">
      <c r="A651" s="36"/>
      <c r="B651" s="143">
        <f t="shared" si="61"/>
        <v>600</v>
      </c>
      <c r="C651" s="87">
        <v>586</v>
      </c>
      <c r="D651" s="280" t="str">
        <f>HYPERLINK("https://sites.wustl.edu/meteoritesite/items/lm_nwa_15528/",W651)</f>
        <v>Northwest Africa 15528</v>
      </c>
      <c r="E651" s="376" t="s">
        <v>603</v>
      </c>
      <c r="F651" s="377"/>
      <c r="G651" s="377"/>
      <c r="H651" s="378"/>
      <c r="I651" s="286"/>
      <c r="J651" s="155"/>
      <c r="K651" s="155"/>
      <c r="L651" s="156"/>
      <c r="M651" s="379" t="s">
        <v>1399</v>
      </c>
      <c r="N651" s="380"/>
      <c r="O651" s="381" t="s">
        <v>900</v>
      </c>
      <c r="P651" s="382"/>
      <c r="Q651" s="383"/>
      <c r="R651" s="376" t="s">
        <v>6</v>
      </c>
      <c r="S651" s="378"/>
      <c r="T651" s="330">
        <v>0</v>
      </c>
      <c r="W651" s="112" t="s">
        <v>1397</v>
      </c>
      <c r="X651" s="61"/>
      <c r="Y651" s="260">
        <v>27</v>
      </c>
      <c r="Z651" s="241">
        <f t="shared" si="60"/>
        <v>27</v>
      </c>
      <c r="AB651" s="196"/>
      <c r="AC651" s="199"/>
    </row>
    <row r="652" spans="1:29" ht="20.100000000000001" customHeight="1" x14ac:dyDescent="0.25">
      <c r="A652" s="36"/>
      <c r="B652" s="143">
        <f t="shared" si="61"/>
        <v>601</v>
      </c>
      <c r="C652" s="87">
        <v>615</v>
      </c>
      <c r="D652" s="280" t="str">
        <f>HYPERLINK("https://sites.wustl.edu/meteoritesite/items/lm_nwa_15533/",W652)</f>
        <v>Northwest Africa 15533</v>
      </c>
      <c r="E652" s="376" t="s">
        <v>603</v>
      </c>
      <c r="F652" s="377"/>
      <c r="G652" s="377"/>
      <c r="H652" s="378"/>
      <c r="I652" s="286"/>
      <c r="J652" s="155"/>
      <c r="K652" s="155"/>
      <c r="L652" s="156"/>
      <c r="M652" s="379" t="s">
        <v>1485</v>
      </c>
      <c r="N652" s="380"/>
      <c r="O652" s="381" t="s">
        <v>1226</v>
      </c>
      <c r="P652" s="382"/>
      <c r="Q652" s="383"/>
      <c r="R652" s="376" t="s">
        <v>6</v>
      </c>
      <c r="S652" s="378"/>
      <c r="T652" s="330">
        <v>0</v>
      </c>
      <c r="W652" s="112" t="s">
        <v>1484</v>
      </c>
      <c r="X652" s="61"/>
      <c r="Y652" s="260">
        <v>641</v>
      </c>
      <c r="Z652" s="241">
        <f t="shared" ref="Z652" si="62">Y652</f>
        <v>641</v>
      </c>
      <c r="AB652" s="196"/>
      <c r="AC652" s="199"/>
    </row>
    <row r="653" spans="1:29" ht="20.100000000000001" customHeight="1" x14ac:dyDescent="0.25">
      <c r="A653" s="36"/>
      <c r="B653" s="143">
        <f>B652+1</f>
        <v>602</v>
      </c>
      <c r="C653" s="87">
        <v>591</v>
      </c>
      <c r="D653" s="280" t="str">
        <f>HYPERLINK("https://sites.wustl.edu/meteoritesite/items/lm_nwa_15583/",W653)</f>
        <v>Northwest Africa 15583</v>
      </c>
      <c r="E653" s="376" t="s">
        <v>603</v>
      </c>
      <c r="F653" s="377"/>
      <c r="G653" s="377"/>
      <c r="H653" s="378"/>
      <c r="I653" s="286"/>
      <c r="J653" s="155"/>
      <c r="K653" s="155"/>
      <c r="L653" s="156"/>
      <c r="M653" s="379">
        <v>3400</v>
      </c>
      <c r="N653" s="380"/>
      <c r="O653" s="381" t="s">
        <v>1312</v>
      </c>
      <c r="P653" s="382"/>
      <c r="Q653" s="383"/>
      <c r="R653" s="376" t="s">
        <v>6</v>
      </c>
      <c r="S653" s="378"/>
      <c r="T653" s="330">
        <v>0</v>
      </c>
      <c r="W653" s="112" t="s">
        <v>1411</v>
      </c>
      <c r="X653" s="61"/>
      <c r="Y653" s="274">
        <v>3400</v>
      </c>
      <c r="Z653" s="241">
        <f t="shared" ref="Z653:Z665" si="63">Y653</f>
        <v>3400</v>
      </c>
      <c r="AB653" s="196"/>
      <c r="AC653" s="199"/>
    </row>
    <row r="654" spans="1:29" ht="36" customHeight="1" x14ac:dyDescent="0.25">
      <c r="A654" s="36"/>
      <c r="B654" s="125" t="s">
        <v>402</v>
      </c>
      <c r="C654" s="30" t="s">
        <v>1034</v>
      </c>
      <c r="D654" s="33" t="s">
        <v>915</v>
      </c>
      <c r="E654" s="420" t="s">
        <v>916</v>
      </c>
      <c r="F654" s="421"/>
      <c r="G654" s="421"/>
      <c r="H654" s="422"/>
      <c r="I654" s="423" t="s">
        <v>917</v>
      </c>
      <c r="J654" s="424"/>
      <c r="K654" s="424"/>
      <c r="L654" s="425"/>
      <c r="M654" s="430" t="s">
        <v>918</v>
      </c>
      <c r="N654" s="431"/>
      <c r="O654" s="426" t="s">
        <v>919</v>
      </c>
      <c r="P654" s="427"/>
      <c r="Q654" s="428"/>
      <c r="R654" s="423" t="s">
        <v>920</v>
      </c>
      <c r="S654" s="425"/>
      <c r="T654" s="5" t="s">
        <v>5</v>
      </c>
      <c r="Y654" s="243"/>
      <c r="AB654" s="196"/>
      <c r="AC654" s="199"/>
    </row>
    <row r="655" spans="1:29" ht="20.100000000000001" customHeight="1" x14ac:dyDescent="0.25">
      <c r="A655" s="36"/>
      <c r="B655" s="143">
        <f>B653+1</f>
        <v>603</v>
      </c>
      <c r="C655" s="87">
        <v>599</v>
      </c>
      <c r="D655" s="280" t="str">
        <f>HYPERLINK("https://sites.wustl.edu/meteoritesite/items/lm_nwa_15603/",W655)</f>
        <v>Northwest Africa 15603</v>
      </c>
      <c r="E655" s="376" t="s">
        <v>603</v>
      </c>
      <c r="F655" s="377"/>
      <c r="G655" s="377"/>
      <c r="H655" s="378"/>
      <c r="I655" s="286"/>
      <c r="J655" s="155"/>
      <c r="K655" s="155"/>
      <c r="L655" s="156"/>
      <c r="M655" s="379">
        <v>187</v>
      </c>
      <c r="N655" s="380"/>
      <c r="O655" s="381" t="s">
        <v>1389</v>
      </c>
      <c r="P655" s="382"/>
      <c r="Q655" s="383"/>
      <c r="R655" s="376" t="s">
        <v>6</v>
      </c>
      <c r="S655" s="378"/>
      <c r="T655" s="330">
        <v>0</v>
      </c>
      <c r="W655" s="112" t="s">
        <v>1428</v>
      </c>
      <c r="X655" s="61"/>
      <c r="Y655" s="274">
        <v>187</v>
      </c>
      <c r="Z655" s="241">
        <f t="shared" si="63"/>
        <v>187</v>
      </c>
      <c r="AB655" s="196"/>
      <c r="AC655" s="199"/>
    </row>
    <row r="656" spans="1:29" ht="20.100000000000001" customHeight="1" x14ac:dyDescent="0.25">
      <c r="A656" s="36"/>
      <c r="B656" s="143">
        <f t="shared" si="61"/>
        <v>604</v>
      </c>
      <c r="C656" s="87">
        <v>600</v>
      </c>
      <c r="D656" s="280" t="str">
        <f>HYPERLINK("https://sites.wustl.edu/meteoritesite/items/lm_nwa_15603/",W656)</f>
        <v>Northwest Africa 15604</v>
      </c>
      <c r="E656" s="376" t="s">
        <v>603</v>
      </c>
      <c r="F656" s="377"/>
      <c r="G656" s="377"/>
      <c r="H656" s="378"/>
      <c r="I656" s="286"/>
      <c r="J656" s="155"/>
      <c r="K656" s="155"/>
      <c r="L656" s="156"/>
      <c r="M656" s="401" t="s">
        <v>1435</v>
      </c>
      <c r="N656" s="429"/>
      <c r="O656" s="381" t="s">
        <v>1436</v>
      </c>
      <c r="P656" s="382"/>
      <c r="Q656" s="383"/>
      <c r="R656" s="376" t="s">
        <v>6</v>
      </c>
      <c r="S656" s="378"/>
      <c r="T656" s="330">
        <v>0</v>
      </c>
      <c r="W656" s="112" t="s">
        <v>1429</v>
      </c>
      <c r="X656" s="61"/>
      <c r="Y656" s="274">
        <v>2300</v>
      </c>
      <c r="Z656" s="241">
        <f t="shared" si="63"/>
        <v>2300</v>
      </c>
      <c r="AB656" s="196"/>
      <c r="AC656" s="199"/>
    </row>
    <row r="657" spans="1:29" ht="20.100000000000001" customHeight="1" x14ac:dyDescent="0.25">
      <c r="A657" s="36"/>
      <c r="B657" s="143">
        <f t="shared" si="61"/>
        <v>605</v>
      </c>
      <c r="C657" s="87">
        <v>601</v>
      </c>
      <c r="D657" s="280" t="str">
        <f>HYPERLINK("https://sites.wustl.edu/meteoritesite/items/lm_nwa_15603/",W657)</f>
        <v>Northwest Africa 15605</v>
      </c>
      <c r="E657" s="376" t="s">
        <v>603</v>
      </c>
      <c r="F657" s="377"/>
      <c r="G657" s="377"/>
      <c r="H657" s="378"/>
      <c r="I657" s="286"/>
      <c r="J657" s="155"/>
      <c r="K657" s="155"/>
      <c r="L657" s="156"/>
      <c r="M657" s="401" t="s">
        <v>1437</v>
      </c>
      <c r="N657" s="429"/>
      <c r="O657" s="381" t="s">
        <v>1436</v>
      </c>
      <c r="P657" s="382"/>
      <c r="Q657" s="383"/>
      <c r="R657" s="376" t="s">
        <v>6</v>
      </c>
      <c r="S657" s="378"/>
      <c r="T657" s="330">
        <v>0</v>
      </c>
      <c r="W657" s="112" t="s">
        <v>1430</v>
      </c>
      <c r="X657" s="61"/>
      <c r="Y657" s="274">
        <v>1000</v>
      </c>
      <c r="Z657" s="241">
        <f t="shared" si="63"/>
        <v>1000</v>
      </c>
      <c r="AB657" s="196"/>
      <c r="AC657" s="199"/>
    </row>
    <row r="658" spans="1:29" ht="20.100000000000001" customHeight="1" x14ac:dyDescent="0.25">
      <c r="A658" s="36"/>
      <c r="B658" s="143">
        <f t="shared" si="61"/>
        <v>606</v>
      </c>
      <c r="C658" s="87">
        <v>602</v>
      </c>
      <c r="D658" s="280" t="str">
        <f>HYPERLINK("https://sites.wustl.edu/meteoritesite/items/lm_nwa_15603/",W658)</f>
        <v>Northwest Africa 15612</v>
      </c>
      <c r="E658" s="376" t="s">
        <v>603</v>
      </c>
      <c r="F658" s="377"/>
      <c r="G658" s="377"/>
      <c r="H658" s="378"/>
      <c r="I658" s="286"/>
      <c r="J658" s="155"/>
      <c r="K658" s="155"/>
      <c r="L658" s="156"/>
      <c r="M658" s="379" t="s">
        <v>1438</v>
      </c>
      <c r="N658" s="380"/>
      <c r="O658" s="381" t="s">
        <v>1309</v>
      </c>
      <c r="P658" s="382"/>
      <c r="Q658" s="383"/>
      <c r="R658" s="376" t="s">
        <v>6</v>
      </c>
      <c r="S658" s="378"/>
      <c r="T658" s="330">
        <v>0</v>
      </c>
      <c r="W658" s="112" t="s">
        <v>1431</v>
      </c>
      <c r="X658" s="61"/>
      <c r="Y658" s="274">
        <v>90</v>
      </c>
      <c r="Z658" s="241">
        <f t="shared" si="63"/>
        <v>90</v>
      </c>
      <c r="AB658" s="196"/>
      <c r="AC658" s="199"/>
    </row>
    <row r="659" spans="1:29" ht="20.100000000000001" customHeight="1" x14ac:dyDescent="0.25">
      <c r="A659" s="36"/>
      <c r="B659" s="143">
        <f t="shared" si="61"/>
        <v>607</v>
      </c>
      <c r="C659" s="87">
        <v>667</v>
      </c>
      <c r="D659" s="280" t="str">
        <f>HYPERLINK("https://sites.wustl.edu/meteoritesite/items/lm_nwa_15629/",W659)</f>
        <v>Northwest Africa 15629</v>
      </c>
      <c r="E659" s="376" t="s">
        <v>603</v>
      </c>
      <c r="F659" s="377"/>
      <c r="G659" s="377"/>
      <c r="H659" s="378"/>
      <c r="I659" s="286"/>
      <c r="J659" s="155"/>
      <c r="K659" s="155"/>
      <c r="L659" s="156"/>
      <c r="M659" s="379" t="s">
        <v>1606</v>
      </c>
      <c r="N659" s="380"/>
      <c r="O659" s="381" t="s">
        <v>1312</v>
      </c>
      <c r="P659" s="382"/>
      <c r="Q659" s="383"/>
      <c r="R659" s="376" t="s">
        <v>1259</v>
      </c>
      <c r="S659" s="378"/>
      <c r="T659" s="330">
        <v>0</v>
      </c>
      <c r="W659" s="112" t="s">
        <v>1605</v>
      </c>
      <c r="X659" s="61"/>
      <c r="Y659" s="274">
        <v>3400</v>
      </c>
      <c r="Z659" s="241">
        <f t="shared" ref="Z659" si="64">Y659</f>
        <v>3400</v>
      </c>
      <c r="AB659" s="196"/>
      <c r="AC659" s="199"/>
    </row>
    <row r="660" spans="1:29" ht="20.100000000000001" customHeight="1" x14ac:dyDescent="0.25">
      <c r="A660" s="36"/>
      <c r="B660" s="143">
        <f>B659+1</f>
        <v>608</v>
      </c>
      <c r="C660" s="87">
        <v>592</v>
      </c>
      <c r="D660" s="280" t="str">
        <f>HYPERLINK("https://sites.wustl.edu/meteoritesite/items/lm_nwa_00773_clan/",W660)</f>
        <v>Northwest Africa 15644</v>
      </c>
      <c r="E660" s="376" t="s">
        <v>1414</v>
      </c>
      <c r="F660" s="377"/>
      <c r="G660" s="377"/>
      <c r="H660" s="378"/>
      <c r="I660" s="286"/>
      <c r="J660" s="155"/>
      <c r="K660" s="155"/>
      <c r="L660" s="156"/>
      <c r="M660" s="379">
        <v>1.9</v>
      </c>
      <c r="N660" s="380"/>
      <c r="O660" s="381" t="s">
        <v>1312</v>
      </c>
      <c r="P660" s="382"/>
      <c r="Q660" s="383"/>
      <c r="R660" s="376" t="s">
        <v>1259</v>
      </c>
      <c r="S660" s="378"/>
      <c r="T660" s="330">
        <v>0</v>
      </c>
      <c r="W660" s="112" t="s">
        <v>1412</v>
      </c>
      <c r="X660" s="61"/>
      <c r="Y660" s="274">
        <v>1.9</v>
      </c>
      <c r="Z660" s="249">
        <f t="shared" si="63"/>
        <v>1.9</v>
      </c>
      <c r="AB660" s="196"/>
      <c r="AC660" s="199"/>
    </row>
    <row r="661" spans="1:29" ht="20.100000000000001" customHeight="1" x14ac:dyDescent="0.25">
      <c r="A661" s="36"/>
      <c r="B661" s="143">
        <f t="shared" si="61"/>
        <v>609</v>
      </c>
      <c r="C661" s="87">
        <v>593</v>
      </c>
      <c r="D661" s="280" t="str">
        <f>HYPERLINK("https://sites.wustl.edu/meteoritesite/items/lm_nwa_15655/",W661)</f>
        <v>Northwest Africa 15655</v>
      </c>
      <c r="E661" s="376" t="s">
        <v>603</v>
      </c>
      <c r="F661" s="377"/>
      <c r="G661" s="377"/>
      <c r="H661" s="378"/>
      <c r="I661" s="286"/>
      <c r="J661" s="155"/>
      <c r="K661" s="155"/>
      <c r="L661" s="156"/>
      <c r="M661" s="379" t="s">
        <v>1415</v>
      </c>
      <c r="N661" s="380"/>
      <c r="O661" s="381" t="s">
        <v>1398</v>
      </c>
      <c r="P661" s="382"/>
      <c r="Q661" s="383"/>
      <c r="R661" s="376" t="s">
        <v>6</v>
      </c>
      <c r="S661" s="378"/>
      <c r="T661" s="330">
        <v>0</v>
      </c>
      <c r="W661" s="112" t="s">
        <v>1413</v>
      </c>
      <c r="X661" s="61"/>
      <c r="Y661" s="274">
        <v>446.5</v>
      </c>
      <c r="Z661" s="249">
        <f t="shared" si="63"/>
        <v>446.5</v>
      </c>
      <c r="AB661" s="196"/>
      <c r="AC661" s="199"/>
    </row>
    <row r="662" spans="1:29" ht="20.100000000000001" customHeight="1" x14ac:dyDescent="0.25">
      <c r="A662" s="36"/>
      <c r="B662" s="143">
        <f t="shared" si="61"/>
        <v>610</v>
      </c>
      <c r="C662" s="87">
        <v>611</v>
      </c>
      <c r="D662" s="280" t="str">
        <f>HYPERLINK("https://sites.wustl.edu/meteoritesite/items/lm_nwa_15686/",W662)</f>
        <v>Northwest Africa 15686</v>
      </c>
      <c r="E662" s="376" t="s">
        <v>603</v>
      </c>
      <c r="F662" s="377"/>
      <c r="G662" s="377"/>
      <c r="H662" s="378"/>
      <c r="I662" s="286"/>
      <c r="J662" s="155"/>
      <c r="K662" s="155"/>
      <c r="L662" s="156"/>
      <c r="M662" s="463">
        <v>80.2</v>
      </c>
      <c r="N662" s="879"/>
      <c r="O662" s="381" t="s">
        <v>1312</v>
      </c>
      <c r="P662" s="382"/>
      <c r="Q662" s="383"/>
      <c r="R662" s="376" t="s">
        <v>6</v>
      </c>
      <c r="S662" s="378"/>
      <c r="T662" s="330">
        <v>0</v>
      </c>
      <c r="W662" s="112" t="s">
        <v>1458</v>
      </c>
      <c r="X662" s="61"/>
      <c r="Y662" s="274">
        <v>80.2</v>
      </c>
      <c r="Z662" s="249">
        <f t="shared" si="63"/>
        <v>80.2</v>
      </c>
      <c r="AB662" s="196"/>
      <c r="AC662" s="199"/>
    </row>
    <row r="663" spans="1:29" ht="20.100000000000001" customHeight="1" x14ac:dyDescent="0.25">
      <c r="A663" s="36"/>
      <c r="B663" s="143">
        <f t="shared" si="61"/>
        <v>611</v>
      </c>
      <c r="C663" s="87">
        <v>603</v>
      </c>
      <c r="D663" s="280" t="str">
        <f>HYPERLINK("https://sites.wustl.edu/meteoritesite/items/lm_nwa_15714/",W663)</f>
        <v>Northwest Africa 15714</v>
      </c>
      <c r="E663" s="376" t="s">
        <v>603</v>
      </c>
      <c r="F663" s="377"/>
      <c r="G663" s="377"/>
      <c r="H663" s="378"/>
      <c r="I663" s="286"/>
      <c r="J663" s="155"/>
      <c r="K663" s="155"/>
      <c r="L663" s="156"/>
      <c r="M663" s="379">
        <v>33</v>
      </c>
      <c r="N663" s="380"/>
      <c r="O663" s="381" t="s">
        <v>1312</v>
      </c>
      <c r="P663" s="382"/>
      <c r="Q663" s="383"/>
      <c r="R663" s="376" t="s">
        <v>6</v>
      </c>
      <c r="S663" s="378"/>
      <c r="T663" s="330">
        <v>0</v>
      </c>
      <c r="W663" s="112" t="s">
        <v>1432</v>
      </c>
      <c r="X663" s="61"/>
      <c r="Y663" s="274">
        <v>33</v>
      </c>
      <c r="Z663" s="249">
        <f t="shared" si="63"/>
        <v>33</v>
      </c>
      <c r="AB663" s="196"/>
      <c r="AC663" s="199"/>
    </row>
    <row r="664" spans="1:29" ht="20.100000000000001" customHeight="1" x14ac:dyDescent="0.25">
      <c r="A664" s="36"/>
      <c r="B664" s="143">
        <f t="shared" si="61"/>
        <v>612</v>
      </c>
      <c r="C664" s="87">
        <v>612</v>
      </c>
      <c r="D664" s="280" t="str">
        <f>HYPERLINK("https://sites.wustl.edu/meteoritesite/items/lm_nwa_15782/",W664)</f>
        <v>Northwest Africa 15782</v>
      </c>
      <c r="E664" s="376" t="s">
        <v>603</v>
      </c>
      <c r="F664" s="377"/>
      <c r="G664" s="377"/>
      <c r="H664" s="378"/>
      <c r="I664" s="286"/>
      <c r="J664" s="155"/>
      <c r="K664" s="155"/>
      <c r="L664" s="156"/>
      <c r="M664" s="379">
        <v>276</v>
      </c>
      <c r="N664" s="380"/>
      <c r="O664" s="381" t="s">
        <v>1405</v>
      </c>
      <c r="P664" s="382"/>
      <c r="Q664" s="383"/>
      <c r="R664" s="376" t="s">
        <v>6</v>
      </c>
      <c r="S664" s="378"/>
      <c r="T664" s="330">
        <v>0</v>
      </c>
      <c r="W664" s="112" t="s">
        <v>1459</v>
      </c>
      <c r="X664" s="61"/>
      <c r="Y664" s="274">
        <v>276</v>
      </c>
      <c r="Z664" s="249">
        <f t="shared" si="63"/>
        <v>276</v>
      </c>
      <c r="AB664" s="196"/>
      <c r="AC664" s="199"/>
    </row>
    <row r="665" spans="1:29" ht="20.100000000000001" customHeight="1" x14ac:dyDescent="0.25">
      <c r="A665" s="36"/>
      <c r="B665" s="143">
        <f>B664+1</f>
        <v>613</v>
      </c>
      <c r="C665" s="87">
        <v>613</v>
      </c>
      <c r="D665" s="280" t="str">
        <f>HYPERLINK("https://sites.wustl.edu/meteoritesite/items/lm_nwa_15800/",W665)</f>
        <v>Northwest Africa 15800</v>
      </c>
      <c r="E665" s="376" t="s">
        <v>603</v>
      </c>
      <c r="F665" s="377"/>
      <c r="G665" s="377"/>
      <c r="H665" s="378"/>
      <c r="I665" s="286"/>
      <c r="J665" s="155"/>
      <c r="K665" s="155"/>
      <c r="L665" s="156"/>
      <c r="M665" s="379">
        <v>23</v>
      </c>
      <c r="N665" s="380"/>
      <c r="O665" s="381" t="s">
        <v>1461</v>
      </c>
      <c r="P665" s="382"/>
      <c r="Q665" s="383"/>
      <c r="R665" s="376" t="s">
        <v>6</v>
      </c>
      <c r="S665" s="378"/>
      <c r="T665" s="330">
        <v>0</v>
      </c>
      <c r="W665" s="112" t="s">
        <v>1460</v>
      </c>
      <c r="X665" s="61"/>
      <c r="Y665" s="274">
        <v>23</v>
      </c>
      <c r="Z665" s="249">
        <f t="shared" si="63"/>
        <v>23</v>
      </c>
      <c r="AB665" s="196"/>
      <c r="AC665" s="199"/>
    </row>
    <row r="666" spans="1:29" ht="20.100000000000001" customHeight="1" x14ac:dyDescent="0.25">
      <c r="A666" s="36"/>
      <c r="B666" s="143">
        <f>B665+1</f>
        <v>614</v>
      </c>
      <c r="C666" s="87">
        <v>616</v>
      </c>
      <c r="D666" s="280" t="str">
        <f>HYPERLINK("https://sites.wustl.edu/meteoritesite/items/lm_nwa_15806/",W666)</f>
        <v>Northwest Africa 15806</v>
      </c>
      <c r="E666" s="376" t="s">
        <v>603</v>
      </c>
      <c r="F666" s="377"/>
      <c r="G666" s="377"/>
      <c r="H666" s="378"/>
      <c r="I666" s="286"/>
      <c r="J666" s="155"/>
      <c r="K666" s="155"/>
      <c r="L666" s="156"/>
      <c r="M666" s="379">
        <v>2320</v>
      </c>
      <c r="N666" s="380"/>
      <c r="O666" s="381" t="s">
        <v>1487</v>
      </c>
      <c r="P666" s="382"/>
      <c r="Q666" s="383"/>
      <c r="R666" s="376" t="s">
        <v>6</v>
      </c>
      <c r="S666" s="378"/>
      <c r="T666" s="330">
        <v>0</v>
      </c>
      <c r="W666" s="112" t="s">
        <v>1486</v>
      </c>
      <c r="X666" s="61"/>
      <c r="Y666" s="274">
        <v>2320</v>
      </c>
      <c r="Z666" s="241">
        <f t="shared" ref="Z666:Z672" si="65">Y666</f>
        <v>2320</v>
      </c>
      <c r="AB666" s="196"/>
      <c r="AC666" s="199"/>
    </row>
    <row r="667" spans="1:29" ht="20.100000000000001" customHeight="1" x14ac:dyDescent="0.25">
      <c r="A667" s="36"/>
      <c r="B667" s="143">
        <f>B666+1</f>
        <v>615</v>
      </c>
      <c r="C667" s="87">
        <v>624</v>
      </c>
      <c r="D667" s="280" t="str">
        <f>HYPERLINK("https://sites.wustl.edu/meteoritesite/items/lm_nwa_15807/",W667)</f>
        <v>Northwest Africa 15807</v>
      </c>
      <c r="E667" s="376" t="s">
        <v>603</v>
      </c>
      <c r="F667" s="377"/>
      <c r="G667" s="377"/>
      <c r="H667" s="378"/>
      <c r="I667" s="286"/>
      <c r="J667" s="155"/>
      <c r="K667" s="155"/>
      <c r="L667" s="156"/>
      <c r="M667" s="379">
        <v>3610</v>
      </c>
      <c r="N667" s="380"/>
      <c r="O667" s="381" t="s">
        <v>1504</v>
      </c>
      <c r="P667" s="382"/>
      <c r="Q667" s="383"/>
      <c r="R667" s="376" t="s">
        <v>1259</v>
      </c>
      <c r="S667" s="378"/>
      <c r="T667" s="330">
        <v>0</v>
      </c>
      <c r="W667" s="112" t="s">
        <v>1503</v>
      </c>
      <c r="X667" s="61"/>
      <c r="Y667" s="274">
        <v>3610</v>
      </c>
      <c r="Z667" s="241">
        <f t="shared" ref="Z667:Z668" si="66">Y667</f>
        <v>3610</v>
      </c>
      <c r="AB667" s="196"/>
      <c r="AC667" s="199"/>
    </row>
    <row r="668" spans="1:29" ht="20.100000000000001" customHeight="1" x14ac:dyDescent="0.25">
      <c r="A668" s="36"/>
      <c r="B668" s="143">
        <f t="shared" ref="B668:B672" si="67">B667+1</f>
        <v>616</v>
      </c>
      <c r="C668" s="87">
        <v>630</v>
      </c>
      <c r="D668" s="280" t="str">
        <f>HYPERLINK("https://sites.wustl.edu/meteoritesite/items/lm_nwa_15859/",W668)</f>
        <v>Northwest Africa 15859</v>
      </c>
      <c r="E668" s="376" t="s">
        <v>603</v>
      </c>
      <c r="F668" s="377"/>
      <c r="G668" s="377"/>
      <c r="H668" s="378"/>
      <c r="I668" s="286"/>
      <c r="J668" s="155"/>
      <c r="K668" s="155"/>
      <c r="L668" s="156"/>
      <c r="M668" s="379">
        <v>25.4</v>
      </c>
      <c r="N668" s="380"/>
      <c r="O668" s="381" t="s">
        <v>1515</v>
      </c>
      <c r="P668" s="382"/>
      <c r="Q668" s="383"/>
      <c r="R668" s="376" t="s">
        <v>6</v>
      </c>
      <c r="S668" s="378"/>
      <c r="T668" s="330">
        <v>0</v>
      </c>
      <c r="W668" s="112" t="s">
        <v>1514</v>
      </c>
      <c r="X668" s="61"/>
      <c r="Y668" s="274">
        <v>25.4</v>
      </c>
      <c r="Z668" s="249">
        <f t="shared" si="66"/>
        <v>25.4</v>
      </c>
      <c r="AB668" s="196"/>
      <c r="AC668" s="199"/>
    </row>
    <row r="669" spans="1:29" ht="20.100000000000001" customHeight="1" x14ac:dyDescent="0.25">
      <c r="A669" s="36"/>
      <c r="B669" s="143">
        <f t="shared" si="67"/>
        <v>617</v>
      </c>
      <c r="C669" s="87">
        <v>618</v>
      </c>
      <c r="D669" s="280" t="str">
        <f>HYPERLINK("https://sites.wustl.edu/meteoritesite/items/lm_nwa_15945/",W669)</f>
        <v>Northwest Africa 15945</v>
      </c>
      <c r="E669" s="376" t="s">
        <v>603</v>
      </c>
      <c r="F669" s="377"/>
      <c r="G669" s="377"/>
      <c r="H669" s="378"/>
      <c r="I669" s="286"/>
      <c r="J669" s="155"/>
      <c r="K669" s="155"/>
      <c r="L669" s="156"/>
      <c r="M669" s="379" t="s">
        <v>1493</v>
      </c>
      <c r="N669" s="380"/>
      <c r="O669" s="381" t="s">
        <v>1405</v>
      </c>
      <c r="P669" s="382"/>
      <c r="Q669" s="383"/>
      <c r="R669" s="376" t="s">
        <v>6</v>
      </c>
      <c r="S669" s="378"/>
      <c r="T669" s="330">
        <v>0</v>
      </c>
      <c r="W669" s="112" t="s">
        <v>1490</v>
      </c>
      <c r="X669" s="61"/>
      <c r="Y669" s="274">
        <v>476</v>
      </c>
      <c r="Z669" s="241">
        <f t="shared" si="65"/>
        <v>476</v>
      </c>
      <c r="AB669" s="196"/>
      <c r="AC669" s="199"/>
    </row>
    <row r="670" spans="1:29" ht="20.100000000000001" customHeight="1" x14ac:dyDescent="0.25">
      <c r="A670" s="36"/>
      <c r="B670" s="143">
        <f t="shared" si="67"/>
        <v>618</v>
      </c>
      <c r="C670" s="87">
        <v>619</v>
      </c>
      <c r="D670" s="280" t="str">
        <f>HYPERLINK("https://sites.wustl.edu/meteoritesite/items/lm_nwa_15952/",W670)</f>
        <v>Northwest Africa 15952</v>
      </c>
      <c r="E670" s="376" t="s">
        <v>603</v>
      </c>
      <c r="F670" s="377"/>
      <c r="G670" s="377"/>
      <c r="H670" s="378"/>
      <c r="I670" s="286"/>
      <c r="J670" s="155"/>
      <c r="K670" s="155"/>
      <c r="L670" s="156"/>
      <c r="M670" s="379">
        <v>68</v>
      </c>
      <c r="N670" s="380"/>
      <c r="O670" s="381" t="s">
        <v>1494</v>
      </c>
      <c r="P670" s="382"/>
      <c r="Q670" s="383"/>
      <c r="R670" s="376" t="s">
        <v>1145</v>
      </c>
      <c r="S670" s="378"/>
      <c r="T670" s="330">
        <v>0</v>
      </c>
      <c r="W670" s="112" t="s">
        <v>1491</v>
      </c>
      <c r="X670" s="61"/>
      <c r="Y670" s="274">
        <v>68</v>
      </c>
      <c r="Z670" s="241">
        <f t="shared" si="65"/>
        <v>68</v>
      </c>
      <c r="AB670" s="196"/>
      <c r="AC670" s="199"/>
    </row>
    <row r="671" spans="1:29" ht="20.100000000000001" customHeight="1" x14ac:dyDescent="0.25">
      <c r="A671" s="36"/>
      <c r="B671" s="143">
        <f t="shared" si="67"/>
        <v>619</v>
      </c>
      <c r="C671" s="87">
        <v>629</v>
      </c>
      <c r="D671" s="280" t="str">
        <f>HYPERLINK("https://sites.wustl.edu/meteoritesite/items/lm_nwa_15954/",W671)</f>
        <v>Northwest Africa 15954</v>
      </c>
      <c r="E671" s="376" t="s">
        <v>603</v>
      </c>
      <c r="F671" s="377"/>
      <c r="G671" s="377"/>
      <c r="H671" s="378"/>
      <c r="I671" s="286"/>
      <c r="J671" s="155"/>
      <c r="K671" s="155"/>
      <c r="L671" s="156"/>
      <c r="M671" s="379" t="s">
        <v>1513</v>
      </c>
      <c r="N671" s="380"/>
      <c r="O671" s="381" t="s">
        <v>1389</v>
      </c>
      <c r="P671" s="382"/>
      <c r="Q671" s="383"/>
      <c r="R671" s="376" t="s">
        <v>6</v>
      </c>
      <c r="S671" s="378"/>
      <c r="T671" s="330">
        <v>0</v>
      </c>
      <c r="W671" s="112" t="s">
        <v>1512</v>
      </c>
      <c r="X671" s="61"/>
      <c r="Y671" s="274">
        <v>944</v>
      </c>
      <c r="Z671" s="241">
        <f t="shared" ref="Z671" si="68">Y671</f>
        <v>944</v>
      </c>
      <c r="AB671" s="196"/>
      <c r="AC671" s="199"/>
    </row>
    <row r="672" spans="1:29" ht="20.100000000000001" customHeight="1" x14ac:dyDescent="0.25">
      <c r="A672" s="36"/>
      <c r="B672" s="143">
        <f t="shared" si="67"/>
        <v>620</v>
      </c>
      <c r="C672" s="87">
        <v>620</v>
      </c>
      <c r="D672" s="280" t="str">
        <f>HYPERLINK("https://sites.wustl.edu/meteoritesite/items/lm_nwa_15963/",W672)</f>
        <v>Northwest Africa 15963</v>
      </c>
      <c r="E672" s="376" t="s">
        <v>603</v>
      </c>
      <c r="F672" s="377"/>
      <c r="G672" s="377"/>
      <c r="H672" s="378"/>
      <c r="I672" s="286"/>
      <c r="J672" s="155"/>
      <c r="K672" s="155"/>
      <c r="L672" s="156"/>
      <c r="M672" s="379" t="s">
        <v>1496</v>
      </c>
      <c r="N672" s="380"/>
      <c r="O672" s="381" t="s">
        <v>1495</v>
      </c>
      <c r="P672" s="382"/>
      <c r="Q672" s="383"/>
      <c r="R672" s="376" t="s">
        <v>6</v>
      </c>
      <c r="S672" s="378"/>
      <c r="T672" s="330">
        <v>0</v>
      </c>
      <c r="W672" s="112" t="s">
        <v>1492</v>
      </c>
      <c r="X672" s="61"/>
      <c r="Y672" s="274">
        <v>56</v>
      </c>
      <c r="Z672" s="241">
        <f t="shared" si="65"/>
        <v>56</v>
      </c>
      <c r="AB672" s="196"/>
      <c r="AC672" s="199"/>
    </row>
    <row r="673" spans="1:29" ht="20.100000000000001" customHeight="1" x14ac:dyDescent="0.25">
      <c r="A673" s="36"/>
      <c r="B673" s="143">
        <f>B672+1</f>
        <v>621</v>
      </c>
      <c r="C673" s="87">
        <v>634</v>
      </c>
      <c r="D673" s="280" t="str">
        <f>HYPERLINK("https://sites.wustl.edu/meteoritesite/items/lm_nwa_16002/",W673)</f>
        <v>Northwest Africa 16002</v>
      </c>
      <c r="E673" s="376" t="s">
        <v>603</v>
      </c>
      <c r="F673" s="377"/>
      <c r="G673" s="377"/>
      <c r="H673" s="378"/>
      <c r="I673" s="286"/>
      <c r="J673" s="155"/>
      <c r="K673" s="155"/>
      <c r="L673" s="156"/>
      <c r="M673" s="379" t="s">
        <v>1532</v>
      </c>
      <c r="N673" s="380"/>
      <c r="O673" s="381" t="s">
        <v>1398</v>
      </c>
      <c r="P673" s="382"/>
      <c r="Q673" s="383"/>
      <c r="R673" s="376" t="s">
        <v>1531</v>
      </c>
      <c r="S673" s="378"/>
      <c r="T673" s="330">
        <v>0</v>
      </c>
      <c r="W673" s="112" t="s">
        <v>1527</v>
      </c>
      <c r="X673" s="61"/>
      <c r="Y673" s="274">
        <v>660</v>
      </c>
      <c r="Z673" s="241">
        <f t="shared" ref="Z673:Z696" si="69">Y673</f>
        <v>660</v>
      </c>
      <c r="AB673" s="196"/>
      <c r="AC673" s="199"/>
    </row>
    <row r="674" spans="1:29" ht="20.100000000000001" customHeight="1" x14ac:dyDescent="0.25">
      <c r="A674" s="36"/>
      <c r="B674" s="143">
        <f>B673+1</f>
        <v>622</v>
      </c>
      <c r="C674" s="87">
        <v>635</v>
      </c>
      <c r="D674" s="280" t="str">
        <f>HYPERLINK("https://sites.wustl.edu/meteoritesite/items/lm_nwa_16008/",W674)</f>
        <v>Northwest Africa 16008</v>
      </c>
      <c r="E674" s="376" t="s">
        <v>603</v>
      </c>
      <c r="F674" s="377"/>
      <c r="G674" s="377"/>
      <c r="H674" s="378"/>
      <c r="I674" s="286"/>
      <c r="J674" s="155"/>
      <c r="K674" s="155"/>
      <c r="L674" s="156"/>
      <c r="M674" s="379" t="s">
        <v>1533</v>
      </c>
      <c r="N674" s="380"/>
      <c r="O674" s="381" t="s">
        <v>1297</v>
      </c>
      <c r="P674" s="382"/>
      <c r="Q674" s="383"/>
      <c r="R674" s="376" t="s">
        <v>6</v>
      </c>
      <c r="S674" s="378"/>
      <c r="T674" s="330">
        <v>0</v>
      </c>
      <c r="W674" s="112" t="s">
        <v>1528</v>
      </c>
      <c r="X674" s="61"/>
      <c r="Y674" s="274">
        <v>251</v>
      </c>
      <c r="Z674" s="241">
        <f t="shared" si="69"/>
        <v>251</v>
      </c>
      <c r="AB674" s="196"/>
      <c r="AC674" s="199"/>
    </row>
    <row r="675" spans="1:29" ht="20.100000000000001" customHeight="1" x14ac:dyDescent="0.25">
      <c r="A675" s="36"/>
      <c r="B675" s="143">
        <f t="shared" ref="B675:B681" si="70">B674+1</f>
        <v>623</v>
      </c>
      <c r="C675" s="87">
        <v>625</v>
      </c>
      <c r="D675" s="280" t="str">
        <f>HYPERLINK("https://sites.wustl.edu/meteoritesite/items/lm_nwa_16095/",W675)</f>
        <v>Northwest Africa 16095</v>
      </c>
      <c r="E675" s="376" t="s">
        <v>603</v>
      </c>
      <c r="F675" s="377"/>
      <c r="G675" s="377"/>
      <c r="H675" s="378"/>
      <c r="I675" s="286"/>
      <c r="J675" s="155"/>
      <c r="K675" s="155"/>
      <c r="L675" s="156"/>
      <c r="M675" s="379">
        <v>4.62</v>
      </c>
      <c r="N675" s="380"/>
      <c r="O675" s="381" t="s">
        <v>1495</v>
      </c>
      <c r="P675" s="382"/>
      <c r="Q675" s="383"/>
      <c r="R675" s="376" t="s">
        <v>6</v>
      </c>
      <c r="S675" s="378"/>
      <c r="T675" s="330">
        <v>0</v>
      </c>
      <c r="W675" s="112" t="s">
        <v>1505</v>
      </c>
      <c r="X675" s="61"/>
      <c r="Y675" s="274">
        <v>4.62</v>
      </c>
      <c r="Z675" s="241">
        <f t="shared" si="69"/>
        <v>4.62</v>
      </c>
      <c r="AB675" s="196"/>
      <c r="AC675" s="199"/>
    </row>
    <row r="676" spans="1:29" ht="36" customHeight="1" x14ac:dyDescent="0.25">
      <c r="A676" s="36"/>
      <c r="B676" s="125" t="s">
        <v>402</v>
      </c>
      <c r="C676" s="30" t="s">
        <v>1034</v>
      </c>
      <c r="D676" s="33" t="s">
        <v>915</v>
      </c>
      <c r="E676" s="420" t="s">
        <v>916</v>
      </c>
      <c r="F676" s="421"/>
      <c r="G676" s="421"/>
      <c r="H676" s="422"/>
      <c r="I676" s="423" t="s">
        <v>917</v>
      </c>
      <c r="J676" s="424"/>
      <c r="K676" s="424"/>
      <c r="L676" s="425"/>
      <c r="M676" s="430" t="s">
        <v>918</v>
      </c>
      <c r="N676" s="431"/>
      <c r="O676" s="426" t="s">
        <v>919</v>
      </c>
      <c r="P676" s="427"/>
      <c r="Q676" s="428"/>
      <c r="R676" s="423" t="s">
        <v>920</v>
      </c>
      <c r="S676" s="425"/>
      <c r="T676" s="5" t="s">
        <v>5</v>
      </c>
      <c r="Y676" s="243"/>
      <c r="AB676" s="196"/>
      <c r="AC676" s="199"/>
    </row>
    <row r="677" spans="1:29" ht="20.100000000000001" customHeight="1" x14ac:dyDescent="0.25">
      <c r="A677" s="36"/>
      <c r="B677" s="143">
        <f>B675+1</f>
        <v>624</v>
      </c>
      <c r="C677" s="87">
        <v>626</v>
      </c>
      <c r="D677" s="280" t="str">
        <f>HYPERLINK("https://sites.wustl.edu/meteoritesite/items/lm_nwa_16106/",W677)</f>
        <v>Northwest Africa 16106</v>
      </c>
      <c r="E677" s="376" t="s">
        <v>603</v>
      </c>
      <c r="F677" s="377"/>
      <c r="G677" s="377"/>
      <c r="H677" s="378"/>
      <c r="I677" s="286"/>
      <c r="J677" s="155"/>
      <c r="K677" s="155"/>
      <c r="L677" s="156"/>
      <c r="M677" s="379" t="s">
        <v>1507</v>
      </c>
      <c r="N677" s="380"/>
      <c r="O677" s="381" t="s">
        <v>1433</v>
      </c>
      <c r="P677" s="382"/>
      <c r="Q677" s="383"/>
      <c r="R677" s="376" t="s">
        <v>6</v>
      </c>
      <c r="S677" s="378"/>
      <c r="T677" s="330">
        <v>0</v>
      </c>
      <c r="W677" s="112" t="s">
        <v>1506</v>
      </c>
      <c r="X677" s="61"/>
      <c r="Y677" s="274">
        <v>4568</v>
      </c>
      <c r="Z677" s="241">
        <f t="shared" si="69"/>
        <v>4568</v>
      </c>
      <c r="AB677" s="196"/>
      <c r="AC677" s="199"/>
    </row>
    <row r="678" spans="1:29" ht="20.100000000000001" customHeight="1" x14ac:dyDescent="0.25">
      <c r="A678" s="36"/>
      <c r="B678" s="143">
        <f t="shared" si="70"/>
        <v>625</v>
      </c>
      <c r="C678" s="87">
        <v>631</v>
      </c>
      <c r="D678" s="280" t="str">
        <f>HYPERLINK("https://sites.wustl.edu/meteoritesite/items/lm_nwa_16132/",W678)</f>
        <v>Northwest Africa 16132</v>
      </c>
      <c r="E678" s="376" t="s">
        <v>603</v>
      </c>
      <c r="F678" s="377"/>
      <c r="G678" s="377"/>
      <c r="H678" s="378"/>
      <c r="I678" s="286"/>
      <c r="J678" s="155"/>
      <c r="K678" s="155"/>
      <c r="L678" s="156"/>
      <c r="M678" s="379" t="s">
        <v>1519</v>
      </c>
      <c r="N678" s="380"/>
      <c r="O678" s="381" t="s">
        <v>1339</v>
      </c>
      <c r="P678" s="382"/>
      <c r="Q678" s="383"/>
      <c r="R678" s="376" t="s">
        <v>1259</v>
      </c>
      <c r="S678" s="378"/>
      <c r="T678" s="330">
        <v>0</v>
      </c>
      <c r="W678" s="112" t="s">
        <v>1516</v>
      </c>
      <c r="X678" s="61"/>
      <c r="Y678" s="274">
        <v>7.4</v>
      </c>
      <c r="Z678" s="241">
        <f t="shared" si="69"/>
        <v>7.4</v>
      </c>
      <c r="AB678" s="196"/>
      <c r="AC678" s="199"/>
    </row>
    <row r="679" spans="1:29" ht="20.100000000000001" customHeight="1" x14ac:dyDescent="0.25">
      <c r="A679" s="36"/>
      <c r="B679" s="143">
        <f t="shared" si="70"/>
        <v>626</v>
      </c>
      <c r="C679" s="87">
        <v>632</v>
      </c>
      <c r="D679" s="280" t="str">
        <f>HYPERLINK("https://sites.wustl.edu/meteoritesite/items/lm_nwa_16134/",W679)</f>
        <v>Northwest Africa 16134</v>
      </c>
      <c r="E679" s="376" t="s">
        <v>603</v>
      </c>
      <c r="F679" s="377"/>
      <c r="G679" s="377"/>
      <c r="H679" s="378"/>
      <c r="I679" s="286"/>
      <c r="J679" s="155"/>
      <c r="K679" s="155"/>
      <c r="L679" s="156"/>
      <c r="M679" s="379">
        <v>644</v>
      </c>
      <c r="N679" s="380"/>
      <c r="O679" s="381" t="s">
        <v>1312</v>
      </c>
      <c r="P679" s="382"/>
      <c r="Q679" s="383"/>
      <c r="R679" s="376" t="s">
        <v>6</v>
      </c>
      <c r="S679" s="378"/>
      <c r="T679" s="330">
        <v>0</v>
      </c>
      <c r="W679" s="112" t="s">
        <v>1517</v>
      </c>
      <c r="X679" s="61"/>
      <c r="Y679" s="274">
        <v>644</v>
      </c>
      <c r="Z679" s="241">
        <f t="shared" si="69"/>
        <v>644</v>
      </c>
      <c r="AB679" s="196"/>
      <c r="AC679" s="199"/>
    </row>
    <row r="680" spans="1:29" ht="20.100000000000001" customHeight="1" x14ac:dyDescent="0.25">
      <c r="A680" s="36"/>
      <c r="B680" s="143">
        <f t="shared" si="70"/>
        <v>627</v>
      </c>
      <c r="C680" s="87">
        <v>633</v>
      </c>
      <c r="D680" s="280" t="str">
        <f>HYPERLINK("https://sites.wustl.edu/meteoritesite/items/lm_nwa_16173/",W680)</f>
        <v>Northwest Africa 16173</v>
      </c>
      <c r="E680" s="376" t="s">
        <v>603</v>
      </c>
      <c r="F680" s="377"/>
      <c r="G680" s="377"/>
      <c r="H680" s="378"/>
      <c r="I680" s="286"/>
      <c r="J680" s="155"/>
      <c r="K680" s="155"/>
      <c r="L680" s="156"/>
      <c r="M680" s="379">
        <v>160</v>
      </c>
      <c r="N680" s="380"/>
      <c r="O680" s="381" t="s">
        <v>1502</v>
      </c>
      <c r="P680" s="382"/>
      <c r="Q680" s="383"/>
      <c r="R680" s="376" t="s">
        <v>1259</v>
      </c>
      <c r="S680" s="378"/>
      <c r="T680" s="330">
        <v>0</v>
      </c>
      <c r="W680" s="112" t="s">
        <v>1518</v>
      </c>
      <c r="X680" s="61"/>
      <c r="Y680" s="274">
        <v>160</v>
      </c>
      <c r="Z680" s="241">
        <f t="shared" si="69"/>
        <v>160</v>
      </c>
      <c r="AB680" s="196"/>
      <c r="AC680" s="199"/>
    </row>
    <row r="681" spans="1:29" ht="20.100000000000001" customHeight="1" x14ac:dyDescent="0.25">
      <c r="A681" s="36"/>
      <c r="B681" s="143">
        <f t="shared" si="70"/>
        <v>628</v>
      </c>
      <c r="C681" s="87">
        <v>649</v>
      </c>
      <c r="D681" s="280" t="str">
        <f>HYPERLINK("https://sites.wustl.edu/meteoritesite/items/lm_nwa_16189/",W681)</f>
        <v>Northwest Africa 16189</v>
      </c>
      <c r="E681" s="376" t="s">
        <v>603</v>
      </c>
      <c r="F681" s="377"/>
      <c r="G681" s="377"/>
      <c r="H681" s="378"/>
      <c r="I681" s="286"/>
      <c r="J681" s="155"/>
      <c r="K681" s="155"/>
      <c r="L681" s="156"/>
      <c r="M681" s="379" t="s">
        <v>1555</v>
      </c>
      <c r="N681" s="380"/>
      <c r="O681" s="381" t="s">
        <v>1312</v>
      </c>
      <c r="P681" s="382"/>
      <c r="Q681" s="383"/>
      <c r="R681" s="376" t="s">
        <v>1554</v>
      </c>
      <c r="S681" s="378"/>
      <c r="T681" s="330">
        <v>0</v>
      </c>
      <c r="W681" s="112" t="s">
        <v>1553</v>
      </c>
      <c r="X681" s="61"/>
      <c r="Y681" s="274">
        <v>6829</v>
      </c>
      <c r="Z681" s="241">
        <f t="shared" ref="Z681" si="71">Y681</f>
        <v>6829</v>
      </c>
      <c r="AB681" s="196"/>
      <c r="AC681" s="199"/>
    </row>
    <row r="682" spans="1:29" ht="20.100000000000001" customHeight="1" x14ac:dyDescent="0.25">
      <c r="A682" s="36"/>
      <c r="B682" s="143">
        <f>B681+1</f>
        <v>629</v>
      </c>
      <c r="C682" s="87">
        <v>639</v>
      </c>
      <c r="D682" s="280" t="str">
        <f>HYPERLINK("https://sites.wustl.edu/meteoritesite/items/lm_nwa_16200/",W682)</f>
        <v>Northwest Africa 16200</v>
      </c>
      <c r="E682" s="376" t="s">
        <v>603</v>
      </c>
      <c r="F682" s="377"/>
      <c r="G682" s="377"/>
      <c r="H682" s="378"/>
      <c r="I682" s="286"/>
      <c r="J682" s="155"/>
      <c r="K682" s="155"/>
      <c r="L682" s="156"/>
      <c r="M682" s="379">
        <v>4161</v>
      </c>
      <c r="N682" s="380"/>
      <c r="O682" s="381" t="s">
        <v>1502</v>
      </c>
      <c r="P682" s="382"/>
      <c r="Q682" s="383"/>
      <c r="R682" s="376" t="s">
        <v>1259</v>
      </c>
      <c r="S682" s="378"/>
      <c r="T682" s="330">
        <v>0</v>
      </c>
      <c r="W682" s="112" t="s">
        <v>1529</v>
      </c>
      <c r="X682" s="61"/>
      <c r="Y682" s="274">
        <v>4161</v>
      </c>
      <c r="Z682" s="241">
        <f t="shared" si="69"/>
        <v>4161</v>
      </c>
      <c r="AB682" s="196"/>
      <c r="AC682" s="199"/>
    </row>
    <row r="683" spans="1:29" ht="20.100000000000001" customHeight="1" x14ac:dyDescent="0.25">
      <c r="A683" s="36"/>
      <c r="B683" s="143">
        <f t="shared" ref="B683:B696" si="72">B682+1</f>
        <v>630</v>
      </c>
      <c r="C683" s="87">
        <v>636</v>
      </c>
      <c r="D683" s="280" t="str">
        <f>HYPERLINK("https://sites.wustl.edu/meteoritesite/items/lm_nwa_16238/",W683)</f>
        <v>Northwest Africa 16238</v>
      </c>
      <c r="E683" s="376" t="s">
        <v>603</v>
      </c>
      <c r="F683" s="377"/>
      <c r="G683" s="377"/>
      <c r="H683" s="378"/>
      <c r="I683" s="286"/>
      <c r="J683" s="155"/>
      <c r="K683" s="155"/>
      <c r="L683" s="156"/>
      <c r="M683" s="379" t="s">
        <v>1535</v>
      </c>
      <c r="N683" s="400"/>
      <c r="O683" s="381" t="s">
        <v>1534</v>
      </c>
      <c r="P683" s="382"/>
      <c r="Q683" s="383"/>
      <c r="R683" s="376" t="s">
        <v>1259</v>
      </c>
      <c r="S683" s="378"/>
      <c r="T683" s="330">
        <v>0</v>
      </c>
      <c r="W683" s="112" t="s">
        <v>1530</v>
      </c>
      <c r="X683" s="61"/>
      <c r="Y683" s="274">
        <v>10</v>
      </c>
      <c r="Z683" s="241">
        <f t="shared" si="69"/>
        <v>10</v>
      </c>
      <c r="AB683" s="196"/>
      <c r="AC683" s="199"/>
    </row>
    <row r="684" spans="1:29" ht="20.100000000000001" customHeight="1" x14ac:dyDescent="0.25">
      <c r="A684" s="36"/>
      <c r="B684" s="143">
        <f t="shared" si="72"/>
        <v>631</v>
      </c>
      <c r="C684" s="87">
        <v>687</v>
      </c>
      <c r="D684" s="280" t="str">
        <f>HYPERLINK("https://sites.wustl.edu/meteoritesite/items/lm_nwa_16256/",W684)</f>
        <v>Northwest Africa 16256</v>
      </c>
      <c r="E684" s="376" t="s">
        <v>603</v>
      </c>
      <c r="F684" s="377"/>
      <c r="G684" s="377"/>
      <c r="H684" s="378"/>
      <c r="I684" s="376" t="s">
        <v>1665</v>
      </c>
      <c r="J684" s="377"/>
      <c r="K684" s="377"/>
      <c r="L684" s="378"/>
      <c r="M684" s="379" t="s">
        <v>1663</v>
      </c>
      <c r="N684" s="380"/>
      <c r="O684" s="381" t="s">
        <v>1662</v>
      </c>
      <c r="P684" s="382"/>
      <c r="Q684" s="383"/>
      <c r="R684" s="376" t="s">
        <v>687</v>
      </c>
      <c r="S684" s="378"/>
      <c r="T684" s="330">
        <v>0</v>
      </c>
      <c r="W684" s="112" t="s">
        <v>1661</v>
      </c>
      <c r="X684" s="61"/>
      <c r="Y684" s="355">
        <v>2490</v>
      </c>
      <c r="Z684" s="241">
        <f t="shared" si="69"/>
        <v>2490</v>
      </c>
      <c r="AB684" s="196"/>
      <c r="AC684" s="199"/>
    </row>
    <row r="685" spans="1:29" ht="20.100000000000001" customHeight="1" x14ac:dyDescent="0.25">
      <c r="A685" s="36"/>
      <c r="B685" s="143">
        <f>B684+1</f>
        <v>632</v>
      </c>
      <c r="C685" s="87">
        <v>643</v>
      </c>
      <c r="D685" s="280" t="str">
        <f>HYPERLINK("https://sites.wustl.edu/meteoritesite/items/lm_nwa_16267/",W685)</f>
        <v>Northwest Africa 16267</v>
      </c>
      <c r="E685" s="376" t="s">
        <v>603</v>
      </c>
      <c r="F685" s="377"/>
      <c r="G685" s="377"/>
      <c r="H685" s="378"/>
      <c r="I685" s="286"/>
      <c r="J685" s="155"/>
      <c r="K685" s="155"/>
      <c r="L685" s="156"/>
      <c r="M685" s="379">
        <v>1977</v>
      </c>
      <c r="N685" s="380"/>
      <c r="O685" s="381" t="s">
        <v>1312</v>
      </c>
      <c r="P685" s="382"/>
      <c r="Q685" s="383"/>
      <c r="R685" s="376" t="s">
        <v>6</v>
      </c>
      <c r="S685" s="378"/>
      <c r="T685" s="330">
        <v>0</v>
      </c>
      <c r="W685" s="112" t="s">
        <v>1545</v>
      </c>
      <c r="X685" s="61"/>
      <c r="Y685" s="274">
        <v>1977</v>
      </c>
      <c r="Z685" s="241">
        <f t="shared" si="69"/>
        <v>1977</v>
      </c>
      <c r="AB685" s="196"/>
      <c r="AC685" s="199"/>
    </row>
    <row r="686" spans="1:29" ht="20.100000000000001" customHeight="1" x14ac:dyDescent="0.25">
      <c r="A686" s="36"/>
      <c r="B686" s="143">
        <f t="shared" si="72"/>
        <v>633</v>
      </c>
      <c r="C686" s="87">
        <v>652</v>
      </c>
      <c r="D686" s="280" t="str">
        <f>HYPERLINK("https://sites.wustl.edu/meteoritesite/items/lm_nwa_16277/",W686)</f>
        <v>Northwest Africa 16277</v>
      </c>
      <c r="E686" s="376" t="s">
        <v>603</v>
      </c>
      <c r="F686" s="377"/>
      <c r="G686" s="377"/>
      <c r="H686" s="378"/>
      <c r="I686" s="286"/>
      <c r="J686" s="155"/>
      <c r="K686" s="155"/>
      <c r="L686" s="156"/>
      <c r="M686" s="379">
        <v>2031</v>
      </c>
      <c r="N686" s="380"/>
      <c r="O686" s="381" t="s">
        <v>1495</v>
      </c>
      <c r="P686" s="382"/>
      <c r="Q686" s="383"/>
      <c r="R686" s="376" t="s">
        <v>1259</v>
      </c>
      <c r="S686" s="378"/>
      <c r="T686" s="330">
        <v>0</v>
      </c>
      <c r="W686" s="112" t="s">
        <v>1560</v>
      </c>
      <c r="X686" s="61"/>
      <c r="Y686" s="274">
        <v>2031</v>
      </c>
      <c r="Z686" s="241">
        <f t="shared" si="69"/>
        <v>2031</v>
      </c>
      <c r="AB686" s="196"/>
      <c r="AC686" s="199"/>
    </row>
    <row r="687" spans="1:29" ht="20.100000000000001" customHeight="1" x14ac:dyDescent="0.25">
      <c r="A687" s="36"/>
      <c r="B687" s="143">
        <f t="shared" si="72"/>
        <v>634</v>
      </c>
      <c r="C687" s="87">
        <v>644</v>
      </c>
      <c r="D687" s="280" t="str">
        <f>HYPERLINK("https://sites.wustl.edu/meteoritesite/items/lm_nwa_16278/",W687)</f>
        <v>Northwest Africa 16278</v>
      </c>
      <c r="E687" s="376" t="s">
        <v>603</v>
      </c>
      <c r="F687" s="377"/>
      <c r="G687" s="377"/>
      <c r="H687" s="378"/>
      <c r="I687" s="286"/>
      <c r="J687" s="155"/>
      <c r="K687" s="155"/>
      <c r="L687" s="156"/>
      <c r="M687" s="379" t="s">
        <v>1693</v>
      </c>
      <c r="N687" s="380"/>
      <c r="O687" s="381" t="s">
        <v>1551</v>
      </c>
      <c r="P687" s="382"/>
      <c r="Q687" s="383"/>
      <c r="R687" s="376" t="s">
        <v>6</v>
      </c>
      <c r="S687" s="378"/>
      <c r="T687" s="330">
        <v>0</v>
      </c>
      <c r="W687" s="112" t="s">
        <v>1549</v>
      </c>
      <c r="X687" s="61"/>
      <c r="Y687" s="274">
        <v>10201</v>
      </c>
      <c r="Z687" s="241">
        <f t="shared" si="69"/>
        <v>10201</v>
      </c>
      <c r="AB687" s="196"/>
      <c r="AC687" s="199"/>
    </row>
    <row r="688" spans="1:29" ht="20.100000000000001" customHeight="1" x14ac:dyDescent="0.25">
      <c r="A688" s="36"/>
      <c r="B688" s="143">
        <f t="shared" si="72"/>
        <v>635</v>
      </c>
      <c r="C688" s="87">
        <v>645</v>
      </c>
      <c r="D688" s="280" t="str">
        <f>HYPERLINK("https://sites.wustl.edu/meteoritesite/items/lm_nwa_16282/",W688)</f>
        <v>Northwest Africa 16282</v>
      </c>
      <c r="E688" s="376" t="s">
        <v>603</v>
      </c>
      <c r="F688" s="377"/>
      <c r="G688" s="377"/>
      <c r="H688" s="378"/>
      <c r="I688" s="286"/>
      <c r="J688" s="155"/>
      <c r="K688" s="155"/>
      <c r="L688" s="156"/>
      <c r="M688" s="379">
        <v>7572</v>
      </c>
      <c r="N688" s="400"/>
      <c r="O688" s="381" t="s">
        <v>1495</v>
      </c>
      <c r="P688" s="382"/>
      <c r="Q688" s="383"/>
      <c r="R688" s="376" t="s">
        <v>1266</v>
      </c>
      <c r="S688" s="378"/>
      <c r="T688" s="330">
        <v>0</v>
      </c>
      <c r="W688" s="112" t="s">
        <v>1546</v>
      </c>
      <c r="X688" s="61"/>
      <c r="Y688" s="274">
        <v>7525</v>
      </c>
      <c r="Z688" s="241">
        <f t="shared" si="69"/>
        <v>7525</v>
      </c>
      <c r="AB688" s="196"/>
      <c r="AC688" s="199"/>
    </row>
    <row r="689" spans="1:29" ht="20.100000000000001" customHeight="1" x14ac:dyDescent="0.25">
      <c r="A689" s="36"/>
      <c r="B689" s="143">
        <f t="shared" si="72"/>
        <v>636</v>
      </c>
      <c r="C689" s="87">
        <v>646</v>
      </c>
      <c r="D689" s="280" t="str">
        <f>HYPERLINK("https://sites.wustl.edu/meteoritesite/items/lm_nwa_16283/",W689)</f>
        <v>Northwest Africa 16283</v>
      </c>
      <c r="E689" s="376" t="s">
        <v>603</v>
      </c>
      <c r="F689" s="377"/>
      <c r="G689" s="377"/>
      <c r="H689" s="378"/>
      <c r="I689" s="286"/>
      <c r="J689" s="155"/>
      <c r="K689" s="155"/>
      <c r="L689" s="156"/>
      <c r="M689" s="401">
        <v>20000</v>
      </c>
      <c r="N689" s="462"/>
      <c r="O689" s="381" t="s">
        <v>1495</v>
      </c>
      <c r="P689" s="382"/>
      <c r="Q689" s="383"/>
      <c r="R689" s="376" t="s">
        <v>6</v>
      </c>
      <c r="S689" s="378"/>
      <c r="T689" s="330">
        <v>0</v>
      </c>
      <c r="W689" s="112" t="s">
        <v>1547</v>
      </c>
      <c r="X689" s="61"/>
      <c r="Y689" s="274">
        <v>20000</v>
      </c>
      <c r="Z689" s="241">
        <f t="shared" si="69"/>
        <v>20000</v>
      </c>
      <c r="AB689" s="196"/>
      <c r="AC689" s="199"/>
    </row>
    <row r="690" spans="1:29" ht="20.100000000000001" customHeight="1" x14ac:dyDescent="0.25">
      <c r="A690" s="36"/>
      <c r="B690" s="143">
        <f t="shared" si="72"/>
        <v>637</v>
      </c>
      <c r="C690" s="87">
        <v>653</v>
      </c>
      <c r="D690" s="280" t="str">
        <f>HYPERLINK("https://sites.wustl.edu/meteoritesite/items/lm_nwa_16286/",W690)</f>
        <v>Northwest Africa 16286</v>
      </c>
      <c r="E690" s="376" t="s">
        <v>603</v>
      </c>
      <c r="F690" s="377"/>
      <c r="G690" s="377"/>
      <c r="H690" s="378"/>
      <c r="I690" s="286"/>
      <c r="J690" s="155"/>
      <c r="K690" s="155"/>
      <c r="L690" s="156"/>
      <c r="M690" s="379" t="s">
        <v>1562</v>
      </c>
      <c r="N690" s="380"/>
      <c r="O690" s="381" t="s">
        <v>1494</v>
      </c>
      <c r="P690" s="382"/>
      <c r="Q690" s="383"/>
      <c r="R690" s="376" t="s">
        <v>1145</v>
      </c>
      <c r="S690" s="378"/>
      <c r="T690" s="330">
        <v>0</v>
      </c>
      <c r="W690" s="112" t="s">
        <v>1561</v>
      </c>
      <c r="X690" s="61"/>
      <c r="Y690" s="274">
        <v>311</v>
      </c>
      <c r="Z690" s="241">
        <f t="shared" si="69"/>
        <v>311</v>
      </c>
      <c r="AB690" s="196"/>
      <c r="AC690" s="199"/>
    </row>
    <row r="691" spans="1:29" ht="20.100000000000001" customHeight="1" x14ac:dyDescent="0.25">
      <c r="A691" s="36"/>
      <c r="B691" s="143">
        <f t="shared" si="72"/>
        <v>638</v>
      </c>
      <c r="C691" s="87">
        <v>647</v>
      </c>
      <c r="D691" s="280" t="str">
        <f>HYPERLINK("https://sites.wustl.edu/meteoritesite/items/lm_nwa_16292/",W691)</f>
        <v>Northwest Africa 16292</v>
      </c>
      <c r="E691" s="376" t="s">
        <v>603</v>
      </c>
      <c r="F691" s="377"/>
      <c r="G691" s="377"/>
      <c r="H691" s="378"/>
      <c r="I691" s="286"/>
      <c r="J691" s="155"/>
      <c r="K691" s="155"/>
      <c r="L691" s="156"/>
      <c r="M691" s="379">
        <v>3120</v>
      </c>
      <c r="N691" s="400"/>
      <c r="O691" s="381" t="s">
        <v>1312</v>
      </c>
      <c r="P691" s="382"/>
      <c r="Q691" s="383"/>
      <c r="R691" s="376" t="s">
        <v>1266</v>
      </c>
      <c r="S691" s="378"/>
      <c r="T691" s="330">
        <v>0</v>
      </c>
      <c r="W691" s="112" t="s">
        <v>1548</v>
      </c>
      <c r="X691" s="61"/>
      <c r="Y691" s="274">
        <v>3120</v>
      </c>
      <c r="Z691" s="241">
        <f t="shared" si="69"/>
        <v>3120</v>
      </c>
      <c r="AB691" s="196"/>
      <c r="AC691" s="199"/>
    </row>
    <row r="692" spans="1:29" ht="20.100000000000001" customHeight="1" x14ac:dyDescent="0.25">
      <c r="A692" s="36"/>
      <c r="B692" s="143">
        <f t="shared" si="72"/>
        <v>639</v>
      </c>
      <c r="C692" s="87">
        <v>648</v>
      </c>
      <c r="D692" s="280" t="str">
        <f>HYPERLINK("https://sites.wustl.edu/meteoritesite/items/lm_nwa_16294/",W692)</f>
        <v>Northwest Africa 16294</v>
      </c>
      <c r="E692" s="376" t="s">
        <v>1676</v>
      </c>
      <c r="F692" s="377"/>
      <c r="G692" s="377"/>
      <c r="H692" s="378"/>
      <c r="I692" s="286"/>
      <c r="J692" s="155"/>
      <c r="K692" s="155"/>
      <c r="L692" s="156"/>
      <c r="M692" s="379" t="s">
        <v>1552</v>
      </c>
      <c r="N692" s="380"/>
      <c r="O692" s="381" t="s">
        <v>1312</v>
      </c>
      <c r="P692" s="382"/>
      <c r="Q692" s="383"/>
      <c r="R692" s="376" t="s">
        <v>1326</v>
      </c>
      <c r="S692" s="378"/>
      <c r="T692" s="330">
        <v>0</v>
      </c>
      <c r="W692" s="112" t="s">
        <v>1550</v>
      </c>
      <c r="X692" s="61"/>
      <c r="Y692" s="274">
        <v>394</v>
      </c>
      <c r="Z692" s="241">
        <f t="shared" si="69"/>
        <v>394</v>
      </c>
      <c r="AB692" s="196"/>
      <c r="AC692" s="199"/>
    </row>
    <row r="693" spans="1:29" ht="20.100000000000001" customHeight="1" x14ac:dyDescent="0.25">
      <c r="A693" s="36"/>
      <c r="B693" s="143">
        <f t="shared" si="72"/>
        <v>640</v>
      </c>
      <c r="C693" s="87">
        <v>705</v>
      </c>
      <c r="D693" s="280" t="str">
        <f>HYPERLINK("https://sites.wustl.edu/meteoritesite/items/lm_nwa_16315/",W693)</f>
        <v>Northwest Africa 16315</v>
      </c>
      <c r="E693" s="376" t="s">
        <v>603</v>
      </c>
      <c r="F693" s="377"/>
      <c r="G693" s="377"/>
      <c r="H693" s="378"/>
      <c r="I693" s="286"/>
      <c r="J693" s="155"/>
      <c r="K693" s="155"/>
      <c r="L693" s="156"/>
      <c r="M693" s="379">
        <v>785</v>
      </c>
      <c r="N693" s="380"/>
      <c r="O693" s="381" t="s">
        <v>1495</v>
      </c>
      <c r="P693" s="382"/>
      <c r="Q693" s="383"/>
      <c r="R693" s="376" t="s">
        <v>1259</v>
      </c>
      <c r="S693" s="378"/>
      <c r="T693" s="330">
        <v>0</v>
      </c>
      <c r="W693" s="112" t="s">
        <v>1720</v>
      </c>
      <c r="X693" s="61"/>
      <c r="Y693" s="274">
        <v>785</v>
      </c>
      <c r="Z693" s="241">
        <f t="shared" ref="Z693" si="73">Y693</f>
        <v>785</v>
      </c>
      <c r="AB693" s="196"/>
      <c r="AC693" s="199"/>
    </row>
    <row r="694" spans="1:29" ht="20.100000000000001" customHeight="1" x14ac:dyDescent="0.25">
      <c r="A694" s="36"/>
      <c r="B694" s="143">
        <f>B693+1</f>
        <v>641</v>
      </c>
      <c r="C694" s="87">
        <v>654</v>
      </c>
      <c r="D694" s="280" t="str">
        <f>HYPERLINK("https://sites.wustl.edu/meteoritesite/items/lm_nwa_16349/",W694)</f>
        <v>Northwest Africa 16349</v>
      </c>
      <c r="E694" s="376" t="s">
        <v>603</v>
      </c>
      <c r="F694" s="377"/>
      <c r="G694" s="377"/>
      <c r="H694" s="378"/>
      <c r="I694" s="286"/>
      <c r="J694" s="155"/>
      <c r="K694" s="155"/>
      <c r="L694" s="156"/>
      <c r="M694" s="379">
        <v>50</v>
      </c>
      <c r="N694" s="380"/>
      <c r="O694" s="381" t="s">
        <v>1046</v>
      </c>
      <c r="P694" s="382"/>
      <c r="Q694" s="383"/>
      <c r="R694" s="376" t="s">
        <v>1564</v>
      </c>
      <c r="S694" s="378"/>
      <c r="T694" s="330">
        <v>0</v>
      </c>
      <c r="W694" s="112" t="s">
        <v>1563</v>
      </c>
      <c r="X694" s="61"/>
      <c r="Y694" s="274">
        <v>50</v>
      </c>
      <c r="Z694" s="241">
        <f t="shared" si="69"/>
        <v>50</v>
      </c>
      <c r="AB694" s="196"/>
      <c r="AC694" s="199"/>
    </row>
    <row r="695" spans="1:29" ht="20.100000000000001" customHeight="1" x14ac:dyDescent="0.25">
      <c r="A695" s="36"/>
      <c r="B695" s="143">
        <f t="shared" si="72"/>
        <v>642</v>
      </c>
      <c r="C695" s="87">
        <v>655</v>
      </c>
      <c r="D695" s="280" t="str">
        <f>HYPERLINK("https://sites.wustl.edu/meteoritesite/items/lm_nwa_16366/",W695)</f>
        <v>Northwest Africa 16366</v>
      </c>
      <c r="E695" s="376" t="s">
        <v>603</v>
      </c>
      <c r="F695" s="377"/>
      <c r="G695" s="377"/>
      <c r="H695" s="378"/>
      <c r="I695" s="286"/>
      <c r="J695" s="155"/>
      <c r="K695" s="155"/>
      <c r="L695" s="156"/>
      <c r="M695" s="379">
        <v>9500</v>
      </c>
      <c r="N695" s="380"/>
      <c r="O695" s="381" t="s">
        <v>1534</v>
      </c>
      <c r="P695" s="382"/>
      <c r="Q695" s="383"/>
      <c r="R695" s="376" t="s">
        <v>6</v>
      </c>
      <c r="S695" s="378"/>
      <c r="T695" s="330">
        <v>0</v>
      </c>
      <c r="W695" s="112" t="s">
        <v>1565</v>
      </c>
      <c r="X695" s="61"/>
      <c r="Y695" s="274">
        <v>9500</v>
      </c>
      <c r="Z695" s="241">
        <f t="shared" si="69"/>
        <v>9500</v>
      </c>
      <c r="AB695" s="196"/>
      <c r="AC695" s="199"/>
    </row>
    <row r="696" spans="1:29" ht="20.100000000000001" customHeight="1" x14ac:dyDescent="0.25">
      <c r="A696" s="36"/>
      <c r="B696" s="143">
        <f t="shared" si="72"/>
        <v>643</v>
      </c>
      <c r="C696" s="87">
        <v>665</v>
      </c>
      <c r="D696" s="280" t="str">
        <f>HYPERLINK("https://sites.wustl.edu/meteoritesite/items/lm_nwa_16372/",W696)</f>
        <v>Northwest Africa 16372</v>
      </c>
      <c r="E696" s="376" t="s">
        <v>603</v>
      </c>
      <c r="F696" s="377"/>
      <c r="G696" s="377"/>
      <c r="H696" s="378"/>
      <c r="I696" s="286"/>
      <c r="J696" s="155"/>
      <c r="K696" s="155"/>
      <c r="L696" s="156"/>
      <c r="M696" s="379">
        <v>1200</v>
      </c>
      <c r="N696" s="380"/>
      <c r="O696" s="381" t="s">
        <v>1495</v>
      </c>
      <c r="P696" s="382"/>
      <c r="Q696" s="383"/>
      <c r="R696" s="376" t="s">
        <v>1342</v>
      </c>
      <c r="S696" s="378"/>
      <c r="T696" s="330">
        <v>0</v>
      </c>
      <c r="W696" s="112" t="s">
        <v>1601</v>
      </c>
      <c r="X696" s="61"/>
      <c r="Y696" s="274">
        <v>1200</v>
      </c>
      <c r="Z696" s="241">
        <f t="shared" si="69"/>
        <v>1200</v>
      </c>
      <c r="AB696" s="196"/>
      <c r="AC696" s="199"/>
    </row>
    <row r="697" spans="1:29" ht="20.100000000000001" customHeight="1" x14ac:dyDescent="0.25">
      <c r="A697" s="36"/>
      <c r="B697" s="143">
        <f>B696+1</f>
        <v>644</v>
      </c>
      <c r="C697" s="87">
        <v>656</v>
      </c>
      <c r="D697" s="280" t="str">
        <f>HYPERLINK("https://sites.wustl.edu/meteoritesite/items/lm_nwa_15500/",W697)</f>
        <v>Northwest Africa 16400</v>
      </c>
      <c r="E697" s="376" t="s">
        <v>1622</v>
      </c>
      <c r="F697" s="377"/>
      <c r="G697" s="377"/>
      <c r="H697" s="378"/>
      <c r="I697" s="286"/>
      <c r="J697" s="155"/>
      <c r="K697" s="155"/>
      <c r="L697" s="156"/>
      <c r="M697" s="379">
        <v>50</v>
      </c>
      <c r="N697" s="380"/>
      <c r="O697" s="381" t="s">
        <v>1495</v>
      </c>
      <c r="P697" s="382"/>
      <c r="Q697" s="383"/>
      <c r="R697" s="376" t="s">
        <v>6</v>
      </c>
      <c r="S697" s="378"/>
      <c r="T697" s="330">
        <v>0</v>
      </c>
      <c r="W697" s="112" t="s">
        <v>1566</v>
      </c>
      <c r="X697" s="61"/>
      <c r="Y697" s="274">
        <v>50</v>
      </c>
      <c r="Z697" s="241">
        <f t="shared" ref="Z697" si="74">Y697</f>
        <v>50</v>
      </c>
      <c r="AB697" s="196"/>
      <c r="AC697" s="199"/>
    </row>
    <row r="698" spans="1:29" ht="20.100000000000001" customHeight="1" x14ac:dyDescent="0.25">
      <c r="A698" s="36"/>
      <c r="B698" s="143">
        <f t="shared" ref="B698" si="75">B697+1</f>
        <v>645</v>
      </c>
      <c r="C698" s="87">
        <v>661</v>
      </c>
      <c r="D698" s="280" t="str">
        <f>HYPERLINK("https://sites.wustl.edu/meteoritesite/items/lm_nwa_16460/",W698)</f>
        <v>Northwest Africa 16460</v>
      </c>
      <c r="E698" s="376" t="s">
        <v>603</v>
      </c>
      <c r="F698" s="377"/>
      <c r="G698" s="377"/>
      <c r="H698" s="378"/>
      <c r="I698" s="376" t="s">
        <v>1860</v>
      </c>
      <c r="J698" s="377"/>
      <c r="K698" s="377"/>
      <c r="L698" s="378"/>
      <c r="M698" s="379" t="s">
        <v>1614</v>
      </c>
      <c r="N698" s="380"/>
      <c r="O698" s="381" t="s">
        <v>1495</v>
      </c>
      <c r="P698" s="382"/>
      <c r="Q698" s="383"/>
      <c r="R698" s="376" t="s">
        <v>1145</v>
      </c>
      <c r="S698" s="378"/>
      <c r="T698" s="330">
        <v>0</v>
      </c>
      <c r="W698" s="112" t="s">
        <v>1596</v>
      </c>
      <c r="X698" s="61"/>
      <c r="Y698" s="274">
        <v>450</v>
      </c>
      <c r="Z698" s="241">
        <f t="shared" ref="Z698:Z699" si="76">Y698</f>
        <v>450</v>
      </c>
      <c r="AB698" s="196"/>
      <c r="AC698" s="199"/>
    </row>
    <row r="699" spans="1:29" ht="20.100000000000001" customHeight="1" x14ac:dyDescent="0.25">
      <c r="A699" s="36"/>
      <c r="B699" s="143">
        <f>B697+1</f>
        <v>645</v>
      </c>
      <c r="C699" s="87">
        <v>673</v>
      </c>
      <c r="D699" s="280" t="str">
        <f>HYPERLINK("https://sites.wustl.edu/meteoritesite/items/lm_nwa_16470/",W699)</f>
        <v>Northwest Africa 16469</v>
      </c>
      <c r="E699" s="376" t="s">
        <v>1629</v>
      </c>
      <c r="F699" s="377"/>
      <c r="G699" s="377"/>
      <c r="H699" s="378"/>
      <c r="I699" s="286"/>
      <c r="J699" s="155"/>
      <c r="K699" s="155"/>
      <c r="L699" s="156"/>
      <c r="M699" s="379">
        <v>5.69</v>
      </c>
      <c r="N699" s="380"/>
      <c r="O699" s="381" t="s">
        <v>1194</v>
      </c>
      <c r="P699" s="382"/>
      <c r="Q699" s="383"/>
      <c r="R699" s="376" t="s">
        <v>6</v>
      </c>
      <c r="S699" s="378"/>
      <c r="T699" s="330">
        <v>0</v>
      </c>
      <c r="W699" s="112" t="s">
        <v>1628</v>
      </c>
      <c r="X699" s="61"/>
      <c r="Y699" s="274">
        <v>5.6</v>
      </c>
      <c r="Z699" s="244">
        <f t="shared" si="76"/>
        <v>5.6</v>
      </c>
      <c r="AB699" s="196"/>
      <c r="AC699" s="199"/>
    </row>
    <row r="700" spans="1:29" ht="20.100000000000001" customHeight="1" x14ac:dyDescent="0.25">
      <c r="A700" s="36"/>
      <c r="B700" s="143">
        <f>B698+1</f>
        <v>646</v>
      </c>
      <c r="C700" s="87">
        <v>659</v>
      </c>
      <c r="D700" s="280" t="str">
        <f>HYPERLINK("https://sites.wustl.edu/meteoritesite/items/lm_nwa_16470/",W700)</f>
        <v>Northwest Africa 16470</v>
      </c>
      <c r="E700" s="376" t="s">
        <v>1630</v>
      </c>
      <c r="F700" s="377"/>
      <c r="G700" s="377"/>
      <c r="H700" s="378"/>
      <c r="I700" s="286"/>
      <c r="J700" s="155"/>
      <c r="K700" s="155"/>
      <c r="L700" s="156"/>
      <c r="M700" s="379">
        <v>9.1199999999999992</v>
      </c>
      <c r="N700" s="380"/>
      <c r="O700" s="381" t="s">
        <v>1194</v>
      </c>
      <c r="P700" s="382"/>
      <c r="Q700" s="383"/>
      <c r="R700" s="376" t="s">
        <v>6</v>
      </c>
      <c r="S700" s="378"/>
      <c r="T700" s="330">
        <v>0</v>
      </c>
      <c r="W700" s="112" t="s">
        <v>1572</v>
      </c>
      <c r="X700" s="61"/>
      <c r="Y700" s="274">
        <v>9.15</v>
      </c>
      <c r="Z700" s="244">
        <f t="shared" ref="Z700" si="77">Y700</f>
        <v>9.15</v>
      </c>
      <c r="AB700" s="196"/>
      <c r="AC700" s="199"/>
    </row>
    <row r="701" spans="1:29" ht="20.100000000000001" customHeight="1" x14ac:dyDescent="0.25">
      <c r="A701" s="36"/>
      <c r="B701" s="143">
        <f t="shared" ref="B701:B716" si="78">B700+1</f>
        <v>647</v>
      </c>
      <c r="C701" s="87">
        <v>662</v>
      </c>
      <c r="D701" s="280" t="str">
        <f>HYPERLINK("https://sites.wustl.edu/meteoritesite/items/lm_nwa_16470/",W701)</f>
        <v>Northwest Africa 16471</v>
      </c>
      <c r="E701" s="376" t="s">
        <v>1629</v>
      </c>
      <c r="F701" s="377"/>
      <c r="G701" s="377"/>
      <c r="H701" s="378"/>
      <c r="I701" s="286"/>
      <c r="J701" s="155"/>
      <c r="K701" s="155"/>
      <c r="L701" s="156"/>
      <c r="M701" s="379">
        <v>2.82</v>
      </c>
      <c r="N701" s="380"/>
      <c r="O701" s="381" t="s">
        <v>1194</v>
      </c>
      <c r="P701" s="382"/>
      <c r="Q701" s="383"/>
      <c r="R701" s="376" t="s">
        <v>6</v>
      </c>
      <c r="S701" s="378"/>
      <c r="T701" s="330">
        <v>0</v>
      </c>
      <c r="W701" s="112" t="s">
        <v>1597</v>
      </c>
      <c r="X701" s="61"/>
      <c r="Y701" s="274">
        <v>2.82</v>
      </c>
      <c r="Z701" s="244">
        <f t="shared" ref="Z701" si="79">Y701</f>
        <v>2.82</v>
      </c>
      <c r="AB701" s="196"/>
      <c r="AC701" s="199"/>
    </row>
    <row r="702" spans="1:29" ht="20.100000000000001" customHeight="1" x14ac:dyDescent="0.25">
      <c r="A702" s="36"/>
      <c r="B702" s="143"/>
      <c r="C702" s="87"/>
      <c r="D702" s="280"/>
      <c r="E702" s="376"/>
      <c r="F702" s="377"/>
      <c r="G702" s="377"/>
      <c r="H702" s="378"/>
      <c r="I702" s="286"/>
      <c r="J702" s="155"/>
      <c r="K702" s="155"/>
      <c r="L702" s="156"/>
      <c r="M702" s="379"/>
      <c r="N702" s="380"/>
      <c r="O702" s="381"/>
      <c r="P702" s="382"/>
      <c r="Q702" s="383"/>
      <c r="R702" s="376"/>
      <c r="S702" s="378"/>
      <c r="T702" s="330"/>
      <c r="W702" s="112"/>
      <c r="X702" s="61"/>
      <c r="Y702" s="274"/>
      <c r="Z702" s="244"/>
      <c r="AB702" s="196"/>
      <c r="AC702" s="199"/>
    </row>
    <row r="703" spans="1:29" ht="36" customHeight="1" x14ac:dyDescent="0.25">
      <c r="A703" s="36"/>
      <c r="B703" s="125" t="s">
        <v>402</v>
      </c>
      <c r="C703" s="30" t="s">
        <v>1034</v>
      </c>
      <c r="D703" s="33" t="s">
        <v>915</v>
      </c>
      <c r="E703" s="420" t="s">
        <v>916</v>
      </c>
      <c r="F703" s="421"/>
      <c r="G703" s="421"/>
      <c r="H703" s="422"/>
      <c r="I703" s="423" t="s">
        <v>917</v>
      </c>
      <c r="J703" s="424"/>
      <c r="K703" s="424"/>
      <c r="L703" s="425"/>
      <c r="M703" s="430" t="s">
        <v>918</v>
      </c>
      <c r="N703" s="431"/>
      <c r="O703" s="426" t="s">
        <v>919</v>
      </c>
      <c r="P703" s="427"/>
      <c r="Q703" s="428"/>
      <c r="R703" s="423" t="s">
        <v>920</v>
      </c>
      <c r="S703" s="425"/>
      <c r="T703" s="5" t="s">
        <v>5</v>
      </c>
      <c r="Y703" s="243"/>
      <c r="AB703" s="196"/>
      <c r="AC703" s="199"/>
    </row>
    <row r="704" spans="1:29" ht="20.100000000000001" customHeight="1" x14ac:dyDescent="0.25">
      <c r="A704" s="36"/>
      <c r="B704" s="143">
        <f>B701+1</f>
        <v>648</v>
      </c>
      <c r="C704" s="87">
        <v>663</v>
      </c>
      <c r="D704" s="280" t="str">
        <f>HYPERLINK("https://sites.wustl.edu/meteoritesite/items/lm_nwa_16484/",W704)</f>
        <v>Northwest Africa 16484</v>
      </c>
      <c r="E704" s="376" t="s">
        <v>603</v>
      </c>
      <c r="F704" s="377"/>
      <c r="G704" s="377"/>
      <c r="H704" s="378"/>
      <c r="I704" s="286"/>
      <c r="J704" s="155"/>
      <c r="K704" s="155"/>
      <c r="L704" s="156"/>
      <c r="M704" s="379" t="s">
        <v>1615</v>
      </c>
      <c r="N704" s="380"/>
      <c r="O704" s="381" t="s">
        <v>1495</v>
      </c>
      <c r="P704" s="382"/>
      <c r="Q704" s="383"/>
      <c r="R704" s="376" t="s">
        <v>1259</v>
      </c>
      <c r="S704" s="378"/>
      <c r="T704" s="330">
        <v>0</v>
      </c>
      <c r="W704" s="112" t="s">
        <v>1598</v>
      </c>
      <c r="X704" s="61"/>
      <c r="Y704" s="274">
        <v>292</v>
      </c>
      <c r="Z704" s="241">
        <f t="shared" ref="Z704" si="80">Y704</f>
        <v>292</v>
      </c>
      <c r="AB704" s="196"/>
      <c r="AC704" s="199"/>
    </row>
    <row r="705" spans="1:29" ht="20.100000000000001" customHeight="1" x14ac:dyDescent="0.25">
      <c r="A705" s="36"/>
      <c r="B705" s="143">
        <f t="shared" si="78"/>
        <v>649</v>
      </c>
      <c r="C705" s="87">
        <v>666</v>
      </c>
      <c r="D705" s="280" t="str">
        <f>HYPERLINK("https://sites.wustl.edu/meteoritesite/items/lm_nwa_16507/",W705)</f>
        <v>Northwest Africa 16507</v>
      </c>
      <c r="E705" s="376" t="s">
        <v>603</v>
      </c>
      <c r="F705" s="377"/>
      <c r="G705" s="377"/>
      <c r="H705" s="378"/>
      <c r="I705" s="286"/>
      <c r="J705" s="155"/>
      <c r="K705" s="155"/>
      <c r="L705" s="156"/>
      <c r="M705" s="379" t="s">
        <v>1611</v>
      </c>
      <c r="N705" s="380"/>
      <c r="O705" s="381" t="s">
        <v>1495</v>
      </c>
      <c r="P705" s="382"/>
      <c r="Q705" s="383"/>
      <c r="R705" s="376" t="s">
        <v>1259</v>
      </c>
      <c r="S705" s="378"/>
      <c r="T705" s="330">
        <v>0</v>
      </c>
      <c r="W705" s="112" t="s">
        <v>1602</v>
      </c>
      <c r="X705" s="61"/>
      <c r="Y705" s="274">
        <v>1700</v>
      </c>
      <c r="Z705" s="241">
        <f t="shared" ref="Z705:Z706" si="81">Y705</f>
        <v>1700</v>
      </c>
      <c r="AB705" s="196"/>
      <c r="AC705" s="199"/>
    </row>
    <row r="706" spans="1:29" ht="20.100000000000001" customHeight="1" x14ac:dyDescent="0.25">
      <c r="A706" s="36"/>
      <c r="B706" s="143">
        <f>B705+1</f>
        <v>650</v>
      </c>
      <c r="C706" s="87">
        <v>674</v>
      </c>
      <c r="D706" s="280" t="str">
        <f>HYPERLINK("https://sites.wustl.edu/meteoritesite/items/lm_nwa_16520/",W706)</f>
        <v>Northwest Africa 16520</v>
      </c>
      <c r="E706" s="376" t="s">
        <v>603</v>
      </c>
      <c r="F706" s="377"/>
      <c r="G706" s="377"/>
      <c r="H706" s="378"/>
      <c r="I706" s="286"/>
      <c r="J706" s="155"/>
      <c r="K706" s="155"/>
      <c r="L706" s="156"/>
      <c r="M706" s="379" t="s">
        <v>1638</v>
      </c>
      <c r="N706" s="380"/>
      <c r="O706" s="381" t="s">
        <v>1436</v>
      </c>
      <c r="P706" s="382"/>
      <c r="Q706" s="383"/>
      <c r="R706" s="376" t="s">
        <v>1259</v>
      </c>
      <c r="S706" s="378"/>
      <c r="T706" s="330">
        <v>0</v>
      </c>
      <c r="W706" s="112" t="s">
        <v>1633</v>
      </c>
      <c r="X706" s="61"/>
      <c r="Y706" s="274">
        <v>875</v>
      </c>
      <c r="Z706" s="241">
        <f t="shared" si="81"/>
        <v>875</v>
      </c>
      <c r="AB706" s="196"/>
      <c r="AC706" s="199"/>
    </row>
    <row r="707" spans="1:29" ht="20.100000000000001" customHeight="1" x14ac:dyDescent="0.25">
      <c r="A707" s="36"/>
      <c r="B707" s="143">
        <f>B706+1</f>
        <v>651</v>
      </c>
      <c r="C707" s="87">
        <v>670</v>
      </c>
      <c r="D707" s="280" t="str">
        <f>HYPERLINK("https://sites.wustl.edu/meteoritesite/items/lm_nwa_1653016531/",W707)</f>
        <v>Northwest Africa 16530</v>
      </c>
      <c r="E707" s="376" t="s">
        <v>1621</v>
      </c>
      <c r="F707" s="377"/>
      <c r="G707" s="377"/>
      <c r="H707" s="378"/>
      <c r="I707" s="286"/>
      <c r="J707" s="155"/>
      <c r="K707" s="155"/>
      <c r="L707" s="156"/>
      <c r="M707" s="379" t="s">
        <v>1619</v>
      </c>
      <c r="N707" s="380"/>
      <c r="O707" s="381" t="s">
        <v>1495</v>
      </c>
      <c r="P707" s="382"/>
      <c r="Q707" s="383"/>
      <c r="R707" s="376" t="s">
        <v>1259</v>
      </c>
      <c r="S707" s="378"/>
      <c r="T707" s="330">
        <v>0</v>
      </c>
      <c r="W707" s="112" t="s">
        <v>1617</v>
      </c>
      <c r="X707" s="61"/>
      <c r="Y707" s="274">
        <v>840</v>
      </c>
      <c r="Z707" s="241">
        <f t="shared" ref="Z707:Z724" si="82">Y707</f>
        <v>840</v>
      </c>
      <c r="AB707" s="196"/>
      <c r="AC707" s="199"/>
    </row>
    <row r="708" spans="1:29" ht="20.100000000000001" customHeight="1" x14ac:dyDescent="0.25">
      <c r="A708" s="36"/>
      <c r="B708" s="143">
        <f t="shared" si="78"/>
        <v>652</v>
      </c>
      <c r="C708" s="87">
        <v>671</v>
      </c>
      <c r="D708" s="280" t="str">
        <f>HYPERLINK("https://sites.wustl.edu/meteoritesite/items/lm_nwa_1653016531/",W708)</f>
        <v>Northwest Africa 16531</v>
      </c>
      <c r="E708" s="376" t="s">
        <v>1624</v>
      </c>
      <c r="F708" s="377"/>
      <c r="G708" s="377"/>
      <c r="H708" s="378"/>
      <c r="I708" s="286"/>
      <c r="J708" s="155"/>
      <c r="K708" s="155"/>
      <c r="L708" s="156"/>
      <c r="M708" s="379" t="s">
        <v>1620</v>
      </c>
      <c r="N708" s="380"/>
      <c r="O708" s="381" t="s">
        <v>1495</v>
      </c>
      <c r="P708" s="382"/>
      <c r="Q708" s="383"/>
      <c r="R708" s="376" t="s">
        <v>1259</v>
      </c>
      <c r="S708" s="378"/>
      <c r="T708" s="330">
        <v>0</v>
      </c>
      <c r="W708" s="112" t="s">
        <v>1618</v>
      </c>
      <c r="X708" s="61"/>
      <c r="Y708" s="274">
        <v>470</v>
      </c>
      <c r="Z708" s="241">
        <f t="shared" si="82"/>
        <v>470</v>
      </c>
      <c r="AB708" s="196"/>
      <c r="AC708" s="199"/>
    </row>
    <row r="709" spans="1:29" ht="20.100000000000001" customHeight="1" x14ac:dyDescent="0.25">
      <c r="A709" s="36"/>
      <c r="B709" s="143">
        <f t="shared" si="78"/>
        <v>653</v>
      </c>
      <c r="C709" s="87">
        <v>668</v>
      </c>
      <c r="D709" s="280" t="str">
        <f>HYPERLINK("https://sites.wustl.edu/meteoritesite/items/lm_nwa_16535/",W709)</f>
        <v>Northwest Africa 16535</v>
      </c>
      <c r="E709" s="376" t="s">
        <v>1731</v>
      </c>
      <c r="F709" s="377"/>
      <c r="G709" s="377"/>
      <c r="H709" s="378"/>
      <c r="I709" s="286"/>
      <c r="J709" s="155"/>
      <c r="K709" s="155"/>
      <c r="L709" s="156"/>
      <c r="M709" s="379" t="s">
        <v>1616</v>
      </c>
      <c r="N709" s="380"/>
      <c r="O709" s="381" t="s">
        <v>1312</v>
      </c>
      <c r="P709" s="382"/>
      <c r="Q709" s="383"/>
      <c r="R709" s="376" t="s">
        <v>1259</v>
      </c>
      <c r="S709" s="378"/>
      <c r="T709" s="330">
        <v>0</v>
      </c>
      <c r="W709" s="112" t="s">
        <v>1610</v>
      </c>
      <c r="X709" s="61"/>
      <c r="Y709" s="274">
        <v>165</v>
      </c>
      <c r="Z709" s="241">
        <f t="shared" si="82"/>
        <v>165</v>
      </c>
      <c r="AB709" s="196"/>
      <c r="AC709" s="199"/>
    </row>
    <row r="710" spans="1:29" ht="20.100000000000001" customHeight="1" x14ac:dyDescent="0.25">
      <c r="A710" s="36"/>
      <c r="B710" s="143">
        <f t="shared" si="78"/>
        <v>654</v>
      </c>
      <c r="C710" s="87">
        <v>693</v>
      </c>
      <c r="D710" s="280" t="str">
        <f>HYPERLINK("https://sites.wustl.edu/meteoritesite/items/lm_nwa_12971/",W710)</f>
        <v>Northwest Africa 16557</v>
      </c>
      <c r="E710" s="376" t="s">
        <v>1345</v>
      </c>
      <c r="F710" s="377"/>
      <c r="G710" s="377"/>
      <c r="H710" s="378"/>
      <c r="I710" s="286"/>
      <c r="J710" s="155"/>
      <c r="K710" s="155"/>
      <c r="L710" s="156"/>
      <c r="M710" s="379" t="s">
        <v>1685</v>
      </c>
      <c r="N710" s="380"/>
      <c r="O710" s="381" t="s">
        <v>1684</v>
      </c>
      <c r="P710" s="382"/>
      <c r="Q710" s="383"/>
      <c r="R710" s="376" t="s">
        <v>961</v>
      </c>
      <c r="S710" s="378"/>
      <c r="T710" s="330">
        <v>0</v>
      </c>
      <c r="W710" s="112" t="s">
        <v>1683</v>
      </c>
      <c r="X710" s="61"/>
      <c r="Y710" s="274">
        <v>2643</v>
      </c>
      <c r="Z710" s="241">
        <f t="shared" si="82"/>
        <v>2643</v>
      </c>
      <c r="AB710" s="196"/>
      <c r="AC710" s="199"/>
    </row>
    <row r="711" spans="1:29" ht="20.100000000000001" customHeight="1" x14ac:dyDescent="0.25">
      <c r="A711" s="36"/>
      <c r="B711" s="143">
        <f t="shared" si="78"/>
        <v>655</v>
      </c>
      <c r="C711" s="87">
        <v>675</v>
      </c>
      <c r="D711" s="280" t="str">
        <f>HYPERLINK("https://sites.wustl.edu/meteoritesite/items/lm_nwa_16625/",W711)</f>
        <v>Northwest Africa 16625</v>
      </c>
      <c r="E711" s="376" t="s">
        <v>603</v>
      </c>
      <c r="F711" s="377"/>
      <c r="G711" s="377"/>
      <c r="H711" s="378"/>
      <c r="I711" s="286"/>
      <c r="J711" s="155"/>
      <c r="K711" s="155"/>
      <c r="L711" s="156"/>
      <c r="M711" s="379">
        <v>1603</v>
      </c>
      <c r="N711" s="380"/>
      <c r="O711" s="381" t="s">
        <v>1398</v>
      </c>
      <c r="P711" s="382"/>
      <c r="Q711" s="383"/>
      <c r="R711" s="376" t="s">
        <v>6</v>
      </c>
      <c r="S711" s="378"/>
      <c r="T711" s="330">
        <v>0</v>
      </c>
      <c r="W711" s="112" t="s">
        <v>1634</v>
      </c>
      <c r="X711" s="61"/>
      <c r="Y711" s="274">
        <v>1603</v>
      </c>
      <c r="Z711" s="241">
        <f t="shared" si="82"/>
        <v>1603</v>
      </c>
      <c r="AB711" s="196"/>
      <c r="AC711" s="199"/>
    </row>
    <row r="712" spans="1:29" ht="20.100000000000001" customHeight="1" x14ac:dyDescent="0.25">
      <c r="A712" s="36"/>
      <c r="B712" s="143">
        <f t="shared" si="78"/>
        <v>656</v>
      </c>
      <c r="C712" s="87">
        <v>676</v>
      </c>
      <c r="D712" s="280" t="str">
        <f>HYPERLINK("https://sites.wustl.edu/meteoritesite/items/lm_nwa_16626/",W712)</f>
        <v>Northwest Africa 16626</v>
      </c>
      <c r="E712" s="376" t="s">
        <v>603</v>
      </c>
      <c r="F712" s="377"/>
      <c r="G712" s="377"/>
      <c r="H712" s="378"/>
      <c r="I712" s="286"/>
      <c r="J712" s="155"/>
      <c r="K712" s="155"/>
      <c r="L712" s="156"/>
      <c r="M712" s="379">
        <v>1465</v>
      </c>
      <c r="N712" s="380"/>
      <c r="O712" s="381" t="s">
        <v>1639</v>
      </c>
      <c r="P712" s="382"/>
      <c r="Q712" s="383"/>
      <c r="R712" s="376" t="s">
        <v>1645</v>
      </c>
      <c r="S712" s="378"/>
      <c r="T712" s="330">
        <v>0</v>
      </c>
      <c r="W712" s="112" t="s">
        <v>1635</v>
      </c>
      <c r="X712" s="61"/>
      <c r="Y712" s="274">
        <v>1465</v>
      </c>
      <c r="Z712" s="241">
        <f t="shared" si="82"/>
        <v>1465</v>
      </c>
      <c r="AB712" s="196"/>
      <c r="AC712" s="199"/>
    </row>
    <row r="713" spans="1:29" ht="20.100000000000001" customHeight="1" x14ac:dyDescent="0.25">
      <c r="A713" s="36"/>
      <c r="B713" s="143">
        <f t="shared" si="78"/>
        <v>657</v>
      </c>
      <c r="C713" s="87">
        <v>677</v>
      </c>
      <c r="D713" s="280" t="str">
        <f>HYPERLINK("https://sites.wustl.edu/meteoritesite/items/lm_nwa_16657/",W713)</f>
        <v>Northwest Africa 16657</v>
      </c>
      <c r="E713" s="376" t="s">
        <v>603</v>
      </c>
      <c r="F713" s="377"/>
      <c r="G713" s="377"/>
      <c r="H713" s="378"/>
      <c r="I713" s="286"/>
      <c r="J713" s="155"/>
      <c r="K713" s="155"/>
      <c r="L713" s="156"/>
      <c r="M713" s="379" t="s">
        <v>1641</v>
      </c>
      <c r="N713" s="380"/>
      <c r="O713" s="381" t="s">
        <v>1640</v>
      </c>
      <c r="P713" s="382"/>
      <c r="Q713" s="383"/>
      <c r="R713" s="376" t="s">
        <v>6</v>
      </c>
      <c r="S713" s="378"/>
      <c r="T713" s="330">
        <v>0</v>
      </c>
      <c r="W713" s="112" t="s">
        <v>1636</v>
      </c>
      <c r="X713" s="61"/>
      <c r="Y713" s="274">
        <v>82</v>
      </c>
      <c r="Z713" s="241">
        <f t="shared" si="82"/>
        <v>82</v>
      </c>
      <c r="AB713" s="196"/>
      <c r="AC713" s="199"/>
    </row>
    <row r="714" spans="1:29" ht="20.100000000000001" customHeight="1" x14ac:dyDescent="0.25">
      <c r="A714" s="36"/>
      <c r="B714" s="143">
        <f t="shared" si="78"/>
        <v>658</v>
      </c>
      <c r="C714" s="87">
        <v>694</v>
      </c>
      <c r="D714" s="280" t="str">
        <f>HYPERLINK("https://sites.wustl.edu/meteoritesite/items/lm_nwa_16660/",W714)</f>
        <v>Northwest Africa 16660</v>
      </c>
      <c r="E714" s="376" t="s">
        <v>603</v>
      </c>
      <c r="F714" s="377"/>
      <c r="G714" s="377"/>
      <c r="H714" s="378"/>
      <c r="I714" s="286"/>
      <c r="J714" s="155"/>
      <c r="K714" s="155"/>
      <c r="L714" s="156"/>
      <c r="M714" s="379">
        <v>226</v>
      </c>
      <c r="N714" s="380"/>
      <c r="O714" s="381" t="s">
        <v>1398</v>
      </c>
      <c r="P714" s="382"/>
      <c r="Q714" s="383"/>
      <c r="R714" s="376" t="s">
        <v>6</v>
      </c>
      <c r="S714" s="378"/>
      <c r="T714" s="330">
        <v>0</v>
      </c>
      <c r="W714" s="112" t="s">
        <v>1686</v>
      </c>
      <c r="X714" s="61"/>
      <c r="Y714" s="274">
        <v>226</v>
      </c>
      <c r="Z714" s="241">
        <f t="shared" si="82"/>
        <v>226</v>
      </c>
      <c r="AB714" s="196"/>
      <c r="AC714" s="199"/>
    </row>
    <row r="715" spans="1:29" ht="20.100000000000001" customHeight="1" x14ac:dyDescent="0.25">
      <c r="A715" s="36"/>
      <c r="B715" s="143">
        <f t="shared" si="78"/>
        <v>659</v>
      </c>
      <c r="C715" s="87">
        <v>683</v>
      </c>
      <c r="D715" s="280" t="str">
        <f>HYPERLINK("https://sites.wustl.edu/meteoritesite/items/lm_nwa_14681/",W715)</f>
        <v>Northwest Africa 16683</v>
      </c>
      <c r="E715" s="376" t="s">
        <v>1767</v>
      </c>
      <c r="F715" s="377"/>
      <c r="G715" s="377"/>
      <c r="H715" s="378"/>
      <c r="I715" s="286"/>
      <c r="J715" s="155"/>
      <c r="K715" s="155"/>
      <c r="L715" s="156"/>
      <c r="M715" s="379" t="s">
        <v>1456</v>
      </c>
      <c r="N715" s="380"/>
      <c r="O715" s="381" t="s">
        <v>1451</v>
      </c>
      <c r="P715" s="382"/>
      <c r="Q715" s="383"/>
      <c r="R715" s="376" t="s">
        <v>1554</v>
      </c>
      <c r="S715" s="378"/>
      <c r="T715" s="330">
        <v>0</v>
      </c>
      <c r="W715" s="112" t="s">
        <v>1655</v>
      </c>
      <c r="X715" s="61"/>
      <c r="Y715" s="274">
        <v>4000</v>
      </c>
      <c r="Z715" s="241">
        <f t="shared" ref="Z715" si="83">Y715</f>
        <v>4000</v>
      </c>
      <c r="AB715" s="196"/>
      <c r="AC715" s="199"/>
    </row>
    <row r="716" spans="1:29" ht="20.100000000000001" customHeight="1" x14ac:dyDescent="0.25">
      <c r="A716" s="36"/>
      <c r="B716" s="143">
        <f t="shared" si="78"/>
        <v>660</v>
      </c>
      <c r="C716" s="87">
        <v>678</v>
      </c>
      <c r="D716" s="280" t="str">
        <f>HYPERLINK("https://sites.wustl.edu/meteoritesite/items/lm_nwa_16684/",W716)</f>
        <v>Northwest Africa 16684</v>
      </c>
      <c r="E716" s="376" t="s">
        <v>1642</v>
      </c>
      <c r="F716" s="377"/>
      <c r="G716" s="377"/>
      <c r="H716" s="378"/>
      <c r="I716" s="286"/>
      <c r="J716" s="155"/>
      <c r="K716" s="155"/>
      <c r="L716" s="156"/>
      <c r="M716" s="379" t="s">
        <v>1643</v>
      </c>
      <c r="N716" s="380"/>
      <c r="O716" s="381" t="s">
        <v>1107</v>
      </c>
      <c r="P716" s="382"/>
      <c r="Q716" s="383"/>
      <c r="R716" s="376" t="s">
        <v>1259</v>
      </c>
      <c r="S716" s="378"/>
      <c r="T716" s="330">
        <v>0</v>
      </c>
      <c r="W716" s="112" t="s">
        <v>1637</v>
      </c>
      <c r="X716" s="61"/>
      <c r="Y716" s="274">
        <v>9200</v>
      </c>
      <c r="Z716" s="241">
        <f t="shared" si="82"/>
        <v>9200</v>
      </c>
      <c r="AB716" s="196"/>
      <c r="AC716" s="199"/>
    </row>
    <row r="717" spans="1:29" ht="20.100000000000001" customHeight="1" x14ac:dyDescent="0.25">
      <c r="A717" s="36"/>
      <c r="B717" s="143">
        <f t="shared" ref="B717:B731" si="84">B716+1</f>
        <v>661</v>
      </c>
      <c r="C717" s="87">
        <v>684</v>
      </c>
      <c r="D717" s="280" t="str">
        <f>HYPERLINK("https://sites.wustl.edu/meteoritesite/items/lm_nwa_16690/",W717)</f>
        <v>Northwest Africa 16690</v>
      </c>
      <c r="E717" s="376" t="s">
        <v>603</v>
      </c>
      <c r="F717" s="377"/>
      <c r="G717" s="377"/>
      <c r="H717" s="378"/>
      <c r="I717" s="286"/>
      <c r="J717" s="155"/>
      <c r="K717" s="155"/>
      <c r="L717" s="156"/>
      <c r="M717" s="379">
        <v>66</v>
      </c>
      <c r="N717" s="380"/>
      <c r="O717" s="381" t="s">
        <v>1495</v>
      </c>
      <c r="P717" s="382"/>
      <c r="Q717" s="383"/>
      <c r="R717" s="376" t="s">
        <v>1259</v>
      </c>
      <c r="S717" s="378"/>
      <c r="T717" s="330">
        <v>0</v>
      </c>
      <c r="W717" s="112" t="s">
        <v>1656</v>
      </c>
      <c r="X717" s="61"/>
      <c r="Y717" s="274">
        <v>66</v>
      </c>
      <c r="Z717" s="241">
        <f t="shared" ref="Z717" si="85">Y717</f>
        <v>66</v>
      </c>
      <c r="AB717" s="196"/>
      <c r="AC717" s="199"/>
    </row>
    <row r="718" spans="1:29" ht="20.100000000000001" customHeight="1" x14ac:dyDescent="0.25">
      <c r="A718" s="36"/>
      <c r="B718" s="143">
        <f t="shared" si="84"/>
        <v>662</v>
      </c>
      <c r="C718" s="87">
        <v>680</v>
      </c>
      <c r="D718" s="280" t="str">
        <f>HYPERLINK("https://sites.wustl.edu/meteoritesite/items/lm_nwa_16716/",W718)</f>
        <v>Northwest Africa 16716</v>
      </c>
      <c r="E718" s="376" t="s">
        <v>603</v>
      </c>
      <c r="F718" s="377"/>
      <c r="G718" s="377"/>
      <c r="H718" s="378"/>
      <c r="I718" s="286"/>
      <c r="J718" s="155"/>
      <c r="K718" s="155" t="s">
        <v>565</v>
      </c>
      <c r="L718" s="156"/>
      <c r="M718" s="379" t="s">
        <v>1649</v>
      </c>
      <c r="N718" s="380"/>
      <c r="O718" s="381" t="s">
        <v>1648</v>
      </c>
      <c r="P718" s="382"/>
      <c r="Q718" s="383"/>
      <c r="R718" s="376" t="s">
        <v>1259</v>
      </c>
      <c r="S718" s="378"/>
      <c r="T718" s="330">
        <v>0</v>
      </c>
      <c r="W718" s="112" t="s">
        <v>1646</v>
      </c>
      <c r="X718" s="61"/>
      <c r="Y718" s="274">
        <v>391.6</v>
      </c>
      <c r="Z718" s="241">
        <f t="shared" si="82"/>
        <v>391.6</v>
      </c>
      <c r="AB718" s="196"/>
      <c r="AC718" s="199"/>
    </row>
    <row r="719" spans="1:29" ht="20.100000000000001" customHeight="1" x14ac:dyDescent="0.25">
      <c r="A719" s="36"/>
      <c r="B719" s="143">
        <f t="shared" si="84"/>
        <v>663</v>
      </c>
      <c r="C719" s="87">
        <v>699</v>
      </c>
      <c r="D719" s="280" t="str">
        <f>HYPERLINK("https://sites.wustl.edu/meteoritesite/items/lm_nwa_16717/",W719)</f>
        <v>Northwest Africa 16717</v>
      </c>
      <c r="E719" s="376" t="s">
        <v>603</v>
      </c>
      <c r="F719" s="377"/>
      <c r="G719" s="377"/>
      <c r="H719" s="378"/>
      <c r="I719" s="286"/>
      <c r="J719" s="155"/>
      <c r="K719" s="155"/>
      <c r="L719" s="156"/>
      <c r="M719" s="401" t="s">
        <v>1706</v>
      </c>
      <c r="N719" s="380"/>
      <c r="O719" s="381" t="s">
        <v>1236</v>
      </c>
      <c r="P719" s="382"/>
      <c r="Q719" s="383"/>
      <c r="R719" s="376" t="s">
        <v>1259</v>
      </c>
      <c r="S719" s="378"/>
      <c r="T719" s="330">
        <v>0</v>
      </c>
      <c r="W719" s="112" t="s">
        <v>1705</v>
      </c>
      <c r="X719" s="61"/>
      <c r="Y719" s="274">
        <v>21350</v>
      </c>
      <c r="Z719" s="241">
        <f t="shared" si="82"/>
        <v>21350</v>
      </c>
      <c r="AB719" s="196"/>
      <c r="AC719" s="199"/>
    </row>
    <row r="720" spans="1:29" ht="20.100000000000001" customHeight="1" x14ac:dyDescent="0.25">
      <c r="A720" s="36"/>
      <c r="B720" s="143">
        <f t="shared" si="84"/>
        <v>664</v>
      </c>
      <c r="C720" s="87">
        <v>718</v>
      </c>
      <c r="D720" s="280" t="str">
        <f>HYPERLINK("https://sites.wustl.edu/meteoritesite/items/lm_nwa_16718/",W720)</f>
        <v>Northwest Africa 16718</v>
      </c>
      <c r="E720" s="376" t="s">
        <v>603</v>
      </c>
      <c r="F720" s="377"/>
      <c r="G720" s="377"/>
      <c r="H720" s="378"/>
      <c r="I720" s="286"/>
      <c r="J720" s="155"/>
      <c r="K720" s="155"/>
      <c r="L720" s="156"/>
      <c r="M720" s="401">
        <v>8220</v>
      </c>
      <c r="N720" s="380"/>
      <c r="O720" s="381" t="s">
        <v>1236</v>
      </c>
      <c r="P720" s="382"/>
      <c r="Q720" s="383"/>
      <c r="R720" s="376" t="s">
        <v>6</v>
      </c>
      <c r="S720" s="378"/>
      <c r="T720" s="330">
        <v>0</v>
      </c>
      <c r="W720" s="112" t="s">
        <v>1747</v>
      </c>
      <c r="X720" s="61"/>
      <c r="Y720" s="274">
        <v>8220</v>
      </c>
      <c r="Z720" s="241">
        <f t="shared" ref="Z720" si="86">Y720</f>
        <v>8220</v>
      </c>
      <c r="AB720" s="196"/>
      <c r="AC720" s="199"/>
    </row>
    <row r="721" spans="1:29" ht="20.100000000000001" customHeight="1" x14ac:dyDescent="0.25">
      <c r="A721" s="36"/>
      <c r="B721" s="143">
        <f t="shared" si="84"/>
        <v>665</v>
      </c>
      <c r="C721" s="87">
        <v>701</v>
      </c>
      <c r="D721" s="280" t="str">
        <f>HYPERLINK("https://sites.wustl.edu/meteoritesite/items/lm_nwa_16720/",W721)</f>
        <v>Northwest Africa 16720</v>
      </c>
      <c r="E721" s="376" t="s">
        <v>603</v>
      </c>
      <c r="F721" s="377"/>
      <c r="G721" s="377"/>
      <c r="H721" s="378"/>
      <c r="I721" s="286"/>
      <c r="J721" s="155"/>
      <c r="K721" s="155"/>
      <c r="L721" s="156"/>
      <c r="M721" s="379" t="s">
        <v>1709</v>
      </c>
      <c r="N721" s="380"/>
      <c r="O721" s="381" t="s">
        <v>1701</v>
      </c>
      <c r="P721" s="382"/>
      <c r="Q721" s="383"/>
      <c r="R721" s="376" t="s">
        <v>1708</v>
      </c>
      <c r="S721" s="378"/>
      <c r="T721" s="330">
        <v>0</v>
      </c>
      <c r="W721" s="112" t="s">
        <v>1707</v>
      </c>
      <c r="X721" s="61"/>
      <c r="Y721" s="274">
        <v>9390</v>
      </c>
      <c r="Z721" s="241">
        <f t="shared" si="82"/>
        <v>9390</v>
      </c>
      <c r="AB721" s="196"/>
      <c r="AC721" s="199"/>
    </row>
    <row r="722" spans="1:29" ht="20.100000000000001" customHeight="1" x14ac:dyDescent="0.25">
      <c r="A722" s="36"/>
      <c r="B722" s="143">
        <f>B721+1</f>
        <v>666</v>
      </c>
      <c r="C722" s="87">
        <v>681</v>
      </c>
      <c r="D722" s="280" t="str">
        <f>HYPERLINK("https://sites.wustl.edu/meteoritesite/items/lm_nwa_16727/",W722)</f>
        <v>Northwest Africa 16727</v>
      </c>
      <c r="E722" s="376" t="s">
        <v>603</v>
      </c>
      <c r="F722" s="377"/>
      <c r="G722" s="377"/>
      <c r="H722" s="378"/>
      <c r="I722" s="286"/>
      <c r="J722" s="155"/>
      <c r="K722" s="155"/>
      <c r="L722" s="156"/>
      <c r="M722" s="379">
        <v>24</v>
      </c>
      <c r="N722" s="380"/>
      <c r="O722" s="381" t="s">
        <v>1650</v>
      </c>
      <c r="P722" s="382"/>
      <c r="Q722" s="383"/>
      <c r="R722" s="376" t="s">
        <v>1145</v>
      </c>
      <c r="S722" s="378"/>
      <c r="T722" s="330">
        <v>0</v>
      </c>
      <c r="W722" s="112" t="s">
        <v>1647</v>
      </c>
      <c r="X722" s="61"/>
      <c r="Y722" s="274">
        <v>24</v>
      </c>
      <c r="Z722" s="241">
        <f t="shared" si="82"/>
        <v>24</v>
      </c>
      <c r="AB722" s="196"/>
      <c r="AC722" s="199"/>
    </row>
    <row r="723" spans="1:29" ht="20.100000000000001" customHeight="1" x14ac:dyDescent="0.25">
      <c r="A723" s="36"/>
      <c r="B723" s="143">
        <f t="shared" si="84"/>
        <v>667</v>
      </c>
      <c r="C723" s="87">
        <v>697</v>
      </c>
      <c r="D723" s="280" t="str">
        <f>HYPERLINK("https://sites.wustl.edu/meteoritesite/items/lm_nwa_16760/",W723)</f>
        <v>Northwest Africa 16760</v>
      </c>
      <c r="E723" s="376" t="s">
        <v>603</v>
      </c>
      <c r="F723" s="377"/>
      <c r="G723" s="377"/>
      <c r="H723" s="378"/>
      <c r="I723" s="286"/>
      <c r="J723" s="155"/>
      <c r="K723" s="155"/>
      <c r="L723" s="156"/>
      <c r="M723" s="401" t="s">
        <v>1702</v>
      </c>
      <c r="N723" s="380"/>
      <c r="O723" s="381" t="s">
        <v>1701</v>
      </c>
      <c r="P723" s="382"/>
      <c r="Q723" s="383"/>
      <c r="R723" s="376" t="s">
        <v>1259</v>
      </c>
      <c r="S723" s="378"/>
      <c r="T723" s="330">
        <v>0</v>
      </c>
      <c r="W723" s="112" t="s">
        <v>1699</v>
      </c>
      <c r="X723" s="61"/>
      <c r="Y723" s="274">
        <v>62000</v>
      </c>
      <c r="Z723" s="241">
        <f t="shared" si="82"/>
        <v>62000</v>
      </c>
      <c r="AB723" s="196"/>
      <c r="AC723" s="199"/>
    </row>
    <row r="724" spans="1:29" ht="20.100000000000001" customHeight="1" x14ac:dyDescent="0.25">
      <c r="A724" s="36"/>
      <c r="B724" s="143">
        <f t="shared" si="84"/>
        <v>668</v>
      </c>
      <c r="C724" s="87">
        <v>688</v>
      </c>
      <c r="D724" s="280" t="str">
        <f>HYPERLINK("https://sites.wustl.edu/meteoritesite/items/lm_nwa_16761/",W724)</f>
        <v>Northwest Africa 16761</v>
      </c>
      <c r="E724" s="376" t="s">
        <v>603</v>
      </c>
      <c r="F724" s="377"/>
      <c r="G724" s="377"/>
      <c r="H724" s="378"/>
      <c r="I724" s="286"/>
      <c r="J724" s="155"/>
      <c r="K724" s="155"/>
      <c r="L724" s="156"/>
      <c r="M724" s="379">
        <v>76.099999999999994</v>
      </c>
      <c r="N724" s="380"/>
      <c r="O724" s="381" t="s">
        <v>886</v>
      </c>
      <c r="P724" s="382"/>
      <c r="Q724" s="383"/>
      <c r="R724" s="376" t="s">
        <v>1259</v>
      </c>
      <c r="S724" s="378"/>
      <c r="T724" s="330">
        <v>0</v>
      </c>
      <c r="W724" s="112" t="s">
        <v>1667</v>
      </c>
      <c r="X724" s="61"/>
      <c r="Y724" s="274">
        <v>75.599999999999994</v>
      </c>
      <c r="Z724" s="249">
        <f t="shared" si="82"/>
        <v>75.599999999999994</v>
      </c>
      <c r="AB724" s="196"/>
      <c r="AC724" s="199"/>
    </row>
    <row r="725" spans="1:29" ht="20.100000000000001" customHeight="1" x14ac:dyDescent="0.25">
      <c r="A725" s="36"/>
      <c r="B725" s="143">
        <f t="shared" si="84"/>
        <v>669</v>
      </c>
      <c r="C725" s="87">
        <v>691</v>
      </c>
      <c r="D725" s="280" t="str">
        <f>HYPERLINK("https://sites.wustl.edu/meteoritesite/items/lm_nwa_16784/",W725)</f>
        <v>Northwest Africa 16784</v>
      </c>
      <c r="E725" s="376" t="s">
        <v>1768</v>
      </c>
      <c r="F725" s="377"/>
      <c r="G725" s="377"/>
      <c r="H725" s="378"/>
      <c r="I725" s="286"/>
      <c r="J725" s="155"/>
      <c r="K725" s="155"/>
      <c r="L725" s="156"/>
      <c r="M725" s="379" t="s">
        <v>1674</v>
      </c>
      <c r="N725" s="380"/>
      <c r="O725" s="381" t="s">
        <v>1675</v>
      </c>
      <c r="P725" s="382"/>
      <c r="Q725" s="383"/>
      <c r="R725" s="376" t="s">
        <v>1326</v>
      </c>
      <c r="S725" s="378"/>
      <c r="T725" s="330">
        <v>0</v>
      </c>
      <c r="W725" s="112" t="s">
        <v>1673</v>
      </c>
      <c r="X725" s="61"/>
      <c r="Y725" s="260">
        <v>650</v>
      </c>
      <c r="Z725" s="241">
        <f t="shared" ref="Z725:Z774" si="87">Y725</f>
        <v>650</v>
      </c>
      <c r="AB725" s="196"/>
      <c r="AC725" s="199"/>
    </row>
    <row r="726" spans="1:29" ht="20.100000000000001" customHeight="1" x14ac:dyDescent="0.25">
      <c r="A726" s="36"/>
      <c r="B726" s="143">
        <f t="shared" si="84"/>
        <v>670</v>
      </c>
      <c r="C726" s="87">
        <v>709</v>
      </c>
      <c r="D726" s="280" t="str">
        <f>HYPERLINK("https://sites.wustl.edu/meteoritesite/items/lm_nwa_16881/",W726)</f>
        <v>Northwest Africa 16881</v>
      </c>
      <c r="E726" s="376" t="s">
        <v>603</v>
      </c>
      <c r="F726" s="377"/>
      <c r="G726" s="377"/>
      <c r="H726" s="378"/>
      <c r="I726" s="286"/>
      <c r="J726" s="155"/>
      <c r="K726" s="155"/>
      <c r="L726" s="156"/>
      <c r="M726" s="379">
        <v>1072</v>
      </c>
      <c r="N726" s="380"/>
      <c r="O726" s="381" t="s">
        <v>1738</v>
      </c>
      <c r="P726" s="382"/>
      <c r="Q726" s="383"/>
      <c r="R726" s="376" t="s">
        <v>1259</v>
      </c>
      <c r="S726" s="378"/>
      <c r="T726" s="330">
        <v>0</v>
      </c>
      <c r="W726" s="112" t="s">
        <v>1737</v>
      </c>
      <c r="X726" s="61"/>
      <c r="Y726" s="274">
        <v>1072</v>
      </c>
      <c r="Z726" s="241">
        <f t="shared" ref="Z726" si="88">Y726</f>
        <v>1072</v>
      </c>
      <c r="AB726" s="196"/>
      <c r="AC726" s="199"/>
    </row>
    <row r="727" spans="1:29" ht="20.100000000000001" customHeight="1" x14ac:dyDescent="0.25">
      <c r="A727" s="36"/>
      <c r="B727" s="143">
        <f>B726+1</f>
        <v>671</v>
      </c>
      <c r="C727" s="87">
        <v>698</v>
      </c>
      <c r="D727" s="280" t="str">
        <f>HYPERLINK("https://sites.wustl.edu/meteoritesite/items/lm_nwa_16882/",W727)</f>
        <v>Northwest Africa 16882</v>
      </c>
      <c r="E727" s="376" t="s">
        <v>603</v>
      </c>
      <c r="F727" s="377"/>
      <c r="G727" s="377"/>
      <c r="H727" s="378"/>
      <c r="I727" s="286"/>
      <c r="J727" s="155"/>
      <c r="K727" s="155"/>
      <c r="L727" s="156"/>
      <c r="M727" s="379">
        <v>65</v>
      </c>
      <c r="N727" s="380"/>
      <c r="O727" s="381" t="s">
        <v>1495</v>
      </c>
      <c r="P727" s="382"/>
      <c r="Q727" s="383"/>
      <c r="R727" s="376" t="s">
        <v>1554</v>
      </c>
      <c r="S727" s="378"/>
      <c r="T727" s="330">
        <v>0</v>
      </c>
      <c r="W727" s="112" t="s">
        <v>1700</v>
      </c>
      <c r="X727" s="61"/>
      <c r="Y727" s="274">
        <v>65</v>
      </c>
      <c r="Z727" s="241">
        <f t="shared" si="87"/>
        <v>65</v>
      </c>
      <c r="AB727" s="196"/>
      <c r="AC727" s="199"/>
    </row>
    <row r="728" spans="1:29" ht="20.100000000000001" customHeight="1" x14ac:dyDescent="0.25">
      <c r="A728" s="36"/>
      <c r="B728" s="143">
        <f t="shared" si="84"/>
        <v>672</v>
      </c>
      <c r="C728" s="87">
        <v>708</v>
      </c>
      <c r="D728" s="280" t="str">
        <f>HYPERLINK("https://sites.wustl.edu/meteoritesite/items/lm_nwa_16888/",W728)</f>
        <v>Northwest Africa 16888</v>
      </c>
      <c r="E728" s="376" t="s">
        <v>1730</v>
      </c>
      <c r="F728" s="377"/>
      <c r="G728" s="377"/>
      <c r="H728" s="378"/>
      <c r="I728" s="286"/>
      <c r="J728" s="155"/>
      <c r="K728" s="155"/>
      <c r="L728" s="156"/>
      <c r="M728" s="379" t="s">
        <v>1727</v>
      </c>
      <c r="N728" s="380"/>
      <c r="O728" s="381" t="s">
        <v>1675</v>
      </c>
      <c r="P728" s="382"/>
      <c r="Q728" s="383"/>
      <c r="R728" s="376" t="s">
        <v>1739</v>
      </c>
      <c r="S728" s="378"/>
      <c r="T728" s="330">
        <v>0</v>
      </c>
      <c r="W728" s="112" t="s">
        <v>1726</v>
      </c>
      <c r="X728" s="61"/>
      <c r="Y728" s="274">
        <v>50</v>
      </c>
      <c r="Z728" s="241">
        <f t="shared" ref="Z728" si="89">Y728</f>
        <v>50</v>
      </c>
      <c r="AB728" s="196"/>
      <c r="AC728" s="199"/>
    </row>
    <row r="729" spans="1:29" ht="20.100000000000001" customHeight="1" x14ac:dyDescent="0.25">
      <c r="A729" s="36"/>
      <c r="B729" s="143">
        <f>B728+1</f>
        <v>673</v>
      </c>
      <c r="C729" s="87">
        <v>706</v>
      </c>
      <c r="D729" s="280" t="str">
        <f>HYPERLINK("https://sites.wustl.edu/meteoritesite/items/lm_nwa_16894",W729)</f>
        <v>Northwest Africa 16894</v>
      </c>
      <c r="E729" s="376" t="s">
        <v>603</v>
      </c>
      <c r="F729" s="377"/>
      <c r="G729" s="377"/>
      <c r="H729" s="378"/>
      <c r="I729" s="286"/>
      <c r="J729" s="155"/>
      <c r="K729" s="155"/>
      <c r="L729" s="156"/>
      <c r="M729" s="379" t="s">
        <v>1724</v>
      </c>
      <c r="N729" s="380"/>
      <c r="O729" s="381" t="s">
        <v>1723</v>
      </c>
      <c r="P729" s="382"/>
      <c r="Q729" s="383"/>
      <c r="R729" s="376" t="s">
        <v>562</v>
      </c>
      <c r="S729" s="378"/>
      <c r="T729" s="330">
        <v>0</v>
      </c>
      <c r="W729" s="112" t="s">
        <v>1721</v>
      </c>
      <c r="X729" s="61"/>
      <c r="Y729" s="274">
        <v>1230</v>
      </c>
      <c r="Z729" s="241">
        <f t="shared" ref="Z729" si="90">Y729</f>
        <v>1230</v>
      </c>
      <c r="AB729" s="196"/>
      <c r="AC729" s="199"/>
    </row>
    <row r="730" spans="1:29" ht="20.100000000000001" customHeight="1" x14ac:dyDescent="0.25">
      <c r="A730" s="36"/>
      <c r="B730" s="143">
        <f>B729+1</f>
        <v>674</v>
      </c>
      <c r="C730" s="87">
        <v>700</v>
      </c>
      <c r="D730" s="280" t="str">
        <f>HYPERLINK("https://sites.wustl.edu/meteoritesite/items/lm_nwa_16914",W730)</f>
        <v>Northwest Africa 16914</v>
      </c>
      <c r="E730" s="376" t="s">
        <v>603</v>
      </c>
      <c r="F730" s="377"/>
      <c r="G730" s="377"/>
      <c r="H730" s="378"/>
      <c r="I730" s="286"/>
      <c r="J730" s="155"/>
      <c r="K730" s="155"/>
      <c r="L730" s="156"/>
      <c r="M730" s="379">
        <v>52</v>
      </c>
      <c r="N730" s="380"/>
      <c r="O730" s="381" t="s">
        <v>1713</v>
      </c>
      <c r="P730" s="382"/>
      <c r="Q730" s="383"/>
      <c r="R730" s="376" t="s">
        <v>1708</v>
      </c>
      <c r="S730" s="378"/>
      <c r="T730" s="330">
        <v>0</v>
      </c>
      <c r="W730" s="112" t="s">
        <v>1710</v>
      </c>
      <c r="X730" s="61"/>
      <c r="Y730" s="274">
        <v>52</v>
      </c>
      <c r="Z730" s="241">
        <f t="shared" si="87"/>
        <v>52</v>
      </c>
      <c r="AB730" s="196"/>
      <c r="AC730" s="199"/>
    </row>
    <row r="731" spans="1:29" ht="20.100000000000001" customHeight="1" x14ac:dyDescent="0.25">
      <c r="A731" s="36"/>
      <c r="B731" s="143">
        <f t="shared" si="84"/>
        <v>675</v>
      </c>
      <c r="C731" s="87">
        <v>702</v>
      </c>
      <c r="D731" s="280" t="str">
        <f>HYPERLINK("https://sites.wustl.edu/meteoritesite/items/lm_nwa_16974/",W731)</f>
        <v>Northwest Africa 16974</v>
      </c>
      <c r="E731" s="376" t="s">
        <v>603</v>
      </c>
      <c r="F731" s="377"/>
      <c r="G731" s="377"/>
      <c r="H731" s="378"/>
      <c r="I731" s="286"/>
      <c r="J731" s="155"/>
      <c r="K731" s="155"/>
      <c r="L731" s="156"/>
      <c r="M731" s="379" t="s">
        <v>1714</v>
      </c>
      <c r="N731" s="380"/>
      <c r="O731" s="381" t="s">
        <v>1701</v>
      </c>
      <c r="P731" s="382"/>
      <c r="Q731" s="383"/>
      <c r="R731" s="376" t="s">
        <v>6</v>
      </c>
      <c r="S731" s="378"/>
      <c r="T731" s="330">
        <v>0</v>
      </c>
      <c r="W731" s="112" t="s">
        <v>1711</v>
      </c>
      <c r="X731" s="61"/>
      <c r="Y731" s="274">
        <v>423</v>
      </c>
      <c r="Z731" s="241">
        <f t="shared" si="87"/>
        <v>423</v>
      </c>
      <c r="AB731" s="196"/>
      <c r="AC731" s="199"/>
    </row>
    <row r="732" spans="1:29" ht="36" customHeight="1" x14ac:dyDescent="0.25">
      <c r="A732" s="36"/>
      <c r="B732" s="125" t="s">
        <v>402</v>
      </c>
      <c r="C732" s="30" t="s">
        <v>1034</v>
      </c>
      <c r="D732" s="188" t="s">
        <v>915</v>
      </c>
      <c r="E732" s="420" t="s">
        <v>916</v>
      </c>
      <c r="F732" s="421"/>
      <c r="G732" s="421"/>
      <c r="H732" s="422"/>
      <c r="I732" s="423" t="s">
        <v>917</v>
      </c>
      <c r="J732" s="424"/>
      <c r="K732" s="424"/>
      <c r="L732" s="425"/>
      <c r="M732" s="430" t="s">
        <v>918</v>
      </c>
      <c r="N732" s="431"/>
      <c r="O732" s="426" t="s">
        <v>919</v>
      </c>
      <c r="P732" s="427"/>
      <c r="Q732" s="428"/>
      <c r="R732" s="423" t="s">
        <v>920</v>
      </c>
      <c r="S732" s="425"/>
      <c r="T732" s="5" t="s">
        <v>5</v>
      </c>
      <c r="Y732" s="243"/>
      <c r="AB732" s="196"/>
      <c r="AC732" s="199"/>
    </row>
    <row r="733" spans="1:29" ht="20.100000000000001" customHeight="1" x14ac:dyDescent="0.25">
      <c r="A733" s="36"/>
      <c r="B733" s="143">
        <f>B731+1</f>
        <v>676</v>
      </c>
      <c r="C733" s="87">
        <v>703</v>
      </c>
      <c r="D733" s="280" t="str">
        <f>HYPERLINK("https://sites.wustl.edu/meteoritesite/items/lm_nwa_14526/",W733)</f>
        <v>Northwest Africa 17021</v>
      </c>
      <c r="E733" s="376" t="s">
        <v>1766</v>
      </c>
      <c r="F733" s="377"/>
      <c r="G733" s="377"/>
      <c r="H733" s="378"/>
      <c r="I733" s="286"/>
      <c r="J733" s="155"/>
      <c r="K733" s="155"/>
      <c r="L733" s="156"/>
      <c r="M733" s="379" t="s">
        <v>1715</v>
      </c>
      <c r="N733" s="380"/>
      <c r="O733" s="381" t="s">
        <v>1076</v>
      </c>
      <c r="P733" s="382"/>
      <c r="Q733" s="383"/>
      <c r="R733" s="376" t="s">
        <v>1145</v>
      </c>
      <c r="S733" s="378"/>
      <c r="T733" s="330">
        <v>0</v>
      </c>
      <c r="W733" s="112" t="s">
        <v>1712</v>
      </c>
      <c r="X733" s="61"/>
      <c r="Y733" s="274">
        <v>589</v>
      </c>
      <c r="Z733" s="241">
        <f t="shared" si="87"/>
        <v>589</v>
      </c>
      <c r="AB733" s="196"/>
      <c r="AC733" s="199"/>
    </row>
    <row r="734" spans="1:29" ht="20.100000000000001" customHeight="1" x14ac:dyDescent="0.25">
      <c r="A734" s="36"/>
      <c r="B734" s="143">
        <f>B733+1</f>
        <v>677</v>
      </c>
      <c r="C734" s="87">
        <v>713</v>
      </c>
      <c r="D734" s="280" t="str">
        <f>HYPERLINK("https://sites.wustl.edu/meteoritesite/items/lm_nwa_17060/",W734)</f>
        <v>Northwest Africa 17060</v>
      </c>
      <c r="E734" s="376" t="s">
        <v>603</v>
      </c>
      <c r="F734" s="377"/>
      <c r="G734" s="377"/>
      <c r="H734" s="378"/>
      <c r="I734" s="286"/>
      <c r="J734" s="155"/>
      <c r="K734" s="155"/>
      <c r="L734" s="156"/>
      <c r="M734" s="379">
        <v>137</v>
      </c>
      <c r="N734" s="380"/>
      <c r="O734" s="381" t="s">
        <v>1495</v>
      </c>
      <c r="P734" s="382"/>
      <c r="Q734" s="383"/>
      <c r="R734" s="376" t="s">
        <v>1259</v>
      </c>
      <c r="S734" s="378"/>
      <c r="T734" s="330">
        <v>0</v>
      </c>
      <c r="W734" s="112" t="s">
        <v>1740</v>
      </c>
      <c r="X734" s="61"/>
      <c r="Y734" s="274">
        <v>137</v>
      </c>
      <c r="Z734" s="241">
        <f t="shared" si="87"/>
        <v>137</v>
      </c>
      <c r="AB734" s="196"/>
      <c r="AC734" s="199"/>
    </row>
    <row r="735" spans="1:29" ht="20.100000000000001" customHeight="1" x14ac:dyDescent="0.25">
      <c r="A735" s="36"/>
      <c r="B735" s="143">
        <f t="shared" ref="B735:B773" si="91">B734+1</f>
        <v>678</v>
      </c>
      <c r="C735" s="87">
        <v>714</v>
      </c>
      <c r="D735" s="280" t="str">
        <f>HYPERLINK("https://sites.wustl.edu/meteoritesite/items/lm_nwa_17061/",W735)</f>
        <v>Northwest Africa 17061</v>
      </c>
      <c r="E735" s="376" t="s">
        <v>603</v>
      </c>
      <c r="F735" s="377"/>
      <c r="G735" s="377"/>
      <c r="H735" s="378"/>
      <c r="I735" s="286"/>
      <c r="J735" s="155"/>
      <c r="K735" s="155"/>
      <c r="L735" s="156"/>
      <c r="M735" s="379">
        <v>2900</v>
      </c>
      <c r="N735" s="380"/>
      <c r="O735" s="381" t="s">
        <v>1495</v>
      </c>
      <c r="P735" s="382"/>
      <c r="Q735" s="383"/>
      <c r="R735" s="376" t="s">
        <v>1259</v>
      </c>
      <c r="S735" s="378"/>
      <c r="T735" s="330">
        <v>0</v>
      </c>
      <c r="W735" s="112" t="s">
        <v>1741</v>
      </c>
      <c r="X735" s="61"/>
      <c r="Y735" s="274">
        <v>2900</v>
      </c>
      <c r="Z735" s="241">
        <f t="shared" si="87"/>
        <v>2900</v>
      </c>
      <c r="AB735" s="196"/>
      <c r="AC735" s="199"/>
    </row>
    <row r="736" spans="1:29" ht="20.100000000000001" customHeight="1" x14ac:dyDescent="0.25">
      <c r="A736" s="36"/>
      <c r="B736" s="143">
        <f t="shared" si="91"/>
        <v>679</v>
      </c>
      <c r="C736" s="87">
        <v>710</v>
      </c>
      <c r="D736" s="280" t="str">
        <f>HYPERLINK("https://sites.wustl.edu/meteoritesite/items/lm_nwa_17209/",W736)</f>
        <v>Northwest Africa 17209</v>
      </c>
      <c r="E736" s="376" t="s">
        <v>603</v>
      </c>
      <c r="F736" s="377"/>
      <c r="G736" s="377"/>
      <c r="H736" s="378"/>
      <c r="I736" s="286"/>
      <c r="J736" s="155"/>
      <c r="K736" s="155"/>
      <c r="L736" s="156"/>
      <c r="M736" s="379">
        <v>1040</v>
      </c>
      <c r="N736" s="380"/>
      <c r="O736" s="381" t="s">
        <v>1701</v>
      </c>
      <c r="P736" s="382"/>
      <c r="Q736" s="383"/>
      <c r="R736" s="376" t="s">
        <v>1259</v>
      </c>
      <c r="S736" s="378"/>
      <c r="T736" s="330">
        <v>0</v>
      </c>
      <c r="W736" s="112" t="s">
        <v>1742</v>
      </c>
      <c r="X736" s="61"/>
      <c r="Y736" s="274">
        <v>1040</v>
      </c>
      <c r="Z736" s="241">
        <f t="shared" si="87"/>
        <v>1040</v>
      </c>
      <c r="AB736" s="196"/>
      <c r="AC736" s="199"/>
    </row>
    <row r="737" spans="1:29" ht="20.100000000000001" customHeight="1" x14ac:dyDescent="0.25">
      <c r="A737" s="36"/>
      <c r="B737" s="143">
        <f t="shared" si="91"/>
        <v>680</v>
      </c>
      <c r="C737" s="87">
        <v>711</v>
      </c>
      <c r="D737" s="280" t="str">
        <f>HYPERLINK("https://sites.wustl.edu/meteoritesite/items/lm_nwa_17217/",W737)</f>
        <v>Northwest Africa 17217</v>
      </c>
      <c r="E737" s="376" t="s">
        <v>603</v>
      </c>
      <c r="F737" s="377"/>
      <c r="G737" s="377"/>
      <c r="H737" s="378"/>
      <c r="I737" s="286"/>
      <c r="J737" s="155"/>
      <c r="K737" s="155"/>
      <c r="L737" s="156"/>
      <c r="M737" s="379">
        <v>300</v>
      </c>
      <c r="N737" s="380"/>
      <c r="O737" s="381" t="s">
        <v>1495</v>
      </c>
      <c r="P737" s="382"/>
      <c r="Q737" s="383"/>
      <c r="R737" s="376" t="s">
        <v>6</v>
      </c>
      <c r="S737" s="378"/>
      <c r="T737" s="330">
        <v>0</v>
      </c>
      <c r="W737" s="112" t="s">
        <v>1743</v>
      </c>
      <c r="X737" s="61"/>
      <c r="Y737" s="274">
        <v>300</v>
      </c>
      <c r="Z737" s="241">
        <f t="shared" si="87"/>
        <v>300</v>
      </c>
      <c r="AB737" s="196"/>
      <c r="AC737" s="199"/>
    </row>
    <row r="738" spans="1:29" ht="20.100000000000001" customHeight="1" x14ac:dyDescent="0.25">
      <c r="A738" s="36"/>
      <c r="B738" s="143">
        <f t="shared" si="91"/>
        <v>681</v>
      </c>
      <c r="C738" s="87">
        <v>716</v>
      </c>
      <c r="D738" s="280" t="str">
        <f>HYPERLINK("https://sites.wustl.edu/meteoritesite/items/lm_nwa_17241/",W738)</f>
        <v>Northwest Africa 17241</v>
      </c>
      <c r="E738" s="376" t="s">
        <v>603</v>
      </c>
      <c r="F738" s="377"/>
      <c r="G738" s="377"/>
      <c r="H738" s="378"/>
      <c r="I738" s="286"/>
      <c r="J738" s="155"/>
      <c r="K738" s="155"/>
      <c r="L738" s="156"/>
      <c r="M738" s="379">
        <v>215</v>
      </c>
      <c r="N738" s="380"/>
      <c r="O738" s="381" t="s">
        <v>1713</v>
      </c>
      <c r="P738" s="382"/>
      <c r="Q738" s="383"/>
      <c r="R738" s="376" t="s">
        <v>6</v>
      </c>
      <c r="S738" s="378"/>
      <c r="T738" s="330">
        <v>0</v>
      </c>
      <c r="W738" s="112" t="s">
        <v>1745</v>
      </c>
      <c r="X738" s="61"/>
      <c r="Y738" s="274">
        <v>215</v>
      </c>
      <c r="Z738" s="241">
        <f t="shared" ref="Z738:Z741" si="92">Y738</f>
        <v>215</v>
      </c>
      <c r="AB738" s="196"/>
      <c r="AC738" s="199"/>
    </row>
    <row r="739" spans="1:29" ht="20.100000000000001" customHeight="1" x14ac:dyDescent="0.25">
      <c r="A739" s="36"/>
      <c r="B739" s="143">
        <f t="shared" si="91"/>
        <v>682</v>
      </c>
      <c r="C739" s="87">
        <v>727</v>
      </c>
      <c r="D739" s="280" t="str">
        <f>HYPERLINK("https://sites.wustl.edu/meteoritesite/items/lm_nwa_17270/",W739)</f>
        <v>Northwest Africa 17270</v>
      </c>
      <c r="E739" s="376" t="s">
        <v>603</v>
      </c>
      <c r="F739" s="377"/>
      <c r="G739" s="377"/>
      <c r="H739" s="378"/>
      <c r="I739" s="286"/>
      <c r="J739" s="155"/>
      <c r="K739" s="155"/>
      <c r="L739" s="156"/>
      <c r="M739" s="379">
        <v>29.6</v>
      </c>
      <c r="N739" s="380"/>
      <c r="O739" s="381" t="s">
        <v>1719</v>
      </c>
      <c r="P739" s="382"/>
      <c r="Q739" s="383"/>
      <c r="R739" s="376" t="s">
        <v>1259</v>
      </c>
      <c r="S739" s="378"/>
      <c r="T739" s="330">
        <v>0</v>
      </c>
      <c r="W739" s="112" t="s">
        <v>1761</v>
      </c>
      <c r="X739" s="61"/>
      <c r="Y739" s="274">
        <v>39.6</v>
      </c>
      <c r="Z739" s="249">
        <f t="shared" si="92"/>
        <v>39.6</v>
      </c>
      <c r="AB739" s="196"/>
      <c r="AC739" s="199"/>
    </row>
    <row r="740" spans="1:29" ht="20.100000000000001" customHeight="1" x14ac:dyDescent="0.25">
      <c r="A740" s="36"/>
      <c r="B740" s="143">
        <f t="shared" si="91"/>
        <v>683</v>
      </c>
      <c r="C740" s="87">
        <v>728</v>
      </c>
      <c r="D740" s="280" t="str">
        <f>HYPERLINK("https://sites.wustl.edu/meteoritesite/items/lm_nwa_17271/",W740)</f>
        <v>Northwest Africa 17271</v>
      </c>
      <c r="E740" s="376" t="s">
        <v>603</v>
      </c>
      <c r="F740" s="377"/>
      <c r="G740" s="377"/>
      <c r="H740" s="378"/>
      <c r="I740" s="286"/>
      <c r="J740" s="155"/>
      <c r="K740" s="155"/>
      <c r="L740" s="156"/>
      <c r="M740" s="401">
        <v>103</v>
      </c>
      <c r="N740" s="429"/>
      <c r="O740" s="381" t="s">
        <v>1719</v>
      </c>
      <c r="P740" s="382"/>
      <c r="Q740" s="383"/>
      <c r="R740" s="376" t="s">
        <v>6</v>
      </c>
      <c r="S740" s="378"/>
      <c r="T740" s="330">
        <v>0</v>
      </c>
      <c r="W740" s="112" t="s">
        <v>1762</v>
      </c>
      <c r="X740" s="61"/>
      <c r="Y740" s="274">
        <v>103</v>
      </c>
      <c r="Z740" s="241">
        <f t="shared" si="92"/>
        <v>103</v>
      </c>
      <c r="AB740" s="196"/>
      <c r="AC740" s="199"/>
    </row>
    <row r="741" spans="1:29" ht="20.100000000000001" customHeight="1" x14ac:dyDescent="0.25">
      <c r="A741" s="36"/>
      <c r="B741" s="143">
        <f t="shared" si="91"/>
        <v>684</v>
      </c>
      <c r="C741" s="87">
        <v>729</v>
      </c>
      <c r="D741" s="280" t="str">
        <f>HYPERLINK("https://sites.wustl.edu/meteoritesite/items/lm_nwa_17276/",W741)</f>
        <v>Northwest Africa 17276</v>
      </c>
      <c r="E741" s="376" t="s">
        <v>603</v>
      </c>
      <c r="F741" s="377"/>
      <c r="G741" s="377"/>
      <c r="H741" s="378"/>
      <c r="I741" s="286"/>
      <c r="J741" s="155"/>
      <c r="K741" s="155"/>
      <c r="L741" s="156"/>
      <c r="M741" s="401">
        <v>420</v>
      </c>
      <c r="N741" s="429"/>
      <c r="O741" s="381" t="s">
        <v>1719</v>
      </c>
      <c r="P741" s="382"/>
      <c r="Q741" s="383"/>
      <c r="R741" s="376" t="s">
        <v>1259</v>
      </c>
      <c r="S741" s="378"/>
      <c r="T741" s="330">
        <v>0</v>
      </c>
      <c r="W741" s="112" t="s">
        <v>1763</v>
      </c>
      <c r="X741" s="61"/>
      <c r="Y741" s="274">
        <v>420</v>
      </c>
      <c r="Z741" s="241">
        <f t="shared" si="92"/>
        <v>420</v>
      </c>
      <c r="AB741" s="196"/>
      <c r="AC741" s="199"/>
    </row>
    <row r="742" spans="1:29" ht="20.100000000000001" customHeight="1" x14ac:dyDescent="0.25">
      <c r="A742" s="36"/>
      <c r="B742" s="143">
        <f t="shared" si="91"/>
        <v>685</v>
      </c>
      <c r="C742" s="87">
        <v>717</v>
      </c>
      <c r="D742" s="280" t="str">
        <f>HYPERLINK("https://sites.wustl.edu/meteoritesite/items/lm_nwa_17294/",W742)</f>
        <v>Northwest Africa 17294</v>
      </c>
      <c r="E742" s="376" t="s">
        <v>603</v>
      </c>
      <c r="F742" s="377"/>
      <c r="G742" s="377"/>
      <c r="H742" s="378"/>
      <c r="I742" s="286"/>
      <c r="J742" s="155"/>
      <c r="K742" s="155"/>
      <c r="L742" s="156"/>
      <c r="M742" s="401">
        <v>14700</v>
      </c>
      <c r="N742" s="429"/>
      <c r="O742" s="381" t="s">
        <v>1701</v>
      </c>
      <c r="P742" s="382"/>
      <c r="Q742" s="383"/>
      <c r="R742" s="376" t="s">
        <v>1151</v>
      </c>
      <c r="S742" s="378"/>
      <c r="T742" s="330">
        <v>0</v>
      </c>
      <c r="W742" s="112" t="s">
        <v>1746</v>
      </c>
      <c r="X742" s="61"/>
      <c r="Y742" s="274">
        <v>14700</v>
      </c>
      <c r="Z742" s="241">
        <f t="shared" ref="Z742" si="93">Y742</f>
        <v>14700</v>
      </c>
      <c r="AB742" s="196"/>
      <c r="AC742" s="199"/>
    </row>
    <row r="743" spans="1:29" ht="20.100000000000001" customHeight="1" x14ac:dyDescent="0.25">
      <c r="A743" s="36"/>
      <c r="B743" s="143">
        <f t="shared" si="91"/>
        <v>686</v>
      </c>
      <c r="C743" s="87">
        <v>719</v>
      </c>
      <c r="D743" s="280" t="str">
        <f>HYPERLINK("https://sites.wustl.edu/meteoritesite/items/lm_nwa_17295/",W743)</f>
        <v>Northwest Africa 17295</v>
      </c>
      <c r="E743" s="376" t="s">
        <v>603</v>
      </c>
      <c r="F743" s="377"/>
      <c r="G743" s="377"/>
      <c r="H743" s="378"/>
      <c r="I743" s="286"/>
      <c r="J743" s="155"/>
      <c r="K743" s="155"/>
      <c r="L743" s="156"/>
      <c r="M743" s="401">
        <v>11765</v>
      </c>
      <c r="N743" s="429"/>
      <c r="O743" s="381" t="s">
        <v>1750</v>
      </c>
      <c r="P743" s="382"/>
      <c r="Q743" s="383"/>
      <c r="R743" s="376" t="s">
        <v>1342</v>
      </c>
      <c r="S743" s="378"/>
      <c r="T743" s="330">
        <v>0</v>
      </c>
      <c r="W743" s="112" t="s">
        <v>1748</v>
      </c>
      <c r="X743" s="61"/>
      <c r="Y743" s="355">
        <v>11765</v>
      </c>
      <c r="Z743" s="241">
        <f t="shared" ref="Z743:Z755" si="94">Y743</f>
        <v>11765</v>
      </c>
      <c r="AB743" s="196"/>
      <c r="AC743" s="199"/>
    </row>
    <row r="744" spans="1:29" ht="20.100000000000001" customHeight="1" x14ac:dyDescent="0.25">
      <c r="A744" s="36"/>
      <c r="B744" s="143">
        <f t="shared" si="91"/>
        <v>687</v>
      </c>
      <c r="C744" s="87">
        <v>762</v>
      </c>
      <c r="D744" s="280" t="str">
        <f>HYPERLINK("https://sites.wustl.edu/meteoritesite/items/lm_nwa_17302/",W744)</f>
        <v>Northwest Africa 17302</v>
      </c>
      <c r="E744" s="376" t="s">
        <v>603</v>
      </c>
      <c r="F744" s="377"/>
      <c r="G744" s="377"/>
      <c r="H744" s="378"/>
      <c r="I744" s="286"/>
      <c r="J744" s="155"/>
      <c r="K744" s="155"/>
      <c r="L744" s="156"/>
      <c r="M744" s="379" t="s">
        <v>1833</v>
      </c>
      <c r="N744" s="380"/>
      <c r="O744" s="381" t="s">
        <v>907</v>
      </c>
      <c r="P744" s="382"/>
      <c r="Q744" s="359"/>
      <c r="R744" s="376" t="s">
        <v>1259</v>
      </c>
      <c r="S744" s="378"/>
      <c r="T744" s="330">
        <v>0</v>
      </c>
      <c r="W744" s="112" t="s">
        <v>1829</v>
      </c>
      <c r="X744" s="61"/>
      <c r="Y744" s="374">
        <v>150.44999999999999</v>
      </c>
      <c r="Z744" s="374">
        <f t="shared" si="94"/>
        <v>150.44999999999999</v>
      </c>
      <c r="AB744" s="196"/>
      <c r="AC744" s="199"/>
    </row>
    <row r="745" spans="1:29" ht="20.100000000000001" customHeight="1" x14ac:dyDescent="0.25">
      <c r="A745" s="36"/>
      <c r="B745" s="143">
        <f t="shared" si="91"/>
        <v>688</v>
      </c>
      <c r="C745" s="87">
        <v>763</v>
      </c>
      <c r="D745" s="280" t="str">
        <f>HYPERLINK("https://sites.wustl.edu/meteoritesite/items/lm_nwa_17313/",W745)</f>
        <v>Northwest Africa 17313</v>
      </c>
      <c r="E745" s="376" t="s">
        <v>603</v>
      </c>
      <c r="F745" s="377"/>
      <c r="G745" s="377"/>
      <c r="H745" s="378"/>
      <c r="I745" s="286"/>
      <c r="J745" s="155"/>
      <c r="K745" s="155"/>
      <c r="L745" s="156"/>
      <c r="M745" s="379">
        <v>1278</v>
      </c>
      <c r="N745" s="380"/>
      <c r="O745" s="381" t="s">
        <v>1757</v>
      </c>
      <c r="P745" s="382"/>
      <c r="Q745" s="383"/>
      <c r="R745" s="376" t="s">
        <v>1193</v>
      </c>
      <c r="S745" s="378"/>
      <c r="T745" s="330">
        <v>0</v>
      </c>
      <c r="W745" s="112" t="s">
        <v>1830</v>
      </c>
      <c r="X745" s="61"/>
      <c r="Y745" s="355">
        <v>1278</v>
      </c>
      <c r="Z745" s="241">
        <f t="shared" si="94"/>
        <v>1278</v>
      </c>
      <c r="AB745" s="196"/>
      <c r="AC745" s="199"/>
    </row>
    <row r="746" spans="1:29" ht="20.100000000000001" customHeight="1" x14ac:dyDescent="0.25">
      <c r="A746" s="36"/>
      <c r="B746" s="143">
        <f t="shared" si="91"/>
        <v>689</v>
      </c>
      <c r="C746" s="87">
        <v>721</v>
      </c>
      <c r="D746" s="280" t="str">
        <f>HYPERLINK("https://sites.wustl.edu/meteoritesite/items/lm_nwa_17307/",W746)</f>
        <v>Northwest Africa 17307</v>
      </c>
      <c r="E746" s="376" t="s">
        <v>603</v>
      </c>
      <c r="F746" s="377"/>
      <c r="G746" s="377"/>
      <c r="H746" s="378"/>
      <c r="I746" s="286"/>
      <c r="J746" s="155"/>
      <c r="K746" s="155"/>
      <c r="L746" s="156"/>
      <c r="M746" s="379">
        <v>1911</v>
      </c>
      <c r="N746" s="380"/>
      <c r="O746" s="381" t="s">
        <v>1757</v>
      </c>
      <c r="P746" s="382"/>
      <c r="Q746" s="383"/>
      <c r="R746" s="376" t="s">
        <v>6</v>
      </c>
      <c r="S746" s="378"/>
      <c r="T746" s="330">
        <v>0</v>
      </c>
      <c r="W746" s="112" t="s">
        <v>1755</v>
      </c>
      <c r="X746" s="61"/>
      <c r="Y746" s="355">
        <v>1911</v>
      </c>
      <c r="Z746" s="241">
        <f t="shared" si="94"/>
        <v>1911</v>
      </c>
      <c r="AB746" s="196"/>
      <c r="AC746" s="199"/>
    </row>
    <row r="747" spans="1:29" ht="20.100000000000001" customHeight="1" x14ac:dyDescent="0.25">
      <c r="A747" s="36"/>
      <c r="B747" s="143">
        <f t="shared" si="91"/>
        <v>690</v>
      </c>
      <c r="C747" s="87">
        <v>720</v>
      </c>
      <c r="D747" s="280" t="str">
        <f>HYPERLINK("https://sites.wustl.edu/meteoritesite/items/lm_nwa_17351/",W747)</f>
        <v>Northwest Africa 17351</v>
      </c>
      <c r="E747" s="376" t="s">
        <v>603</v>
      </c>
      <c r="F747" s="377"/>
      <c r="G747" s="377"/>
      <c r="H747" s="378"/>
      <c r="I747" s="286"/>
      <c r="J747" s="155"/>
      <c r="K747" s="155"/>
      <c r="L747" s="156"/>
      <c r="M747" s="401">
        <v>6</v>
      </c>
      <c r="N747" s="429"/>
      <c r="O747" s="381" t="s">
        <v>1640</v>
      </c>
      <c r="P747" s="382"/>
      <c r="Q747" s="383"/>
      <c r="R747" s="376" t="s">
        <v>1151</v>
      </c>
      <c r="S747" s="378"/>
      <c r="T747" s="330">
        <v>0</v>
      </c>
      <c r="W747" s="112" t="s">
        <v>1749</v>
      </c>
      <c r="X747" s="61"/>
      <c r="Y747" s="274">
        <v>6</v>
      </c>
      <c r="Z747" s="241">
        <f t="shared" si="94"/>
        <v>6</v>
      </c>
      <c r="AB747" s="196"/>
      <c r="AC747" s="199"/>
    </row>
    <row r="748" spans="1:29" ht="20.100000000000001" customHeight="1" x14ac:dyDescent="0.25">
      <c r="A748" s="36"/>
      <c r="B748" s="143">
        <f t="shared" si="91"/>
        <v>691</v>
      </c>
      <c r="C748" s="87">
        <v>730</v>
      </c>
      <c r="D748" s="280" t="str">
        <f>HYPERLINK("https://sites.wustl.edu/meteoritesite/items/lm_nwa_17353/",W748)</f>
        <v>Northwest Africa 17352</v>
      </c>
      <c r="E748" s="376" t="s">
        <v>1769</v>
      </c>
      <c r="F748" s="377"/>
      <c r="G748" s="377"/>
      <c r="H748" s="378"/>
      <c r="I748" s="286"/>
      <c r="J748" s="155"/>
      <c r="K748" s="155"/>
      <c r="L748" s="156"/>
      <c r="M748" s="401">
        <v>10000</v>
      </c>
      <c r="N748" s="429"/>
      <c r="O748" s="381" t="s">
        <v>1701</v>
      </c>
      <c r="P748" s="382"/>
      <c r="Q748" s="383"/>
      <c r="R748" s="376" t="s">
        <v>1259</v>
      </c>
      <c r="S748" s="378"/>
      <c r="T748" s="330">
        <v>0</v>
      </c>
      <c r="W748" s="112" t="s">
        <v>1764</v>
      </c>
      <c r="X748" s="61"/>
      <c r="Y748" s="274">
        <v>10000</v>
      </c>
      <c r="Z748" s="241">
        <f t="shared" si="94"/>
        <v>10000</v>
      </c>
      <c r="AB748" s="196"/>
      <c r="AC748" s="199"/>
    </row>
    <row r="749" spans="1:29" ht="20.100000000000001" customHeight="1" x14ac:dyDescent="0.25">
      <c r="A749" s="36"/>
      <c r="B749" s="143">
        <f t="shared" si="91"/>
        <v>692</v>
      </c>
      <c r="C749" s="87">
        <v>722</v>
      </c>
      <c r="D749" s="280" t="str">
        <f>HYPERLINK("https://sites.wustl.edu/meteoritesite/items/lm_nwa_17353/",W749)</f>
        <v>Northwest Africa 17353</v>
      </c>
      <c r="E749" s="376" t="s">
        <v>1770</v>
      </c>
      <c r="F749" s="377"/>
      <c r="G749" s="377"/>
      <c r="H749" s="378"/>
      <c r="I749" s="286"/>
      <c r="J749" s="155"/>
      <c r="K749" s="155"/>
      <c r="L749" s="156"/>
      <c r="M749" s="379">
        <v>1700</v>
      </c>
      <c r="N749" s="380"/>
      <c r="O749" s="381" t="s">
        <v>1701</v>
      </c>
      <c r="P749" s="382"/>
      <c r="Q749" s="383"/>
      <c r="R749" s="376" t="s">
        <v>6</v>
      </c>
      <c r="S749" s="378"/>
      <c r="T749" s="330">
        <v>0</v>
      </c>
      <c r="W749" s="112" t="s">
        <v>1756</v>
      </c>
      <c r="X749" s="61"/>
      <c r="Y749" s="274">
        <v>1700</v>
      </c>
      <c r="Z749" s="241">
        <f t="shared" si="94"/>
        <v>1700</v>
      </c>
      <c r="AB749" s="196"/>
      <c r="AC749" s="199"/>
    </row>
    <row r="750" spans="1:29" ht="20.100000000000001" customHeight="1" x14ac:dyDescent="0.25">
      <c r="A750" s="36"/>
      <c r="B750" s="143">
        <f t="shared" si="91"/>
        <v>693</v>
      </c>
      <c r="C750" s="87">
        <v>736</v>
      </c>
      <c r="D750" s="280" t="str">
        <f>HYPERLINK("https://sites.wustl.edu/meteoritesite/items/lm_nwa_17355/",W750)</f>
        <v>Northwest Africa 17355</v>
      </c>
      <c r="E750" s="376" t="s">
        <v>603</v>
      </c>
      <c r="F750" s="377"/>
      <c r="G750" s="377"/>
      <c r="H750" s="378"/>
      <c r="I750" s="286"/>
      <c r="J750" s="155"/>
      <c r="K750" s="155"/>
      <c r="L750" s="156"/>
      <c r="M750" s="379">
        <v>20</v>
      </c>
      <c r="N750" s="380"/>
      <c r="O750" s="381" t="s">
        <v>1312</v>
      </c>
      <c r="P750" s="382"/>
      <c r="Q750" s="383"/>
      <c r="R750" s="376" t="s">
        <v>1259</v>
      </c>
      <c r="S750" s="378"/>
      <c r="T750" s="330">
        <v>0</v>
      </c>
      <c r="W750" s="112" t="s">
        <v>1779</v>
      </c>
      <c r="X750" s="61"/>
      <c r="Y750" s="274">
        <v>20</v>
      </c>
      <c r="Z750" s="241">
        <f t="shared" si="94"/>
        <v>20</v>
      </c>
      <c r="AB750" s="196"/>
      <c r="AC750" s="199"/>
    </row>
    <row r="751" spans="1:29" ht="20.100000000000001" customHeight="1" x14ac:dyDescent="0.25">
      <c r="A751" s="36"/>
      <c r="B751" s="143">
        <f t="shared" si="91"/>
        <v>694</v>
      </c>
      <c r="C751" s="87">
        <v>735</v>
      </c>
      <c r="D751" s="280" t="str">
        <f>HYPERLINK("https://sites.wustl.edu/meteoritesite/items/lm_nwa_17405/",W751)</f>
        <v>Northwest Africa 17405</v>
      </c>
      <c r="E751" s="376" t="s">
        <v>603</v>
      </c>
      <c r="F751" s="377"/>
      <c r="G751" s="377"/>
      <c r="H751" s="378"/>
      <c r="I751" s="286"/>
      <c r="J751" s="155"/>
      <c r="K751" s="155"/>
      <c r="L751" s="156"/>
      <c r="M751" s="379">
        <v>799</v>
      </c>
      <c r="N751" s="380"/>
      <c r="O751" s="381" t="s">
        <v>1719</v>
      </c>
      <c r="P751" s="382"/>
      <c r="Q751" s="383"/>
      <c r="R751" s="376" t="s">
        <v>1259</v>
      </c>
      <c r="S751" s="378"/>
      <c r="T751" s="330">
        <v>0</v>
      </c>
      <c r="W751" s="112" t="s">
        <v>1778</v>
      </c>
      <c r="X751" s="61"/>
      <c r="Y751" s="274">
        <v>799</v>
      </c>
      <c r="Z751" s="241">
        <f t="shared" ref="Z751" si="95">Y751</f>
        <v>799</v>
      </c>
      <c r="AB751" s="196"/>
      <c r="AC751" s="199"/>
    </row>
    <row r="752" spans="1:29" ht="20.100000000000001" customHeight="1" x14ac:dyDescent="0.25">
      <c r="A752" s="36"/>
      <c r="B752" s="143">
        <f t="shared" si="91"/>
        <v>695</v>
      </c>
      <c r="C752" s="87">
        <v>742</v>
      </c>
      <c r="D752" s="280" t="str">
        <f>HYPERLINK("https://sites.wustl.edu/meteoritesite/items/lm_nwa_17471/",W752)</f>
        <v>Northwest Africa 17471</v>
      </c>
      <c r="E752" s="376" t="s">
        <v>603</v>
      </c>
      <c r="F752" s="377"/>
      <c r="G752" s="377"/>
      <c r="H752" s="378"/>
      <c r="I752" s="286"/>
      <c r="J752" s="155"/>
      <c r="K752" s="155"/>
      <c r="L752" s="156"/>
      <c r="M752" s="379" t="s">
        <v>1791</v>
      </c>
      <c r="N752" s="380"/>
      <c r="O752" s="381" t="s">
        <v>1790</v>
      </c>
      <c r="P752" s="382"/>
      <c r="Q752" s="383"/>
      <c r="R752" s="376" t="s">
        <v>6</v>
      </c>
      <c r="S752" s="378"/>
      <c r="T752" s="330">
        <v>0</v>
      </c>
      <c r="W752" s="112" t="s">
        <v>1788</v>
      </c>
      <c r="X752" s="61"/>
      <c r="Y752" s="274">
        <v>69.900000000000006</v>
      </c>
      <c r="Z752" s="249">
        <f t="shared" ref="Z752:Z753" si="96">Y752</f>
        <v>69.900000000000006</v>
      </c>
      <c r="AB752" s="196"/>
      <c r="AC752" s="199"/>
    </row>
    <row r="753" spans="1:29" ht="20.100000000000001" customHeight="1" x14ac:dyDescent="0.25">
      <c r="A753" s="36"/>
      <c r="B753" s="143">
        <f t="shared" si="91"/>
        <v>696</v>
      </c>
      <c r="C753" s="87">
        <v>764</v>
      </c>
      <c r="D753" s="280" t="str">
        <f>HYPERLINK("https://sites.wustl.edu/meteoritesite/items/lm_nwa_17497/",W753)</f>
        <v>Northwest Africa 17497</v>
      </c>
      <c r="E753" s="376" t="s">
        <v>603</v>
      </c>
      <c r="F753" s="377"/>
      <c r="G753" s="377"/>
      <c r="H753" s="378"/>
      <c r="I753" s="286"/>
      <c r="J753" s="155"/>
      <c r="K753" s="155"/>
      <c r="L753" s="156"/>
      <c r="M753" s="379" t="s">
        <v>1832</v>
      </c>
      <c r="N753" s="380"/>
      <c r="O753" s="381" t="s">
        <v>1719</v>
      </c>
      <c r="P753" s="382"/>
      <c r="Q753" s="383"/>
      <c r="R753" s="376" t="s">
        <v>6</v>
      </c>
      <c r="S753" s="378"/>
      <c r="T753" s="330">
        <v>0</v>
      </c>
      <c r="W753" s="112" t="s">
        <v>1831</v>
      </c>
      <c r="X753" s="61"/>
      <c r="Y753" s="274">
        <v>976</v>
      </c>
      <c r="Z753" s="241">
        <f t="shared" si="96"/>
        <v>976</v>
      </c>
      <c r="AB753" s="196"/>
      <c r="AC753" s="199"/>
    </row>
    <row r="754" spans="1:29" ht="20.100000000000001" customHeight="1" x14ac:dyDescent="0.25">
      <c r="A754" s="36"/>
      <c r="B754" s="143">
        <f>B753+1</f>
        <v>697</v>
      </c>
      <c r="C754" s="87">
        <v>731</v>
      </c>
      <c r="D754" s="280" t="str">
        <f>HYPERLINK("https://sites.wustl.edu/meteoritesite/items/lm_nwa_17353/",W754)</f>
        <v>Northwest Africa 17502</v>
      </c>
      <c r="E754" s="376" t="s">
        <v>1771</v>
      </c>
      <c r="F754" s="377"/>
      <c r="G754" s="377"/>
      <c r="H754" s="378"/>
      <c r="I754" s="286"/>
      <c r="J754" s="155"/>
      <c r="K754" s="155"/>
      <c r="L754" s="156"/>
      <c r="M754" s="379">
        <v>3300</v>
      </c>
      <c r="N754" s="380"/>
      <c r="O754" s="381" t="s">
        <v>1701</v>
      </c>
      <c r="P754" s="382"/>
      <c r="Q754" s="383"/>
      <c r="R754" s="376" t="s">
        <v>1259</v>
      </c>
      <c r="S754" s="378"/>
      <c r="T754" s="330">
        <v>0</v>
      </c>
      <c r="W754" s="112" t="s">
        <v>1765</v>
      </c>
      <c r="X754" s="61"/>
      <c r="Y754" s="274">
        <v>3300</v>
      </c>
      <c r="Z754" s="241">
        <f t="shared" si="94"/>
        <v>3300</v>
      </c>
      <c r="AB754" s="196"/>
      <c r="AC754" s="199"/>
    </row>
    <row r="755" spans="1:29" ht="20.100000000000001" customHeight="1" x14ac:dyDescent="0.25">
      <c r="A755" s="36"/>
      <c r="B755" s="143">
        <f t="shared" si="91"/>
        <v>698</v>
      </c>
      <c r="C755" s="87">
        <v>743</v>
      </c>
      <c r="D755" s="280" t="str">
        <f>HYPERLINK("https://sites.wustl.edu/meteoritesite/items/lm_nwa_17581/",W755)</f>
        <v>Northwest Africa 17581</v>
      </c>
      <c r="E755" s="376" t="s">
        <v>603</v>
      </c>
      <c r="F755" s="377"/>
      <c r="G755" s="377"/>
      <c r="H755" s="378"/>
      <c r="I755" s="286"/>
      <c r="J755" s="155"/>
      <c r="K755" s="155"/>
      <c r="L755" s="156"/>
      <c r="M755" s="379">
        <v>455</v>
      </c>
      <c r="N755" s="380"/>
      <c r="O755" s="381" t="s">
        <v>1757</v>
      </c>
      <c r="P755" s="382"/>
      <c r="Q755" s="383"/>
      <c r="R755" s="376" t="s">
        <v>1259</v>
      </c>
      <c r="S755" s="378"/>
      <c r="T755" s="330">
        <v>0</v>
      </c>
      <c r="W755" s="112" t="s">
        <v>1789</v>
      </c>
      <c r="X755" s="61"/>
      <c r="Y755" s="274">
        <v>455</v>
      </c>
      <c r="Z755" s="241">
        <f t="shared" si="94"/>
        <v>455</v>
      </c>
      <c r="AB755" s="196"/>
      <c r="AC755" s="199"/>
    </row>
    <row r="756" spans="1:29" ht="20.100000000000001" customHeight="1" x14ac:dyDescent="0.25">
      <c r="A756" s="36"/>
      <c r="B756" s="143">
        <f t="shared" si="91"/>
        <v>699</v>
      </c>
      <c r="C756" s="87">
        <v>738</v>
      </c>
      <c r="D756" s="280" t="str">
        <f>HYPERLINK("https://sites.wustl.edu/meteoritesite/items/lm_nwa_17586/",W756)</f>
        <v>Northwest Africa 17586</v>
      </c>
      <c r="E756" s="376" t="s">
        <v>1784</v>
      </c>
      <c r="F756" s="377"/>
      <c r="G756" s="377"/>
      <c r="H756" s="378"/>
      <c r="I756" s="286"/>
      <c r="J756" s="155"/>
      <c r="K756" s="155"/>
      <c r="L756" s="156"/>
      <c r="M756" s="379">
        <v>112</v>
      </c>
      <c r="N756" s="380"/>
      <c r="O756" s="381" t="s">
        <v>1701</v>
      </c>
      <c r="P756" s="382"/>
      <c r="Q756" s="383"/>
      <c r="R756" s="376" t="s">
        <v>1259</v>
      </c>
      <c r="S756" s="378"/>
      <c r="T756" s="330">
        <v>0</v>
      </c>
      <c r="W756" s="112" t="s">
        <v>1781</v>
      </c>
      <c r="X756" s="61"/>
      <c r="Y756" s="274">
        <v>112</v>
      </c>
      <c r="Z756" s="241">
        <f t="shared" ref="Z756:Z758" si="97">Y756</f>
        <v>112</v>
      </c>
      <c r="AB756" s="196"/>
      <c r="AC756" s="199"/>
    </row>
    <row r="757" spans="1:29" ht="20.100000000000001" customHeight="1" x14ac:dyDescent="0.25">
      <c r="A757" s="36"/>
      <c r="B757" s="143">
        <f t="shared" si="91"/>
        <v>700</v>
      </c>
      <c r="C757" s="87">
        <v>739</v>
      </c>
      <c r="D757" s="280" t="str">
        <f>HYPERLINK("https://sites.wustl.edu/meteoritesite/items/lm_nwa_17586/",W757)</f>
        <v>Northwest Africa 17587</v>
      </c>
      <c r="E757" s="376" t="s">
        <v>1785</v>
      </c>
      <c r="F757" s="377"/>
      <c r="G757" s="377"/>
      <c r="H757" s="378"/>
      <c r="I757" s="286"/>
      <c r="J757" s="155"/>
      <c r="K757" s="155"/>
      <c r="L757" s="156"/>
      <c r="M757" s="379" t="s">
        <v>1783</v>
      </c>
      <c r="N757" s="380"/>
      <c r="O757" s="381" t="s">
        <v>1701</v>
      </c>
      <c r="P757" s="382"/>
      <c r="Q757" s="383"/>
      <c r="R757" s="376" t="s">
        <v>1259</v>
      </c>
      <c r="S757" s="378"/>
      <c r="T757" s="330">
        <v>0</v>
      </c>
      <c r="W757" s="112" t="s">
        <v>1782</v>
      </c>
      <c r="X757" s="61"/>
      <c r="Y757" s="274">
        <v>146</v>
      </c>
      <c r="Z757" s="241">
        <f t="shared" si="97"/>
        <v>146</v>
      </c>
      <c r="AB757" s="196"/>
      <c r="AC757" s="199"/>
    </row>
    <row r="758" spans="1:29" ht="20.100000000000001" customHeight="1" x14ac:dyDescent="0.25">
      <c r="A758" s="36"/>
      <c r="B758" s="143">
        <f t="shared" si="91"/>
        <v>701</v>
      </c>
      <c r="C758" s="87">
        <v>767</v>
      </c>
      <c r="D758" s="280" t="str">
        <f>HYPERLINK("https://sites.wustl.edu/meteoritesite/items/lm_nwa_17651/",W758)</f>
        <v>Northwest Africa 17651</v>
      </c>
      <c r="E758" s="376" t="s">
        <v>603</v>
      </c>
      <c r="F758" s="377"/>
      <c r="G758" s="377"/>
      <c r="H758" s="378"/>
      <c r="I758" s="286"/>
      <c r="J758" s="155"/>
      <c r="K758" s="155"/>
      <c r="L758" s="156"/>
      <c r="M758" s="379">
        <v>45.7</v>
      </c>
      <c r="N758" s="380"/>
      <c r="O758" s="381" t="s">
        <v>1675</v>
      </c>
      <c r="P758" s="382"/>
      <c r="Q758" s="383"/>
      <c r="R758" s="376" t="s">
        <v>1259</v>
      </c>
      <c r="S758" s="378"/>
      <c r="T758" s="330">
        <v>0</v>
      </c>
      <c r="W758" s="112" t="s">
        <v>1844</v>
      </c>
      <c r="X758" s="61"/>
      <c r="Y758" s="375">
        <v>45.7</v>
      </c>
      <c r="Z758" s="249">
        <f t="shared" si="97"/>
        <v>45.7</v>
      </c>
      <c r="AB758" s="196"/>
      <c r="AC758" s="199"/>
    </row>
    <row r="759" spans="1:29" ht="20.100000000000001" customHeight="1" x14ac:dyDescent="0.25">
      <c r="A759" s="36"/>
      <c r="B759" s="143">
        <f t="shared" si="91"/>
        <v>702</v>
      </c>
      <c r="C759" s="87">
        <v>746</v>
      </c>
      <c r="D759" s="280" t="str">
        <f>HYPERLINK("https://sites.wustl.edu/meteoritesite/items/lm_nwa_17679/",W759)</f>
        <v>Northwest Africa 17679</v>
      </c>
      <c r="E759" s="376" t="s">
        <v>603</v>
      </c>
      <c r="F759" s="377"/>
      <c r="G759" s="377"/>
      <c r="H759" s="378"/>
      <c r="I759" s="286"/>
      <c r="J759" s="155"/>
      <c r="K759" s="155"/>
      <c r="L759" s="156"/>
      <c r="M759" s="379">
        <v>1040</v>
      </c>
      <c r="N759" s="380"/>
      <c r="O759" s="381" t="s">
        <v>1796</v>
      </c>
      <c r="P759" s="382"/>
      <c r="Q759" s="383"/>
      <c r="R759" s="376" t="s">
        <v>6</v>
      </c>
      <c r="S759" s="378"/>
      <c r="T759" s="330">
        <v>0</v>
      </c>
      <c r="W759" s="112" t="s">
        <v>1795</v>
      </c>
      <c r="X759" s="61"/>
      <c r="Y759" s="274">
        <v>1040</v>
      </c>
      <c r="Z759" s="241">
        <f t="shared" ref="Z759:Z773" si="98">Y759</f>
        <v>1040</v>
      </c>
      <c r="AB759" s="196"/>
      <c r="AC759" s="199"/>
    </row>
    <row r="760" spans="1:29" ht="20.100000000000001" customHeight="1" x14ac:dyDescent="0.25">
      <c r="A760" s="36"/>
      <c r="B760" s="143">
        <f t="shared" si="91"/>
        <v>703</v>
      </c>
      <c r="C760" s="87">
        <v>768</v>
      </c>
      <c r="D760" s="280" t="str">
        <f>HYPERLINK("https://sites.wustl.edu/meteoritesite/items/lm_nwa_17680/",W760)</f>
        <v>Northwest Africa 17680</v>
      </c>
      <c r="E760" s="376" t="s">
        <v>603</v>
      </c>
      <c r="F760" s="377"/>
      <c r="G760" s="377"/>
      <c r="H760" s="378"/>
      <c r="I760" s="286"/>
      <c r="J760" s="155"/>
      <c r="K760" s="155"/>
      <c r="L760" s="156"/>
      <c r="M760" s="379">
        <v>580</v>
      </c>
      <c r="N760" s="380"/>
      <c r="O760" s="381" t="s">
        <v>1796</v>
      </c>
      <c r="P760" s="382"/>
      <c r="Q760" s="383"/>
      <c r="R760" s="376" t="s">
        <v>1259</v>
      </c>
      <c r="S760" s="378"/>
      <c r="T760" s="330">
        <v>0</v>
      </c>
      <c r="W760" s="112" t="s">
        <v>1845</v>
      </c>
      <c r="X760" s="61"/>
      <c r="Y760" s="355">
        <v>580</v>
      </c>
      <c r="Z760" s="241">
        <f t="shared" si="98"/>
        <v>580</v>
      </c>
      <c r="AB760" s="196"/>
      <c r="AC760" s="199"/>
    </row>
    <row r="761" spans="1:29" ht="20.100000000000001" customHeight="1" x14ac:dyDescent="0.25">
      <c r="A761" s="36"/>
      <c r="B761" s="143">
        <f t="shared" si="91"/>
        <v>704</v>
      </c>
      <c r="C761" s="87">
        <v>759</v>
      </c>
      <c r="D761" s="280" t="str">
        <f>HYPERLINK("https://sites.wustl.edu/meteoritesite/items/lm_nwa_17687/",W761)</f>
        <v>Northwest Africa 17687</v>
      </c>
      <c r="E761" s="376" t="s">
        <v>603</v>
      </c>
      <c r="F761" s="377"/>
      <c r="G761" s="377"/>
      <c r="H761" s="378"/>
      <c r="I761" s="286"/>
      <c r="J761" s="155"/>
      <c r="K761" s="155"/>
      <c r="L761" s="156"/>
      <c r="M761" s="379">
        <v>1700</v>
      </c>
      <c r="N761" s="380"/>
      <c r="O761" s="381" t="s">
        <v>1701</v>
      </c>
      <c r="P761" s="382"/>
      <c r="Q761" s="383"/>
      <c r="R761" s="376" t="s">
        <v>562</v>
      </c>
      <c r="S761" s="378"/>
      <c r="T761" s="330">
        <v>0</v>
      </c>
      <c r="W761" s="112" t="s">
        <v>1834</v>
      </c>
      <c r="X761" s="61"/>
      <c r="Y761" s="355">
        <v>1700</v>
      </c>
      <c r="Z761" s="241">
        <f t="shared" si="98"/>
        <v>1700</v>
      </c>
      <c r="AB761" s="196"/>
      <c r="AC761" s="199"/>
    </row>
    <row r="762" spans="1:29" ht="20.100000000000001" customHeight="1" x14ac:dyDescent="0.25">
      <c r="A762" s="36"/>
      <c r="B762" s="143">
        <f t="shared" si="91"/>
        <v>705</v>
      </c>
      <c r="C762" s="87">
        <v>760</v>
      </c>
      <c r="D762" s="280" t="str">
        <f>HYPERLINK("https://sites.wustl.edu/meteoritesite/items/lm_nwa_17688/",W762)</f>
        <v>Northwest Africa 17688</v>
      </c>
      <c r="E762" s="376" t="s">
        <v>603</v>
      </c>
      <c r="F762" s="377"/>
      <c r="G762" s="377"/>
      <c r="H762" s="378"/>
      <c r="I762" s="286"/>
      <c r="J762" s="155"/>
      <c r="K762" s="155"/>
      <c r="L762" s="156"/>
      <c r="M762" s="379" t="s">
        <v>1837</v>
      </c>
      <c r="N762" s="380"/>
      <c r="O762" s="381" t="s">
        <v>1701</v>
      </c>
      <c r="P762" s="382"/>
      <c r="Q762" s="383"/>
      <c r="R762" s="376" t="s">
        <v>1259</v>
      </c>
      <c r="S762" s="378"/>
      <c r="T762" s="330">
        <v>0</v>
      </c>
      <c r="W762" s="112" t="s">
        <v>1835</v>
      </c>
      <c r="X762" s="61"/>
      <c r="Y762" s="355">
        <v>1200</v>
      </c>
      <c r="Z762" s="241">
        <f t="shared" si="98"/>
        <v>1200</v>
      </c>
      <c r="AB762" s="196"/>
      <c r="AC762" s="199"/>
    </row>
    <row r="763" spans="1:29" ht="20.100000000000001" customHeight="1" x14ac:dyDescent="0.25">
      <c r="A763" s="36"/>
      <c r="B763" s="143">
        <f t="shared" si="91"/>
        <v>706</v>
      </c>
      <c r="C763" s="87">
        <v>761</v>
      </c>
      <c r="D763" s="280" t="str">
        <f>HYPERLINK("https://sites.wustl.edu/meteoritesite/items/lm_nwa_17689/",W763)</f>
        <v>Northwest Africa 17689</v>
      </c>
      <c r="E763" s="376" t="s">
        <v>603</v>
      </c>
      <c r="F763" s="377"/>
      <c r="G763" s="377"/>
      <c r="H763" s="378"/>
      <c r="I763" s="286"/>
      <c r="J763" s="155"/>
      <c r="K763" s="155"/>
      <c r="L763" s="156"/>
      <c r="M763" s="379" t="s">
        <v>1838</v>
      </c>
      <c r="N763" s="380"/>
      <c r="O763" s="381" t="s">
        <v>1701</v>
      </c>
      <c r="P763" s="382"/>
      <c r="Q763" s="383"/>
      <c r="R763" s="376" t="s">
        <v>1259</v>
      </c>
      <c r="S763" s="378"/>
      <c r="T763" s="330">
        <v>0</v>
      </c>
      <c r="W763" s="112" t="s">
        <v>1836</v>
      </c>
      <c r="X763" s="61"/>
      <c r="Y763" s="355">
        <v>1300</v>
      </c>
      <c r="Z763" s="241">
        <f t="shared" si="98"/>
        <v>1300</v>
      </c>
      <c r="AB763" s="196"/>
      <c r="AC763" s="199"/>
    </row>
    <row r="764" spans="1:29" ht="20.100000000000001" customHeight="1" x14ac:dyDescent="0.25">
      <c r="A764" s="36"/>
      <c r="B764" s="143">
        <f t="shared" si="91"/>
        <v>707</v>
      </c>
      <c r="C764" s="87">
        <v>769</v>
      </c>
      <c r="D764" s="280" t="str">
        <f>HYPERLINK("https://sites.wustl.edu/meteoritesite/items/lm_nwa_17700/",W764)</f>
        <v>Northwest Africa 17700</v>
      </c>
      <c r="E764" s="376" t="s">
        <v>603</v>
      </c>
      <c r="F764" s="377"/>
      <c r="G764" s="377"/>
      <c r="H764" s="378"/>
      <c r="I764" s="286"/>
      <c r="J764" s="155"/>
      <c r="K764" s="155"/>
      <c r="L764" s="156"/>
      <c r="M764" s="379" t="s">
        <v>1851</v>
      </c>
      <c r="N764" s="380"/>
      <c r="O764" s="381" t="s">
        <v>1843</v>
      </c>
      <c r="P764" s="382"/>
      <c r="Q764" s="383"/>
      <c r="R764" s="376" t="s">
        <v>1193</v>
      </c>
      <c r="S764" s="378"/>
      <c r="T764" s="330">
        <v>0</v>
      </c>
      <c r="W764" s="112" t="s">
        <v>1846</v>
      </c>
      <c r="X764" s="61"/>
      <c r="Y764" s="355">
        <v>2116</v>
      </c>
      <c r="Z764" s="241">
        <f t="shared" si="98"/>
        <v>2116</v>
      </c>
      <c r="AB764" s="196"/>
      <c r="AC764" s="199"/>
    </row>
    <row r="765" spans="1:29" ht="20.100000000000001" customHeight="1" x14ac:dyDescent="0.25">
      <c r="A765" s="36"/>
      <c r="B765" s="143">
        <f t="shared" si="91"/>
        <v>708</v>
      </c>
      <c r="C765" s="87">
        <v>770</v>
      </c>
      <c r="D765" s="280" t="str">
        <f>HYPERLINK("https://sites.wustl.edu/meteoritesite/items/lm_nwa_17706/",W765)</f>
        <v>Northwest Africa 17706</v>
      </c>
      <c r="E765" s="376" t="s">
        <v>603</v>
      </c>
      <c r="F765" s="377"/>
      <c r="G765" s="377"/>
      <c r="H765" s="378"/>
      <c r="I765" s="286"/>
      <c r="J765" s="155"/>
      <c r="K765" s="155"/>
      <c r="L765" s="156"/>
      <c r="M765" s="379" t="s">
        <v>1852</v>
      </c>
      <c r="N765" s="380"/>
      <c r="O765" s="381" t="s">
        <v>1859</v>
      </c>
      <c r="P765" s="382"/>
      <c r="Q765" s="383"/>
      <c r="R765" s="376" t="s">
        <v>1342</v>
      </c>
      <c r="S765" s="378"/>
      <c r="T765" s="330">
        <v>0</v>
      </c>
      <c r="W765" s="112" t="s">
        <v>1847</v>
      </c>
      <c r="X765" s="61"/>
      <c r="Y765" s="375">
        <v>327.9</v>
      </c>
      <c r="Z765" s="249">
        <f t="shared" si="98"/>
        <v>327.9</v>
      </c>
      <c r="AB765" s="196"/>
      <c r="AC765" s="199"/>
    </row>
    <row r="766" spans="1:29" ht="20.100000000000001" customHeight="1" x14ac:dyDescent="0.25">
      <c r="A766" s="36"/>
      <c r="B766" s="143">
        <f t="shared" si="91"/>
        <v>709</v>
      </c>
      <c r="C766" s="87">
        <v>749</v>
      </c>
      <c r="D766" s="280" t="str">
        <f>HYPERLINK("https://sites.wustl.edu/meteoritesite/items/lm_nwa_17716/",W766)</f>
        <v>Northwest Africa 17716</v>
      </c>
      <c r="E766" s="376" t="s">
        <v>603</v>
      </c>
      <c r="F766" s="377"/>
      <c r="G766" s="377"/>
      <c r="H766" s="378"/>
      <c r="I766" s="286"/>
      <c r="J766" s="155"/>
      <c r="K766" s="155"/>
      <c r="L766" s="156"/>
      <c r="M766" s="379">
        <v>130</v>
      </c>
      <c r="N766" s="380"/>
      <c r="O766" s="381" t="s">
        <v>1796</v>
      </c>
      <c r="P766" s="382"/>
      <c r="Q766" s="383"/>
      <c r="R766" s="376" t="s">
        <v>1259</v>
      </c>
      <c r="S766" s="378"/>
      <c r="T766" s="330">
        <v>0</v>
      </c>
      <c r="W766" s="112" t="s">
        <v>1806</v>
      </c>
      <c r="X766" s="61"/>
      <c r="Y766" s="274">
        <v>130</v>
      </c>
      <c r="Z766" s="241">
        <f t="shared" si="98"/>
        <v>130</v>
      </c>
      <c r="AB766" s="196"/>
      <c r="AC766" s="199"/>
    </row>
    <row r="767" spans="1:29" ht="20.100000000000001" customHeight="1" x14ac:dyDescent="0.25">
      <c r="A767" s="36"/>
      <c r="B767" s="143">
        <f t="shared" si="91"/>
        <v>710</v>
      </c>
      <c r="C767" s="87">
        <v>750</v>
      </c>
      <c r="D767" s="280" t="str">
        <f>HYPERLINK("https://sites.wustl.edu/meteoritesite/items/lm_nwa_17721/",W767)</f>
        <v>Northwest Africa 17721</v>
      </c>
      <c r="E767" s="376" t="s">
        <v>603</v>
      </c>
      <c r="F767" s="377"/>
      <c r="G767" s="377"/>
      <c r="H767" s="378"/>
      <c r="I767" s="286"/>
      <c r="J767" s="155"/>
      <c r="K767" s="155"/>
      <c r="L767" s="156"/>
      <c r="M767" s="379" t="s">
        <v>1809</v>
      </c>
      <c r="N767" s="380"/>
      <c r="O767" s="381" t="s">
        <v>1713</v>
      </c>
      <c r="P767" s="382"/>
      <c r="Q767" s="383"/>
      <c r="R767" s="376" t="s">
        <v>1259</v>
      </c>
      <c r="S767" s="378"/>
      <c r="T767" s="330">
        <v>0</v>
      </c>
      <c r="W767" s="112" t="s">
        <v>1807</v>
      </c>
      <c r="X767" s="61"/>
      <c r="Y767" s="274">
        <v>650</v>
      </c>
      <c r="Z767" s="241">
        <f t="shared" si="98"/>
        <v>650</v>
      </c>
      <c r="AB767" s="196"/>
      <c r="AC767" s="199"/>
    </row>
    <row r="768" spans="1:29" ht="20.100000000000001" customHeight="1" x14ac:dyDescent="0.25">
      <c r="A768" s="36"/>
      <c r="B768" s="143">
        <f t="shared" si="91"/>
        <v>711</v>
      </c>
      <c r="C768" s="87">
        <v>751</v>
      </c>
      <c r="D768" s="280" t="str">
        <f>HYPERLINK("https://sites.wustl.edu/meteoritesite/items/lm_nwa_17747/",W768)</f>
        <v>Northwest Africa 17747</v>
      </c>
      <c r="E768" s="376" t="s">
        <v>603</v>
      </c>
      <c r="F768" s="377"/>
      <c r="G768" s="377"/>
      <c r="H768" s="378"/>
      <c r="I768" s="286"/>
      <c r="J768" s="155"/>
      <c r="K768" s="155"/>
      <c r="L768" s="156"/>
      <c r="M768" s="379" t="s">
        <v>1811</v>
      </c>
      <c r="N768" s="380"/>
      <c r="O768" s="381" t="s">
        <v>1810</v>
      </c>
      <c r="P768" s="382"/>
      <c r="Q768" s="383"/>
      <c r="R768" s="376" t="s">
        <v>6</v>
      </c>
      <c r="S768" s="378"/>
      <c r="T768" s="330">
        <v>0</v>
      </c>
      <c r="W768" s="112" t="s">
        <v>1808</v>
      </c>
      <c r="X768" s="61"/>
      <c r="Y768" s="274">
        <v>2428</v>
      </c>
      <c r="Z768" s="241">
        <f t="shared" si="98"/>
        <v>2428</v>
      </c>
      <c r="AB768" s="196"/>
      <c r="AC768" s="199"/>
    </row>
    <row r="769" spans="1:36" ht="20.100000000000001" customHeight="1" x14ac:dyDescent="0.25">
      <c r="A769" s="36"/>
      <c r="B769" s="143">
        <f t="shared" si="91"/>
        <v>712</v>
      </c>
      <c r="C769" s="87">
        <v>771</v>
      </c>
      <c r="D769" s="280" t="str">
        <f>HYPERLINK("https://sites.wustl.edu/meteoritesite/items/lm_nwa_17826/",W769)</f>
        <v>Northwest Africa 17826</v>
      </c>
      <c r="E769" s="376" t="s">
        <v>603</v>
      </c>
      <c r="F769" s="377"/>
      <c r="G769" s="377"/>
      <c r="H769" s="378"/>
      <c r="I769" s="286"/>
      <c r="J769" s="155"/>
      <c r="K769" s="155"/>
      <c r="L769" s="156"/>
      <c r="M769" s="379" t="s">
        <v>1854</v>
      </c>
      <c r="N769" s="380" t="s">
        <v>1854</v>
      </c>
      <c r="O769" s="381" t="s">
        <v>1853</v>
      </c>
      <c r="P769" s="382"/>
      <c r="Q769" s="383"/>
      <c r="R769" s="376" t="s">
        <v>1193</v>
      </c>
      <c r="S769" s="378"/>
      <c r="T769" s="330">
        <v>0</v>
      </c>
      <c r="W769" s="112" t="s">
        <v>1848</v>
      </c>
      <c r="X769" s="61"/>
      <c r="Y769" s="355">
        <v>435</v>
      </c>
      <c r="Z769" s="241">
        <f t="shared" si="98"/>
        <v>435</v>
      </c>
      <c r="AB769" s="196"/>
      <c r="AC769" s="199"/>
    </row>
    <row r="770" spans="1:36" ht="20.100000000000001" customHeight="1" x14ac:dyDescent="0.25">
      <c r="A770" s="36"/>
      <c r="B770" s="143">
        <f t="shared" si="91"/>
        <v>713</v>
      </c>
      <c r="C770" s="87">
        <v>755</v>
      </c>
      <c r="D770" s="280" t="str">
        <f>HYPERLINK("https://sites.wustl.edu/meteoritesite/items/lm_nwa_17859/",W770)</f>
        <v>Northwest Africa 17859</v>
      </c>
      <c r="E770" s="376" t="s">
        <v>603</v>
      </c>
      <c r="F770" s="377"/>
      <c r="G770" s="377"/>
      <c r="H770" s="378"/>
      <c r="I770" s="286"/>
      <c r="J770" s="155"/>
      <c r="K770" s="155"/>
      <c r="L770" s="156"/>
      <c r="M770" s="379">
        <v>52.7</v>
      </c>
      <c r="N770" s="380"/>
      <c r="O770" s="381" t="s">
        <v>1796</v>
      </c>
      <c r="P770" s="382"/>
      <c r="Q770" s="383"/>
      <c r="R770" s="376" t="s">
        <v>6</v>
      </c>
      <c r="S770" s="378"/>
      <c r="T770" s="330">
        <v>0</v>
      </c>
      <c r="W770" s="112" t="s">
        <v>1818</v>
      </c>
      <c r="X770" s="61"/>
      <c r="Y770" s="274">
        <v>52.7</v>
      </c>
      <c r="Z770" s="249">
        <f t="shared" si="98"/>
        <v>52.7</v>
      </c>
      <c r="AB770" s="196"/>
      <c r="AC770" s="199"/>
    </row>
    <row r="771" spans="1:36" ht="20.100000000000001" customHeight="1" x14ac:dyDescent="0.25">
      <c r="A771" s="36"/>
      <c r="B771" s="143">
        <f t="shared" si="91"/>
        <v>714</v>
      </c>
      <c r="C771" s="87">
        <v>772</v>
      </c>
      <c r="D771" s="280" t="str">
        <f>HYPERLINK("https://sites.wustl.edu/meteoritesite/items/lm_nwa_17861/",W771)</f>
        <v>Northwest Africa 17861</v>
      </c>
      <c r="E771" s="376" t="s">
        <v>603</v>
      </c>
      <c r="F771" s="377"/>
      <c r="G771" s="377"/>
      <c r="H771" s="378"/>
      <c r="I771" s="286"/>
      <c r="J771" s="155"/>
      <c r="K771" s="155"/>
      <c r="L771" s="156"/>
      <c r="M771" s="379" t="s">
        <v>1856</v>
      </c>
      <c r="N771" s="380"/>
      <c r="O771" s="381" t="s">
        <v>1855</v>
      </c>
      <c r="P771" s="382"/>
      <c r="Q771" s="383"/>
      <c r="R771" s="376" t="s">
        <v>1193</v>
      </c>
      <c r="S771" s="378"/>
      <c r="T771" s="330">
        <v>0</v>
      </c>
      <c r="W771" s="112" t="s">
        <v>1849</v>
      </c>
      <c r="X771" s="61"/>
      <c r="Y771" s="355">
        <v>170</v>
      </c>
      <c r="Z771" s="241">
        <f t="shared" si="98"/>
        <v>170</v>
      </c>
      <c r="AB771" s="196"/>
      <c r="AC771" s="199"/>
    </row>
    <row r="772" spans="1:36" ht="20.100000000000001" customHeight="1" x14ac:dyDescent="0.25">
      <c r="A772" s="36"/>
      <c r="B772" s="143">
        <f t="shared" si="91"/>
        <v>715</v>
      </c>
      <c r="C772" s="87">
        <v>773</v>
      </c>
      <c r="D772" s="280" t="str">
        <f>HYPERLINK("https://sites.wustl.edu/meteoritesite/items/lm_nwa_17865/",W772)</f>
        <v>Northwest Africa 17865</v>
      </c>
      <c r="E772" s="376" t="s">
        <v>603</v>
      </c>
      <c r="F772" s="377"/>
      <c r="G772" s="377"/>
      <c r="H772" s="378"/>
      <c r="I772" s="286"/>
      <c r="J772" s="155"/>
      <c r="K772" s="155"/>
      <c r="L772" s="156"/>
      <c r="M772" s="379" t="s">
        <v>1858</v>
      </c>
      <c r="N772" s="380"/>
      <c r="O772" s="381" t="s">
        <v>1796</v>
      </c>
      <c r="P772" s="382"/>
      <c r="Q772" s="383"/>
      <c r="R772" s="376" t="s">
        <v>1342</v>
      </c>
      <c r="S772" s="378"/>
      <c r="T772" s="330">
        <v>0</v>
      </c>
      <c r="W772" s="112" t="s">
        <v>1850</v>
      </c>
      <c r="X772" s="61"/>
      <c r="Y772" s="373">
        <v>10200</v>
      </c>
      <c r="Z772" s="241">
        <f t="shared" si="98"/>
        <v>10200</v>
      </c>
      <c r="AB772" s="196"/>
      <c r="AC772" s="199"/>
    </row>
    <row r="773" spans="1:36" ht="20.100000000000001" customHeight="1" x14ac:dyDescent="0.25">
      <c r="A773" s="36"/>
      <c r="B773" s="143">
        <f t="shared" si="91"/>
        <v>716</v>
      </c>
      <c r="C773" s="87">
        <v>756</v>
      </c>
      <c r="D773" s="280" t="str">
        <f>HYPERLINK("https://sites.wustl.edu/meteoritesite/items/lm_nwa_17869/",W773)</f>
        <v>Northwest Africa 17869</v>
      </c>
      <c r="E773" s="376" t="s">
        <v>603</v>
      </c>
      <c r="F773" s="377"/>
      <c r="G773" s="377"/>
      <c r="H773" s="378"/>
      <c r="I773" s="286"/>
      <c r="J773" s="155"/>
      <c r="K773" s="155"/>
      <c r="L773" s="156"/>
      <c r="M773" s="379" t="s">
        <v>1821</v>
      </c>
      <c r="N773" s="380"/>
      <c r="O773" s="381" t="s">
        <v>1820</v>
      </c>
      <c r="P773" s="382"/>
      <c r="Q773" s="383"/>
      <c r="R773" s="376" t="s">
        <v>6</v>
      </c>
      <c r="S773" s="378"/>
      <c r="T773" s="330">
        <v>0</v>
      </c>
      <c r="W773" s="112" t="s">
        <v>1819</v>
      </c>
      <c r="X773" s="61"/>
      <c r="Y773" s="274">
        <v>179.9</v>
      </c>
      <c r="Z773" s="249">
        <f t="shared" si="98"/>
        <v>179.9</v>
      </c>
      <c r="AB773" s="196"/>
      <c r="AC773" s="199"/>
    </row>
    <row r="774" spans="1:36" ht="20.100000000000001" customHeight="1" x14ac:dyDescent="0.25">
      <c r="A774" s="36"/>
      <c r="B774" s="143"/>
      <c r="C774" s="87"/>
      <c r="D774" s="280"/>
      <c r="E774" s="278"/>
      <c r="F774" s="279"/>
      <c r="G774" s="279"/>
      <c r="H774" s="280"/>
      <c r="I774" s="286"/>
      <c r="J774" s="155"/>
      <c r="K774" s="155"/>
      <c r="L774" s="156"/>
      <c r="M774" s="281"/>
      <c r="N774" s="282"/>
      <c r="O774" s="357"/>
      <c r="P774" s="358"/>
      <c r="Q774" s="359"/>
      <c r="R774" s="278"/>
      <c r="S774" s="280"/>
      <c r="T774" s="330"/>
      <c r="W774" s="112"/>
      <c r="X774" s="61"/>
      <c r="Y774" s="274"/>
      <c r="Z774" s="241">
        <f t="shared" si="87"/>
        <v>0</v>
      </c>
      <c r="AB774" s="196"/>
      <c r="AC774" s="199"/>
    </row>
    <row r="775" spans="1:36" ht="36" customHeight="1" x14ac:dyDescent="0.25">
      <c r="A775" s="36"/>
      <c r="B775" s="125" t="s">
        <v>402</v>
      </c>
      <c r="C775" s="30" t="s">
        <v>1034</v>
      </c>
      <c r="D775" s="188" t="s">
        <v>915</v>
      </c>
      <c r="E775" s="420" t="s">
        <v>916</v>
      </c>
      <c r="F775" s="421"/>
      <c r="G775" s="421"/>
      <c r="H775" s="422"/>
      <c r="I775" s="423" t="s">
        <v>917</v>
      </c>
      <c r="J775" s="424"/>
      <c r="K775" s="424"/>
      <c r="L775" s="425"/>
      <c r="M775" s="430" t="s">
        <v>918</v>
      </c>
      <c r="N775" s="431"/>
      <c r="O775" s="426" t="s">
        <v>919</v>
      </c>
      <c r="P775" s="427"/>
      <c r="Q775" s="428"/>
      <c r="R775" s="423" t="s">
        <v>920</v>
      </c>
      <c r="S775" s="425"/>
      <c r="T775" s="5" t="s">
        <v>5</v>
      </c>
      <c r="Y775" s="243"/>
      <c r="AB775" s="196"/>
      <c r="AC775" s="199"/>
    </row>
    <row r="776" spans="1:36" s="37" customFormat="1" ht="24" customHeight="1" x14ac:dyDescent="0.25">
      <c r="B776" s="144"/>
      <c r="C776" s="89"/>
      <c r="D776" s="870" t="s">
        <v>1857</v>
      </c>
      <c r="E776" s="871"/>
      <c r="F776" s="871"/>
      <c r="G776" s="871"/>
      <c r="H776" s="871"/>
      <c r="I776" s="871"/>
      <c r="J776" s="871"/>
      <c r="K776" s="871"/>
      <c r="L776" s="871"/>
      <c r="M776" s="871"/>
      <c r="N776" s="871"/>
      <c r="O776" s="871"/>
      <c r="P776" s="871"/>
      <c r="Q776" s="871"/>
      <c r="R776" s="871"/>
      <c r="S776" s="872"/>
      <c r="T776" s="339"/>
      <c r="W776" s="56"/>
      <c r="X776" s="61"/>
      <c r="Y776" s="248"/>
      <c r="Z776" s="248"/>
      <c r="AA776" s="198"/>
      <c r="AB776" s="196"/>
      <c r="AC776" s="199"/>
      <c r="AD776" s="199"/>
      <c r="AE776" s="199"/>
      <c r="AF776" s="199"/>
      <c r="AG776"/>
      <c r="AH776"/>
      <c r="AI776"/>
      <c r="AJ776"/>
    </row>
    <row r="777" spans="1:36" ht="20.100000000000001" customHeight="1" x14ac:dyDescent="0.25">
      <c r="A777" s="36"/>
      <c r="B777" s="145">
        <f>B773+1</f>
        <v>717</v>
      </c>
      <c r="C777" s="87"/>
      <c r="D777" s="171" t="str">
        <f>HYPERLINK("https://sites.wustl.edu/meteoritesite/items/lm_nwa_02995_clan/",W777)</f>
        <v>[unnamed 3]</v>
      </c>
      <c r="E777" s="539" t="s">
        <v>77</v>
      </c>
      <c r="F777" s="540"/>
      <c r="G777" s="540"/>
      <c r="H777" s="541"/>
      <c r="I777" s="533"/>
      <c r="J777" s="534"/>
      <c r="K777" s="534"/>
      <c r="L777" s="535"/>
      <c r="M777" s="536" t="s">
        <v>142</v>
      </c>
      <c r="N777" s="537"/>
      <c r="O777" s="873" t="s">
        <v>42</v>
      </c>
      <c r="P777" s="874"/>
      <c r="Q777" s="875"/>
      <c r="R777" s="539" t="s">
        <v>1573</v>
      </c>
      <c r="S777" s="541"/>
      <c r="T777" s="330">
        <v>1</v>
      </c>
      <c r="W777" s="39" t="s">
        <v>355</v>
      </c>
      <c r="X777" s="61"/>
      <c r="Y777" s="243"/>
      <c r="AB777" s="196"/>
      <c r="AC777" s="199"/>
    </row>
    <row r="778" spans="1:36" ht="20.100000000000001" customHeight="1" x14ac:dyDescent="0.25">
      <c r="A778" s="36"/>
      <c r="B778" s="128">
        <f>B777+1</f>
        <v>718</v>
      </c>
      <c r="C778" s="90"/>
      <c r="D778" s="52" t="str">
        <f>HYPERLINK("https://sites.wustl.edu/meteoritesite/items/lm_nwa_unn_004/",W778)</f>
        <v>[unnamed 4]</v>
      </c>
      <c r="E778" s="376"/>
      <c r="F778" s="377"/>
      <c r="G778" s="377"/>
      <c r="H778" s="378"/>
      <c r="I778" s="412" t="s">
        <v>4</v>
      </c>
      <c r="J778" s="413"/>
      <c r="K778" s="413"/>
      <c r="L778" s="414"/>
      <c r="M778" s="379" t="s">
        <v>143</v>
      </c>
      <c r="N778" s="400"/>
      <c r="O778" s="794" t="s">
        <v>43</v>
      </c>
      <c r="P778" s="795"/>
      <c r="Q778" s="796"/>
      <c r="R778" s="376" t="s">
        <v>72</v>
      </c>
      <c r="S778" s="378"/>
      <c r="T778" s="157">
        <v>1</v>
      </c>
      <c r="W778" s="217" t="s">
        <v>356</v>
      </c>
      <c r="X778" s="61"/>
      <c r="Y778" s="243"/>
      <c r="AB778" s="196"/>
      <c r="AC778" s="199"/>
    </row>
    <row r="779" spans="1:36" ht="20.100000000000001" customHeight="1" x14ac:dyDescent="0.25">
      <c r="A779" s="36"/>
      <c r="B779" s="128">
        <f t="shared" ref="B779:B808" si="99">B778+1</f>
        <v>719</v>
      </c>
      <c r="C779" s="86"/>
      <c r="D779" s="171" t="str">
        <f>HYPERLINK("https://sites.wustl.edu/meteoritesite/items/lm_nwa_02995_clan/",W779)</f>
        <v>[unnamed 12]</v>
      </c>
      <c r="E779" s="376" t="s">
        <v>77</v>
      </c>
      <c r="F779" s="377"/>
      <c r="G779" s="377"/>
      <c r="H779" s="378"/>
      <c r="I779" s="412"/>
      <c r="J779" s="413"/>
      <c r="K779" s="413"/>
      <c r="L779" s="414"/>
      <c r="M779" s="441" t="s">
        <v>144</v>
      </c>
      <c r="N779" s="442"/>
      <c r="O779" s="794" t="s">
        <v>43</v>
      </c>
      <c r="P779" s="795"/>
      <c r="Q779" s="796"/>
      <c r="R779" s="539" t="s">
        <v>1573</v>
      </c>
      <c r="S779" s="541"/>
      <c r="T779" s="330">
        <v>1</v>
      </c>
      <c r="W779" s="113" t="s">
        <v>357</v>
      </c>
      <c r="X779" s="61"/>
      <c r="Y779" s="243"/>
      <c r="AB779" s="196"/>
      <c r="AC779" s="199"/>
    </row>
    <row r="780" spans="1:36" ht="20.100000000000001" customHeight="1" x14ac:dyDescent="0.25">
      <c r="A780" s="36"/>
      <c r="B780" s="128">
        <f t="shared" si="99"/>
        <v>720</v>
      </c>
      <c r="C780" s="68"/>
      <c r="D780" s="171" t="str">
        <f>HYPERLINK("https://sites.wustl.edu/meteoritesite/items/lm_nwa_05744_clan/",W780)</f>
        <v>[unnamed 55] RC49.1</v>
      </c>
      <c r="E780" s="376" t="s">
        <v>36</v>
      </c>
      <c r="F780" s="377"/>
      <c r="G780" s="377"/>
      <c r="H780" s="378"/>
      <c r="I780" s="412"/>
      <c r="J780" s="413"/>
      <c r="K780" s="413"/>
      <c r="L780" s="414"/>
      <c r="M780" s="379"/>
      <c r="N780" s="400"/>
      <c r="O780" s="511">
        <v>2014</v>
      </c>
      <c r="P780" s="512"/>
      <c r="Q780" s="513"/>
      <c r="R780" s="376" t="s">
        <v>6</v>
      </c>
      <c r="S780" s="378"/>
      <c r="T780" s="157">
        <v>1</v>
      </c>
      <c r="W780" s="113" t="s">
        <v>398</v>
      </c>
      <c r="X780" s="61"/>
      <c r="Y780" s="243"/>
      <c r="AB780" s="196"/>
      <c r="AC780" s="199"/>
    </row>
    <row r="781" spans="1:36" ht="20.100000000000001" customHeight="1" x14ac:dyDescent="0.25">
      <c r="A781" s="36"/>
      <c r="B781" s="128">
        <f t="shared" si="99"/>
        <v>721</v>
      </c>
      <c r="C781" s="68"/>
      <c r="D781" s="170" t="str">
        <f>HYPERLINK("https://sites.wustl.edu/meteoritesite/items/lm_nwa_08455_clan/",W781)</f>
        <v>[unnamed 58] MA154</v>
      </c>
      <c r="E781" s="376" t="s">
        <v>80</v>
      </c>
      <c r="F781" s="377"/>
      <c r="G781" s="377"/>
      <c r="H781" s="378"/>
      <c r="I781" s="412"/>
      <c r="J781" s="413"/>
      <c r="K781" s="413"/>
      <c r="L781" s="414"/>
      <c r="M781" s="441" t="s">
        <v>145</v>
      </c>
      <c r="N781" s="442"/>
      <c r="O781" s="511">
        <v>2014</v>
      </c>
      <c r="P781" s="512"/>
      <c r="Q781" s="513"/>
      <c r="R781" s="376" t="s">
        <v>6</v>
      </c>
      <c r="S781" s="378"/>
      <c r="T781" s="157">
        <v>1</v>
      </c>
      <c r="W781" s="113" t="s">
        <v>358</v>
      </c>
      <c r="X781" s="61"/>
      <c r="Y781" s="243"/>
      <c r="AB781" s="196"/>
      <c r="AC781" s="199"/>
    </row>
    <row r="782" spans="1:36" ht="20.100000000000001" customHeight="1" x14ac:dyDescent="0.25">
      <c r="A782" s="36"/>
      <c r="B782" s="128">
        <f t="shared" si="99"/>
        <v>722</v>
      </c>
      <c r="C782" s="68"/>
      <c r="D782" s="170" t="str">
        <f>HYPERLINK("https://sites.wustl.edu/meteoritesite/items/lm_nwa_08455_clan/",W782)</f>
        <v>[unnamed 59] MA155</v>
      </c>
      <c r="E782" s="376" t="s">
        <v>80</v>
      </c>
      <c r="F782" s="377"/>
      <c r="G782" s="377"/>
      <c r="H782" s="378"/>
      <c r="I782" s="412"/>
      <c r="J782" s="413"/>
      <c r="K782" s="413"/>
      <c r="L782" s="414"/>
      <c r="M782" s="441" t="s">
        <v>146</v>
      </c>
      <c r="N782" s="442"/>
      <c r="O782" s="511">
        <v>2014</v>
      </c>
      <c r="P782" s="512"/>
      <c r="Q782" s="513"/>
      <c r="R782" s="376" t="s">
        <v>6</v>
      </c>
      <c r="S782" s="378"/>
      <c r="T782" s="157">
        <v>1</v>
      </c>
      <c r="W782" s="113" t="s">
        <v>359</v>
      </c>
      <c r="X782" s="61"/>
      <c r="Y782" s="243"/>
      <c r="AB782" s="196"/>
      <c r="AC782" s="199"/>
    </row>
    <row r="783" spans="1:36" ht="20.100000000000001" customHeight="1" x14ac:dyDescent="0.25">
      <c r="A783" s="36"/>
      <c r="B783" s="128">
        <f t="shared" si="99"/>
        <v>723</v>
      </c>
      <c r="C783" s="68"/>
      <c r="D783" s="171" t="str">
        <f>HYPERLINK("https://sites.wustl.edu/meteoritesite/items/lm_nwa_05744_clan/",W783)</f>
        <v>[unnamed 60] MA164</v>
      </c>
      <c r="E783" s="376" t="s">
        <v>36</v>
      </c>
      <c r="F783" s="377"/>
      <c r="G783" s="377"/>
      <c r="H783" s="378"/>
      <c r="I783" s="412"/>
      <c r="J783" s="413"/>
      <c r="K783" s="413"/>
      <c r="L783" s="414"/>
      <c r="M783" s="379" t="s">
        <v>19</v>
      </c>
      <c r="N783" s="400"/>
      <c r="O783" s="511">
        <v>2014</v>
      </c>
      <c r="P783" s="512"/>
      <c r="Q783" s="513"/>
      <c r="R783" s="376" t="s">
        <v>6</v>
      </c>
      <c r="S783" s="378"/>
      <c r="T783" s="157">
        <v>1</v>
      </c>
      <c r="W783" s="113" t="s">
        <v>360</v>
      </c>
      <c r="X783" s="61"/>
      <c r="Y783" s="243"/>
      <c r="AB783" s="196"/>
      <c r="AC783" s="199"/>
    </row>
    <row r="784" spans="1:36" ht="20.100000000000001" customHeight="1" x14ac:dyDescent="0.25">
      <c r="A784" s="36"/>
      <c r="B784" s="128">
        <f t="shared" si="99"/>
        <v>724</v>
      </c>
      <c r="C784" s="68"/>
      <c r="D784" s="170" t="str">
        <f>HYPERLINK("https://sites.wustl.edu/meteoritesite/items/lm_nwa_08701/",W784)</f>
        <v>[unnamed 64] RC58-6</v>
      </c>
      <c r="E784" s="376">
        <v>8701</v>
      </c>
      <c r="F784" s="377"/>
      <c r="G784" s="377"/>
      <c r="H784" s="378"/>
      <c r="I784" s="412"/>
      <c r="J784" s="413"/>
      <c r="K784" s="413"/>
      <c r="L784" s="414"/>
      <c r="M784" s="379" t="s">
        <v>19</v>
      </c>
      <c r="N784" s="400"/>
      <c r="O784" s="511">
        <v>2014</v>
      </c>
      <c r="P784" s="512"/>
      <c r="Q784" s="513"/>
      <c r="R784" s="376" t="s">
        <v>6</v>
      </c>
      <c r="S784" s="378"/>
      <c r="T784" s="157">
        <v>1</v>
      </c>
      <c r="W784" s="113" t="s">
        <v>361</v>
      </c>
      <c r="X784" s="61"/>
      <c r="Y784" s="243"/>
      <c r="AB784" s="196"/>
      <c r="AC784" s="199"/>
    </row>
    <row r="785" spans="1:29" ht="20.100000000000001" customHeight="1" x14ac:dyDescent="0.25">
      <c r="A785" s="36"/>
      <c r="B785" s="128">
        <f t="shared" si="99"/>
        <v>725</v>
      </c>
      <c r="C785" s="68"/>
      <c r="D785" s="52" t="str">
        <f>HYPERLINK("https://sites.wustl.edu/meteoritesite/items/lm_nwa_unn_065/",W785)</f>
        <v>[unnamed 65] SH25</v>
      </c>
      <c r="E785" s="376"/>
      <c r="F785" s="377"/>
      <c r="G785" s="377"/>
      <c r="H785" s="378"/>
      <c r="I785" s="412"/>
      <c r="J785" s="413"/>
      <c r="K785" s="413"/>
      <c r="L785" s="414"/>
      <c r="M785" s="441" t="s">
        <v>147</v>
      </c>
      <c r="N785" s="442"/>
      <c r="O785" s="511">
        <v>2014</v>
      </c>
      <c r="P785" s="512"/>
      <c r="Q785" s="513"/>
      <c r="R785" s="376" t="s">
        <v>6</v>
      </c>
      <c r="S785" s="378"/>
      <c r="T785" s="157">
        <v>1</v>
      </c>
      <c r="W785" s="113" t="s">
        <v>390</v>
      </c>
      <c r="X785" s="61"/>
      <c r="Y785" s="243"/>
      <c r="AB785" s="196"/>
      <c r="AC785" s="199"/>
    </row>
    <row r="786" spans="1:29" ht="20.100000000000001" customHeight="1" x14ac:dyDescent="0.25">
      <c r="A786" s="36"/>
      <c r="B786" s="128">
        <f t="shared" si="99"/>
        <v>726</v>
      </c>
      <c r="C786" s="68"/>
      <c r="D786" s="171" t="str">
        <f>HYPERLINK("https://sites.wustl.edu/meteoritesite/items/lm_nwa_05744_clan/",W786)</f>
        <v>[unnamed 68] YAE(14)1</v>
      </c>
      <c r="E786" s="376" t="s">
        <v>36</v>
      </c>
      <c r="F786" s="377"/>
      <c r="G786" s="377"/>
      <c r="H786" s="378"/>
      <c r="I786" s="412"/>
      <c r="J786" s="413"/>
      <c r="K786" s="413"/>
      <c r="L786" s="414"/>
      <c r="M786" s="379" t="s">
        <v>19</v>
      </c>
      <c r="N786" s="400"/>
      <c r="O786" s="511">
        <v>2014</v>
      </c>
      <c r="P786" s="512"/>
      <c r="Q786" s="513"/>
      <c r="R786" s="376" t="s">
        <v>6</v>
      </c>
      <c r="S786" s="378"/>
      <c r="T786" s="157">
        <v>1</v>
      </c>
      <c r="W786" s="113" t="s">
        <v>391</v>
      </c>
      <c r="X786" s="61"/>
      <c r="Y786" s="243"/>
      <c r="AB786" s="196"/>
      <c r="AC786" s="199"/>
    </row>
    <row r="787" spans="1:29" ht="20.100000000000001" customHeight="1" x14ac:dyDescent="0.25">
      <c r="A787" s="36"/>
      <c r="B787" s="128">
        <f t="shared" si="99"/>
        <v>727</v>
      </c>
      <c r="C787" s="68"/>
      <c r="D787" s="52" t="str">
        <f>HYPERLINK("https://sites.wustl.edu/meteoritesite/items/lm_nwa_8641_clan/",W787)</f>
        <v>[unnamed 77] RC56.2</v>
      </c>
      <c r="E787" s="376" t="s">
        <v>81</v>
      </c>
      <c r="F787" s="377"/>
      <c r="G787" s="377"/>
      <c r="H787" s="378"/>
      <c r="I787" s="412"/>
      <c r="J787" s="413"/>
      <c r="K787" s="413"/>
      <c r="L787" s="414"/>
      <c r="M787" s="441" t="s">
        <v>148</v>
      </c>
      <c r="N787" s="442"/>
      <c r="O787" s="511">
        <v>2014</v>
      </c>
      <c r="P787" s="512"/>
      <c r="Q787" s="513"/>
      <c r="R787" s="376" t="s">
        <v>6</v>
      </c>
      <c r="S787" s="378"/>
      <c r="T787" s="157">
        <v>1</v>
      </c>
      <c r="W787" s="113" t="s">
        <v>362</v>
      </c>
      <c r="X787" s="61"/>
      <c r="Y787" s="243"/>
      <c r="AB787" s="196"/>
      <c r="AC787" s="199"/>
    </row>
    <row r="788" spans="1:29" ht="20.100000000000001" customHeight="1" x14ac:dyDescent="0.25">
      <c r="A788" s="36"/>
      <c r="B788" s="128">
        <f t="shared" si="99"/>
        <v>728</v>
      </c>
      <c r="C788" s="68"/>
      <c r="D788" s="52" t="str">
        <f>HYPERLINK("https://sites.wustl.edu/meteoritesite/items/lm_nwa_unn_087/",W788)</f>
        <v>[unnamed 87] AA15-1</v>
      </c>
      <c r="E788" s="376"/>
      <c r="F788" s="377"/>
      <c r="G788" s="377"/>
      <c r="H788" s="378"/>
      <c r="I788" s="412"/>
      <c r="J788" s="413"/>
      <c r="K788" s="413"/>
      <c r="L788" s="414"/>
      <c r="M788" s="441" t="s">
        <v>149</v>
      </c>
      <c r="N788" s="442"/>
      <c r="O788" s="511" t="s">
        <v>123</v>
      </c>
      <c r="P788" s="512"/>
      <c r="Q788" s="513"/>
      <c r="R788" s="376" t="s">
        <v>6</v>
      </c>
      <c r="S788" s="378"/>
      <c r="T788" s="157">
        <v>1</v>
      </c>
      <c r="W788" s="113" t="s">
        <v>363</v>
      </c>
      <c r="X788" s="61"/>
      <c r="Y788" s="243"/>
      <c r="AB788" s="196"/>
      <c r="AC788" s="199"/>
    </row>
    <row r="789" spans="1:29" ht="20.100000000000001" customHeight="1" x14ac:dyDescent="0.25">
      <c r="A789" s="36"/>
      <c r="B789" s="128">
        <f>B788+1</f>
        <v>729</v>
      </c>
      <c r="C789" s="68"/>
      <c r="D789" s="170" t="str">
        <f>HYPERLINK("https://sites.wustl.edu/meteoritesite/items/lm_nwa_07834_clan/",W789)</f>
        <v>[unnamed 93] MAC 137</v>
      </c>
      <c r="E789" s="376" t="s">
        <v>140</v>
      </c>
      <c r="F789" s="377"/>
      <c r="G789" s="377"/>
      <c r="H789" s="378"/>
      <c r="I789" s="412"/>
      <c r="J789" s="413"/>
      <c r="K789" s="413"/>
      <c r="L789" s="414"/>
      <c r="M789" s="379" t="s">
        <v>19</v>
      </c>
      <c r="N789" s="400"/>
      <c r="O789" s="511" t="s">
        <v>123</v>
      </c>
      <c r="P789" s="512"/>
      <c r="Q789" s="513"/>
      <c r="R789" s="376" t="s">
        <v>6</v>
      </c>
      <c r="S789" s="378"/>
      <c r="T789" s="157">
        <v>1</v>
      </c>
      <c r="W789" s="113" t="s">
        <v>364</v>
      </c>
      <c r="X789" s="61"/>
      <c r="Y789" s="243"/>
      <c r="AB789" s="196"/>
      <c r="AC789" s="199"/>
    </row>
    <row r="790" spans="1:29" ht="20.100000000000001" customHeight="1" x14ac:dyDescent="0.25">
      <c r="A790" s="36"/>
      <c r="B790" s="128">
        <f t="shared" si="99"/>
        <v>730</v>
      </c>
      <c r="C790" s="68"/>
      <c r="D790" s="170" t="str">
        <f>HYPERLINK("https://sites.wustl.edu/meteoritesite/items/lm_nwa_08455_clan/",W790)</f>
        <v>[unnamed 95] RC192</v>
      </c>
      <c r="E790" s="376" t="s">
        <v>80</v>
      </c>
      <c r="F790" s="377"/>
      <c r="G790" s="377"/>
      <c r="H790" s="378"/>
      <c r="I790" s="412"/>
      <c r="J790" s="413"/>
      <c r="K790" s="413"/>
      <c r="L790" s="414"/>
      <c r="M790" s="441" t="s">
        <v>141</v>
      </c>
      <c r="N790" s="442"/>
      <c r="O790" s="511" t="s">
        <v>123</v>
      </c>
      <c r="P790" s="512"/>
      <c r="Q790" s="513"/>
      <c r="R790" s="376" t="s">
        <v>6</v>
      </c>
      <c r="S790" s="378"/>
      <c r="T790" s="157">
        <v>1</v>
      </c>
      <c r="W790" s="113" t="s">
        <v>365</v>
      </c>
      <c r="X790" s="61"/>
      <c r="Y790" s="243"/>
      <c r="AB790" s="196"/>
      <c r="AC790" s="199"/>
    </row>
    <row r="791" spans="1:29" ht="20.100000000000001" customHeight="1" x14ac:dyDescent="0.25">
      <c r="B791" s="128">
        <f t="shared" si="99"/>
        <v>731</v>
      </c>
      <c r="C791" s="68"/>
      <c r="D791" s="170" t="str">
        <f>HYPERLINK("https://sites.wustl.edu/meteoritesite/items/lm_nwa_00773_clan/",W791)</f>
        <v>[unnamed 99] MA180</v>
      </c>
      <c r="E791" s="376" t="s">
        <v>76</v>
      </c>
      <c r="F791" s="377"/>
      <c r="G791" s="377"/>
      <c r="H791" s="378"/>
      <c r="I791" s="412"/>
      <c r="J791" s="413"/>
      <c r="K791" s="413"/>
      <c r="L791" s="414"/>
      <c r="M791" s="441" t="s">
        <v>395</v>
      </c>
      <c r="N791" s="442"/>
      <c r="O791" s="511" t="s">
        <v>123</v>
      </c>
      <c r="P791" s="512"/>
      <c r="Q791" s="513"/>
      <c r="R791" s="376" t="s">
        <v>396</v>
      </c>
      <c r="S791" s="378"/>
      <c r="T791" s="157">
        <v>1</v>
      </c>
      <c r="W791" s="113" t="s">
        <v>399</v>
      </c>
      <c r="X791" s="61"/>
      <c r="Y791" s="243"/>
      <c r="AB791" s="196"/>
      <c r="AC791" s="199"/>
    </row>
    <row r="792" spans="1:29" ht="20.100000000000001" customHeight="1" x14ac:dyDescent="0.25">
      <c r="A792" s="36"/>
      <c r="B792" s="128">
        <f t="shared" si="99"/>
        <v>732</v>
      </c>
      <c r="C792" s="68"/>
      <c r="D792" s="170" t="str">
        <f>HYPERLINK("https://sites.wustl.edu/meteoritesite/items/lm_nwa_10509_clan/",W792)</f>
        <v>[unnamed 101] MA188</v>
      </c>
      <c r="E792" s="376" t="s">
        <v>467</v>
      </c>
      <c r="F792" s="377"/>
      <c r="G792" s="377"/>
      <c r="H792" s="378"/>
      <c r="I792" s="379"/>
      <c r="J792" s="380"/>
      <c r="K792" s="380"/>
      <c r="L792" s="400"/>
      <c r="M792" s="441" t="s">
        <v>413</v>
      </c>
      <c r="N792" s="442"/>
      <c r="O792" s="511" t="s">
        <v>123</v>
      </c>
      <c r="P792" s="512"/>
      <c r="Q792" s="513"/>
      <c r="R792" s="376" t="s">
        <v>6</v>
      </c>
      <c r="S792" s="378"/>
      <c r="T792" s="157">
        <v>1</v>
      </c>
      <c r="W792" s="113" t="s">
        <v>411</v>
      </c>
      <c r="X792" s="61"/>
      <c r="Y792" s="243"/>
      <c r="AB792" s="196"/>
      <c r="AC792" s="199"/>
    </row>
    <row r="793" spans="1:29" ht="20.100000000000001" customHeight="1" x14ac:dyDescent="0.25">
      <c r="A793" s="36"/>
      <c r="B793" s="128">
        <f t="shared" si="99"/>
        <v>733</v>
      </c>
      <c r="C793" s="68"/>
      <c r="D793" s="170" t="str">
        <f>HYPERLINK("https://sites.wustl.edu/meteoritesite/items/lm_nwa_10509_clan/",W793)</f>
        <v>[unnamed 102] MA189</v>
      </c>
      <c r="E793" s="376" t="s">
        <v>467</v>
      </c>
      <c r="F793" s="377"/>
      <c r="G793" s="377"/>
      <c r="H793" s="378"/>
      <c r="I793" s="379"/>
      <c r="J793" s="380"/>
      <c r="K793" s="380"/>
      <c r="L793" s="400"/>
      <c r="M793" s="441" t="s">
        <v>414</v>
      </c>
      <c r="N793" s="442"/>
      <c r="O793" s="511" t="s">
        <v>123</v>
      </c>
      <c r="P793" s="512"/>
      <c r="Q793" s="513"/>
      <c r="R793" s="376" t="s">
        <v>6</v>
      </c>
      <c r="S793" s="378"/>
      <c r="T793" s="157">
        <v>1</v>
      </c>
      <c r="W793" s="113" t="s">
        <v>412</v>
      </c>
      <c r="X793" s="61"/>
      <c r="Y793" s="243"/>
      <c r="AB793" s="196"/>
      <c r="AC793" s="199"/>
    </row>
    <row r="794" spans="1:29" ht="20.100000000000001" customHeight="1" x14ac:dyDescent="0.25">
      <c r="A794" s="36"/>
      <c r="B794" s="128">
        <f t="shared" si="99"/>
        <v>734</v>
      </c>
      <c r="C794" s="68"/>
      <c r="D794" s="170" t="str">
        <f>HYPERLINK("https://sites.wustl.edu/meteoritesite/items/lm_nwa_08222_clan/",W794)</f>
        <v>[unnamed 106] SH88</v>
      </c>
      <c r="E794" s="376" t="s">
        <v>487</v>
      </c>
      <c r="F794" s="377"/>
      <c r="G794" s="377"/>
      <c r="H794" s="378"/>
      <c r="I794" s="379"/>
      <c r="J794" s="380"/>
      <c r="K794" s="380"/>
      <c r="L794" s="400"/>
      <c r="M794" s="441" t="s">
        <v>447</v>
      </c>
      <c r="N794" s="442"/>
      <c r="O794" s="511" t="s">
        <v>19</v>
      </c>
      <c r="P794" s="512"/>
      <c r="Q794" s="513"/>
      <c r="R794" s="376" t="s">
        <v>6</v>
      </c>
      <c r="S794" s="378"/>
      <c r="T794" s="157">
        <v>1</v>
      </c>
      <c r="W794" s="113" t="s">
        <v>446</v>
      </c>
      <c r="X794" s="61"/>
      <c r="Y794" s="243"/>
      <c r="AB794" s="196"/>
      <c r="AC794" s="199"/>
    </row>
    <row r="795" spans="1:29" ht="20.100000000000001" customHeight="1" x14ac:dyDescent="0.25">
      <c r="A795" s="36"/>
      <c r="B795" s="128">
        <f t="shared" si="99"/>
        <v>735</v>
      </c>
      <c r="C795" s="68"/>
      <c r="D795" s="170" t="str">
        <f>HYPERLINK("https://sites.wustl.edu/meteoritesite/items/lm_nwa_07611_clan/",W795)</f>
        <v>[unnamed 107] MA190</v>
      </c>
      <c r="E795" s="376" t="s">
        <v>394</v>
      </c>
      <c r="F795" s="377"/>
      <c r="G795" s="377"/>
      <c r="H795" s="378"/>
      <c r="I795" s="379"/>
      <c r="J795" s="380"/>
      <c r="K795" s="380"/>
      <c r="L795" s="400"/>
      <c r="M795" s="441" t="s">
        <v>445</v>
      </c>
      <c r="N795" s="442"/>
      <c r="O795" s="511" t="s">
        <v>19</v>
      </c>
      <c r="P795" s="512"/>
      <c r="Q795" s="513"/>
      <c r="R795" s="376" t="s">
        <v>6</v>
      </c>
      <c r="S795" s="378"/>
      <c r="T795" s="157">
        <v>1</v>
      </c>
      <c r="W795" s="113" t="s">
        <v>443</v>
      </c>
      <c r="X795" s="61"/>
      <c r="Y795" s="243"/>
      <c r="AB795" s="196"/>
      <c r="AC795" s="199"/>
    </row>
    <row r="796" spans="1:29" ht="20.100000000000001" customHeight="1" x14ac:dyDescent="0.25">
      <c r="A796" s="36"/>
      <c r="B796" s="128">
        <f t="shared" si="99"/>
        <v>736</v>
      </c>
      <c r="C796" s="68"/>
      <c r="D796" s="170" t="str">
        <f>HYPERLINK("https://sites.wustl.edu/meteoritesite/items/lm_nwa_08673_clan/",W796)</f>
        <v>[unnamed 109] AJ16-7</v>
      </c>
      <c r="E796" s="376" t="s">
        <v>82</v>
      </c>
      <c r="F796" s="377"/>
      <c r="G796" s="377"/>
      <c r="H796" s="378"/>
      <c r="I796" s="379"/>
      <c r="J796" s="380"/>
      <c r="K796" s="380"/>
      <c r="L796" s="400"/>
      <c r="M796" s="441" t="s">
        <v>19</v>
      </c>
      <c r="N796" s="442"/>
      <c r="O796" s="511" t="s">
        <v>19</v>
      </c>
      <c r="P796" s="512"/>
      <c r="Q796" s="513"/>
      <c r="R796" s="376" t="s">
        <v>6</v>
      </c>
      <c r="S796" s="378"/>
      <c r="T796" s="157">
        <v>1</v>
      </c>
      <c r="W796" s="113" t="s">
        <v>455</v>
      </c>
      <c r="X796" s="61"/>
      <c r="Y796" s="243"/>
      <c r="AB796" s="196"/>
      <c r="AC796" s="199"/>
    </row>
    <row r="797" spans="1:29" ht="20.100000000000001" customHeight="1" x14ac:dyDescent="0.25">
      <c r="A797" s="36"/>
      <c r="B797" s="128">
        <f t="shared" si="99"/>
        <v>737</v>
      </c>
      <c r="C797" s="68"/>
      <c r="D797" s="170" t="str">
        <f>HYPERLINK("https://sites.wustl.edu/meteoritesite/items/lm_nwa_10626/",W797)</f>
        <v>[unnamed 110] AJ-46A</v>
      </c>
      <c r="E797" s="376">
        <v>10626</v>
      </c>
      <c r="F797" s="377"/>
      <c r="G797" s="377"/>
      <c r="H797" s="378"/>
      <c r="I797" s="379"/>
      <c r="J797" s="380"/>
      <c r="K797" s="380"/>
      <c r="L797" s="400"/>
      <c r="M797" s="441" t="s">
        <v>19</v>
      </c>
      <c r="N797" s="442"/>
      <c r="O797" s="511" t="s">
        <v>19</v>
      </c>
      <c r="P797" s="512"/>
      <c r="Q797" s="513"/>
      <c r="R797" s="376" t="s">
        <v>6</v>
      </c>
      <c r="S797" s="378"/>
      <c r="T797" s="157">
        <v>1</v>
      </c>
      <c r="W797" s="113" t="s">
        <v>452</v>
      </c>
      <c r="X797" s="61"/>
      <c r="Y797" s="243"/>
      <c r="AB797" s="196"/>
      <c r="AC797" s="199"/>
    </row>
    <row r="798" spans="1:29" ht="20.100000000000001" customHeight="1" x14ac:dyDescent="0.25">
      <c r="A798" s="36"/>
      <c r="B798" s="128">
        <f t="shared" si="99"/>
        <v>738</v>
      </c>
      <c r="C798" s="68"/>
      <c r="D798" s="170" t="str">
        <f>HYPERLINK("https://sites.wustl.edu/meteoritesite/items/lm_nwa_11243/",W798)</f>
        <v>[unnamed 111] RC78.1</v>
      </c>
      <c r="E798" s="376">
        <v>11243</v>
      </c>
      <c r="F798" s="377"/>
      <c r="G798" s="377"/>
      <c r="H798" s="378"/>
      <c r="I798" s="281"/>
      <c r="J798" s="282"/>
      <c r="K798" s="282"/>
      <c r="L798" s="283"/>
      <c r="M798" s="441" t="s">
        <v>473</v>
      </c>
      <c r="N798" s="442"/>
      <c r="O798" s="511" t="s">
        <v>19</v>
      </c>
      <c r="P798" s="512"/>
      <c r="Q798" s="513"/>
      <c r="R798" s="376" t="s">
        <v>6</v>
      </c>
      <c r="S798" s="378"/>
      <c r="T798" s="157">
        <v>1</v>
      </c>
      <c r="W798" s="113" t="s">
        <v>472</v>
      </c>
      <c r="X798" s="61"/>
      <c r="Y798" s="243"/>
      <c r="AB798" s="196"/>
      <c r="AC798" s="199"/>
    </row>
    <row r="799" spans="1:29" ht="20.100000000000001" customHeight="1" x14ac:dyDescent="0.25">
      <c r="A799" s="36"/>
      <c r="B799" s="128">
        <f t="shared" si="99"/>
        <v>739</v>
      </c>
      <c r="C799" s="68"/>
      <c r="D799" s="170" t="str">
        <f>HYPERLINK("https://sites.wustl.edu/meteoritesite/items/lm_nwa_08222_clan/",W799)</f>
        <v>[unnamed 115] AB#41</v>
      </c>
      <c r="E799" s="376" t="s">
        <v>487</v>
      </c>
      <c r="F799" s="377"/>
      <c r="G799" s="377"/>
      <c r="H799" s="378"/>
      <c r="I799" s="379"/>
      <c r="J799" s="380"/>
      <c r="K799" s="380"/>
      <c r="L799" s="400"/>
      <c r="M799" s="441" t="s">
        <v>483</v>
      </c>
      <c r="N799" s="442"/>
      <c r="O799" s="511" t="s">
        <v>19</v>
      </c>
      <c r="P799" s="512"/>
      <c r="Q799" s="513"/>
      <c r="R799" s="376" t="s">
        <v>6</v>
      </c>
      <c r="S799" s="378"/>
      <c r="T799" s="157">
        <v>1</v>
      </c>
      <c r="W799" s="113" t="s">
        <v>481</v>
      </c>
      <c r="X799" s="61"/>
      <c r="Y799" s="243"/>
      <c r="AB799" s="196"/>
      <c r="AC799" s="199"/>
    </row>
    <row r="800" spans="1:29" ht="20.100000000000001" customHeight="1" x14ac:dyDescent="0.25">
      <c r="A800" s="36"/>
      <c r="B800" s="128">
        <f t="shared" si="99"/>
        <v>740</v>
      </c>
      <c r="C800" s="68"/>
      <c r="D800" s="170" t="str">
        <f>HYPERLINK("https://sites.wustl.edu/meteoritesite/items/lm_nwa_08046_clan/",W800)</f>
        <v>[unnamed 116] OU_B</v>
      </c>
      <c r="E800" s="376" t="s">
        <v>466</v>
      </c>
      <c r="F800" s="377"/>
      <c r="G800" s="377"/>
      <c r="H800" s="378"/>
      <c r="I800" s="379"/>
      <c r="J800" s="380"/>
      <c r="K800" s="380"/>
      <c r="L800" s="400"/>
      <c r="M800" s="441" t="s">
        <v>484</v>
      </c>
      <c r="N800" s="442"/>
      <c r="O800" s="511" t="s">
        <v>19</v>
      </c>
      <c r="P800" s="512"/>
      <c r="Q800" s="513"/>
      <c r="R800" s="376" t="s">
        <v>6</v>
      </c>
      <c r="S800" s="378"/>
      <c r="T800" s="157">
        <v>1</v>
      </c>
      <c r="W800" s="113" t="s">
        <v>482</v>
      </c>
      <c r="X800" s="61"/>
      <c r="Y800" s="243"/>
      <c r="AB800" s="196"/>
      <c r="AC800" s="199"/>
    </row>
    <row r="801" spans="1:29" ht="20.100000000000001" customHeight="1" x14ac:dyDescent="0.25">
      <c r="A801" s="36"/>
      <c r="B801" s="128">
        <f>B800+1</f>
        <v>741</v>
      </c>
      <c r="C801" s="68"/>
      <c r="D801" s="52" t="str">
        <f>HYPERLINK("https://sites.wustl.edu/meteoritesite/items/lm_nwa_unn_130/",W801)</f>
        <v>[unnamed 130] M1984</v>
      </c>
      <c r="E801" s="376"/>
      <c r="F801" s="377"/>
      <c r="G801" s="377"/>
      <c r="H801" s="378"/>
      <c r="I801" s="281"/>
      <c r="J801" s="282"/>
      <c r="K801" s="282"/>
      <c r="L801" s="283"/>
      <c r="M801" s="441" t="s">
        <v>504</v>
      </c>
      <c r="N801" s="442"/>
      <c r="O801" s="511" t="s">
        <v>19</v>
      </c>
      <c r="P801" s="512"/>
      <c r="Q801" s="513"/>
      <c r="R801" s="376" t="s">
        <v>6</v>
      </c>
      <c r="S801" s="378"/>
      <c r="T801" s="157">
        <v>1</v>
      </c>
      <c r="W801" s="113" t="s">
        <v>499</v>
      </c>
      <c r="X801" s="61"/>
      <c r="Y801" s="243"/>
      <c r="AB801" s="196"/>
      <c r="AC801" s="199"/>
    </row>
    <row r="802" spans="1:29" ht="20.100000000000001" customHeight="1" x14ac:dyDescent="0.25">
      <c r="A802" s="36"/>
      <c r="B802" s="128">
        <f t="shared" si="99"/>
        <v>742</v>
      </c>
      <c r="C802" s="68"/>
      <c r="D802" s="52" t="str">
        <f>HYPERLINK("https://sites.wustl.edu/meteoritesite/items/lm_nwa-unn_131/",W802)</f>
        <v>[unnamed 131] SH17-1</v>
      </c>
      <c r="E802" s="376">
        <v>10678</v>
      </c>
      <c r="F802" s="377"/>
      <c r="G802" s="377"/>
      <c r="H802" s="378"/>
      <c r="I802" s="281"/>
      <c r="J802" s="282"/>
      <c r="K802" s="282"/>
      <c r="L802" s="283"/>
      <c r="M802" s="441" t="s">
        <v>19</v>
      </c>
      <c r="N802" s="442"/>
      <c r="O802" s="511" t="s">
        <v>19</v>
      </c>
      <c r="P802" s="512"/>
      <c r="Q802" s="513"/>
      <c r="R802" s="376" t="s">
        <v>6</v>
      </c>
      <c r="S802" s="378"/>
      <c r="T802" s="157">
        <v>1</v>
      </c>
      <c r="W802" s="113" t="s">
        <v>523</v>
      </c>
      <c r="X802" s="61"/>
      <c r="Y802" s="243"/>
      <c r="AB802" s="196"/>
      <c r="AC802" s="199"/>
    </row>
    <row r="803" spans="1:29" ht="20.100000000000001" customHeight="1" x14ac:dyDescent="0.25">
      <c r="A803" s="36"/>
      <c r="B803" s="128">
        <f t="shared" si="99"/>
        <v>743</v>
      </c>
      <c r="C803" s="68"/>
      <c r="D803" s="170" t="str">
        <f>HYPERLINK("https://sites.wustl.edu/meteoritesite/items/lm_nwa_08046_clan/",W803)</f>
        <v>[unnamed 136] MVCH 270-1</v>
      </c>
      <c r="E803" s="376" t="s">
        <v>466</v>
      </c>
      <c r="F803" s="377"/>
      <c r="G803" s="377"/>
      <c r="H803" s="378"/>
      <c r="I803" s="281"/>
      <c r="J803" s="282"/>
      <c r="K803" s="282"/>
      <c r="L803" s="283"/>
      <c r="M803" s="441" t="s">
        <v>19</v>
      </c>
      <c r="N803" s="442"/>
      <c r="O803" s="511" t="s">
        <v>19</v>
      </c>
      <c r="P803" s="512"/>
      <c r="Q803" s="513"/>
      <c r="R803" s="376" t="s">
        <v>6</v>
      </c>
      <c r="S803" s="378"/>
      <c r="T803" s="157">
        <v>1</v>
      </c>
      <c r="W803" s="113" t="s">
        <v>666</v>
      </c>
      <c r="X803" s="61"/>
      <c r="Y803" s="240"/>
      <c r="AB803" s="196"/>
      <c r="AC803" s="199"/>
    </row>
    <row r="804" spans="1:29" ht="20.100000000000001" customHeight="1" x14ac:dyDescent="0.25">
      <c r="A804" s="36"/>
      <c r="B804" s="128">
        <f t="shared" si="99"/>
        <v>744</v>
      </c>
      <c r="C804" s="68"/>
      <c r="D804" s="170" t="str">
        <f>HYPERLINK("https://sites.wustl.edu/meteoritesite/items/lm_nwa_08046_clan/",W804)</f>
        <v>[unnamed 138] MVCH 270-A2</v>
      </c>
      <c r="E804" s="376" t="s">
        <v>466</v>
      </c>
      <c r="F804" s="377"/>
      <c r="G804" s="377"/>
      <c r="H804" s="378"/>
      <c r="I804" s="281"/>
      <c r="J804" s="282"/>
      <c r="K804" s="282"/>
      <c r="L804" s="283"/>
      <c r="M804" s="441" t="s">
        <v>19</v>
      </c>
      <c r="N804" s="442"/>
      <c r="O804" s="511" t="s">
        <v>19</v>
      </c>
      <c r="P804" s="512"/>
      <c r="Q804" s="513"/>
      <c r="R804" s="376" t="s">
        <v>6</v>
      </c>
      <c r="S804" s="378"/>
      <c r="T804" s="157">
        <v>1</v>
      </c>
      <c r="W804" s="113" t="s">
        <v>667</v>
      </c>
      <c r="X804" s="61"/>
      <c r="Y804" s="243"/>
      <c r="AB804" s="196"/>
      <c r="AC804" s="199"/>
    </row>
    <row r="805" spans="1:29" ht="20.100000000000001" customHeight="1" x14ac:dyDescent="0.25">
      <c r="A805" s="36"/>
      <c r="B805" s="128">
        <f t="shared" si="99"/>
        <v>745</v>
      </c>
      <c r="C805" s="68"/>
      <c r="D805" s="170" t="str">
        <f>HYPERLINK("https://sites.wustl.edu/meteoritesite/items/lm_nwa_08046_clan/",W805)</f>
        <v>[unnamed 139] TB17-1</v>
      </c>
      <c r="E805" s="376" t="s">
        <v>466</v>
      </c>
      <c r="F805" s="377"/>
      <c r="G805" s="377"/>
      <c r="H805" s="378"/>
      <c r="I805" s="281"/>
      <c r="J805" s="282"/>
      <c r="K805" s="282"/>
      <c r="L805" s="283"/>
      <c r="M805" s="441" t="s">
        <v>19</v>
      </c>
      <c r="N805" s="442"/>
      <c r="O805" s="511" t="s">
        <v>19</v>
      </c>
      <c r="P805" s="512"/>
      <c r="Q805" s="513"/>
      <c r="R805" s="376" t="s">
        <v>6</v>
      </c>
      <c r="S805" s="378"/>
      <c r="T805" s="157">
        <v>1</v>
      </c>
      <c r="W805" s="113" t="s">
        <v>668</v>
      </c>
      <c r="X805" s="61"/>
      <c r="Y805" s="243"/>
      <c r="AB805" s="196"/>
      <c r="AC805" s="199"/>
    </row>
    <row r="806" spans="1:29" ht="20.100000000000001" customHeight="1" x14ac:dyDescent="0.25">
      <c r="A806" s="36"/>
      <c r="B806" s="128">
        <f t="shared" si="99"/>
        <v>746</v>
      </c>
      <c r="C806" s="68"/>
      <c r="D806" s="52" t="str">
        <f>HYPERLINK("https://sites.wustl.edu/meteoritesite/items/lm_nwa_unn_133/",W806)</f>
        <v>[unnamed 133] RC91.1</v>
      </c>
      <c r="E806" s="376"/>
      <c r="F806" s="377"/>
      <c r="G806" s="377"/>
      <c r="H806" s="378"/>
      <c r="I806" s="281"/>
      <c r="J806" s="282"/>
      <c r="K806" s="282"/>
      <c r="L806" s="283"/>
      <c r="M806" s="441" t="s">
        <v>19</v>
      </c>
      <c r="N806" s="442"/>
      <c r="O806" s="511" t="s">
        <v>19</v>
      </c>
      <c r="P806" s="512"/>
      <c r="Q806" s="513"/>
      <c r="R806" s="376" t="s">
        <v>6</v>
      </c>
      <c r="S806" s="378"/>
      <c r="T806" s="157">
        <v>1</v>
      </c>
      <c r="W806" s="113" t="s">
        <v>524</v>
      </c>
      <c r="X806" s="61"/>
      <c r="Y806" s="243"/>
      <c r="AB806" s="196"/>
      <c r="AC806" s="199"/>
    </row>
    <row r="807" spans="1:29" ht="20.100000000000001" customHeight="1" x14ac:dyDescent="0.25">
      <c r="A807" s="36"/>
      <c r="B807" s="128">
        <f t="shared" si="99"/>
        <v>747</v>
      </c>
      <c r="C807" s="68"/>
      <c r="D807" s="52" t="str">
        <f>HYPERLINK("https://sites.wustl.edu/meteoritesite/items/lm_nwa_unn_142/",W807)</f>
        <v>[unnamed 142] LO18-T</v>
      </c>
      <c r="E807" s="376"/>
      <c r="F807" s="377"/>
      <c r="G807" s="377"/>
      <c r="H807" s="378"/>
      <c r="I807" s="281"/>
      <c r="J807" s="282"/>
      <c r="K807" s="282"/>
      <c r="L807" s="283"/>
      <c r="M807" s="441" t="s">
        <v>612</v>
      </c>
      <c r="N807" s="442"/>
      <c r="O807" s="511" t="s">
        <v>19</v>
      </c>
      <c r="P807" s="512"/>
      <c r="Q807" s="513"/>
      <c r="R807" s="376" t="s">
        <v>6</v>
      </c>
      <c r="S807" s="378"/>
      <c r="T807" s="157">
        <v>1</v>
      </c>
      <c r="W807" s="113" t="s">
        <v>614</v>
      </c>
      <c r="X807" s="61"/>
      <c r="Y807" s="243"/>
      <c r="AB807" s="196"/>
      <c r="AC807" s="199"/>
    </row>
    <row r="808" spans="1:29" ht="20.100000000000001" customHeight="1" x14ac:dyDescent="0.25">
      <c r="A808" s="36"/>
      <c r="B808" s="128">
        <f t="shared" si="99"/>
        <v>748</v>
      </c>
      <c r="C808" s="68"/>
      <c r="D808" s="52" t="str">
        <f>HYPERLINK("https://sites.wustl.edu/meteoritesite/items/lm_rabt-sbayta_007/",W808)</f>
        <v>[unnamed 143] LO18-1</v>
      </c>
      <c r="E808" s="376" t="s">
        <v>533</v>
      </c>
      <c r="F808" s="377"/>
      <c r="G808" s="377"/>
      <c r="H808" s="378"/>
      <c r="I808" s="281"/>
      <c r="J808" s="282"/>
      <c r="K808" s="282"/>
      <c r="L808" s="283"/>
      <c r="M808" s="441" t="s">
        <v>613</v>
      </c>
      <c r="N808" s="442"/>
      <c r="O808" s="511" t="s">
        <v>19</v>
      </c>
      <c r="P808" s="512"/>
      <c r="Q808" s="513"/>
      <c r="R808" s="376" t="s">
        <v>6</v>
      </c>
      <c r="S808" s="378"/>
      <c r="T808" s="157">
        <v>1</v>
      </c>
      <c r="W808" s="113" t="s">
        <v>615</v>
      </c>
      <c r="X808" s="61"/>
      <c r="Y808" s="243"/>
      <c r="AB808" s="196"/>
      <c r="AC808" s="199"/>
    </row>
    <row r="809" spans="1:29" ht="20.100000000000001" customHeight="1" x14ac:dyDescent="0.25">
      <c r="A809" s="36"/>
      <c r="B809" s="143"/>
      <c r="C809" s="88"/>
      <c r="D809" s="338"/>
      <c r="E809" s="180"/>
      <c r="F809" s="295"/>
      <c r="G809" s="295"/>
      <c r="H809" s="184"/>
      <c r="I809" s="285"/>
      <c r="J809" s="333"/>
      <c r="K809" s="333"/>
      <c r="L809" s="334"/>
      <c r="M809" s="340"/>
      <c r="N809" s="341"/>
      <c r="O809" s="181"/>
      <c r="P809" s="182"/>
      <c r="Q809" s="183"/>
      <c r="R809" s="180"/>
      <c r="S809" s="184"/>
      <c r="T809" s="330"/>
      <c r="W809" s="112"/>
      <c r="X809" s="61"/>
      <c r="Y809" s="263"/>
      <c r="AB809" s="196"/>
      <c r="AC809" s="199"/>
    </row>
    <row r="810" spans="1:29" ht="36" customHeight="1" x14ac:dyDescent="0.25">
      <c r="A810" s="36"/>
      <c r="B810" s="125" t="s">
        <v>402</v>
      </c>
      <c r="C810" s="30" t="s">
        <v>1034</v>
      </c>
      <c r="D810" s="33" t="s">
        <v>915</v>
      </c>
      <c r="E810" s="420" t="s">
        <v>916</v>
      </c>
      <c r="F810" s="421"/>
      <c r="G810" s="421"/>
      <c r="H810" s="422"/>
      <c r="I810" s="423" t="s">
        <v>917</v>
      </c>
      <c r="J810" s="424"/>
      <c r="K810" s="424"/>
      <c r="L810" s="425"/>
      <c r="M810" s="430" t="s">
        <v>918</v>
      </c>
      <c r="N810" s="431"/>
      <c r="O810" s="426" t="s">
        <v>919</v>
      </c>
      <c r="P810" s="427"/>
      <c r="Q810" s="428"/>
      <c r="R810" s="423" t="s">
        <v>920</v>
      </c>
      <c r="S810" s="425"/>
      <c r="T810" s="5" t="s">
        <v>5</v>
      </c>
      <c r="Y810" s="243"/>
      <c r="AB810" s="196"/>
      <c r="AC810" s="199"/>
    </row>
    <row r="811" spans="1:29" ht="20.100000000000001" customHeight="1" x14ac:dyDescent="0.25">
      <c r="A811" s="36"/>
      <c r="B811" s="128">
        <f>B808+1</f>
        <v>749</v>
      </c>
      <c r="C811" s="68">
        <v>707</v>
      </c>
      <c r="D811" s="280" t="str">
        <f>HYPERLINK("https://sites.wustl.edu/meteoritesite/items/lm_oeh_001/",W811)</f>
        <v>Oued El Hamim 001</v>
      </c>
      <c r="E811" s="376"/>
      <c r="F811" s="377"/>
      <c r="G811" s="377"/>
      <c r="H811" s="378"/>
      <c r="I811" s="281"/>
      <c r="J811" s="282"/>
      <c r="K811" s="282"/>
      <c r="L811" s="283"/>
      <c r="M811" s="379" t="s">
        <v>1725</v>
      </c>
      <c r="N811" s="400"/>
      <c r="O811" s="381" t="s">
        <v>1719</v>
      </c>
      <c r="P811" s="382"/>
      <c r="Q811" s="383"/>
      <c r="R811" s="376" t="s">
        <v>1259</v>
      </c>
      <c r="S811" s="378"/>
      <c r="T811" s="157">
        <v>0</v>
      </c>
      <c r="W811" s="111" t="s">
        <v>1718</v>
      </c>
      <c r="X811" s="61"/>
      <c r="Y811" s="243">
        <v>33180</v>
      </c>
      <c r="Z811" s="243">
        <f t="shared" ref="Z811" si="100">Y811</f>
        <v>33180</v>
      </c>
      <c r="AB811" s="196"/>
      <c r="AC811" s="199"/>
    </row>
    <row r="812" spans="1:29" ht="20.100000000000001" customHeight="1" x14ac:dyDescent="0.25">
      <c r="A812" s="36"/>
      <c r="B812" s="128">
        <f>B808+1</f>
        <v>749</v>
      </c>
      <c r="C812" s="68">
        <v>183</v>
      </c>
      <c r="D812" s="280" t="str">
        <f>HYPERLINK("https://sites.wustl.edu/meteoritesite/items/lm_oa_001/",W812)</f>
        <v>Oued Awlitis 001</v>
      </c>
      <c r="E812" s="376"/>
      <c r="F812" s="377"/>
      <c r="G812" s="377"/>
      <c r="H812" s="378"/>
      <c r="I812" s="281"/>
      <c r="J812" s="282"/>
      <c r="K812" s="282"/>
      <c r="L812" s="283"/>
      <c r="M812" s="379" t="s">
        <v>102</v>
      </c>
      <c r="N812" s="400"/>
      <c r="O812" s="381" t="s">
        <v>787</v>
      </c>
      <c r="P812" s="382"/>
      <c r="Q812" s="383"/>
      <c r="R812" s="376" t="s">
        <v>6</v>
      </c>
      <c r="S812" s="378"/>
      <c r="T812" s="157">
        <v>1</v>
      </c>
      <c r="W812" s="111" t="s">
        <v>367</v>
      </c>
      <c r="X812" s="61"/>
      <c r="Y812" s="243">
        <v>432.5</v>
      </c>
      <c r="Z812" s="243">
        <f t="shared" ref="Z812" si="101">Y812</f>
        <v>432.5</v>
      </c>
      <c r="AB812" s="196"/>
      <c r="AC812" s="199"/>
    </row>
    <row r="813" spans="1:29" ht="20.100000000000001" customHeight="1" x14ac:dyDescent="0.25">
      <c r="A813" s="36"/>
      <c r="B813" s="128">
        <f t="shared" ref="B813:B822" si="102">B812+1</f>
        <v>750</v>
      </c>
      <c r="C813" s="68">
        <v>494</v>
      </c>
      <c r="D813" s="280" t="str">
        <f>HYPERLINK("https://sites.wustl.edu/meteoritesite/items/lm_ouargla_004/",W813)</f>
        <v>Ouargla 004</v>
      </c>
      <c r="E813" s="376" t="s">
        <v>1812</v>
      </c>
      <c r="F813" s="377"/>
      <c r="G813" s="377"/>
      <c r="H813" s="378"/>
      <c r="I813" s="281"/>
      <c r="J813" s="282"/>
      <c r="K813" s="282"/>
      <c r="L813" s="283"/>
      <c r="M813" s="379" t="s">
        <v>1180</v>
      </c>
      <c r="N813" s="400"/>
      <c r="O813" s="381" t="s">
        <v>1130</v>
      </c>
      <c r="P813" s="382"/>
      <c r="Q813" s="383"/>
      <c r="R813" s="376" t="s">
        <v>6</v>
      </c>
      <c r="S813" s="378"/>
      <c r="T813" s="157">
        <v>0</v>
      </c>
      <c r="W813" s="111" t="s">
        <v>1179</v>
      </c>
      <c r="X813" s="61"/>
      <c r="Y813" s="243">
        <v>1046</v>
      </c>
      <c r="Z813" s="243">
        <f t="shared" ref="Z813" si="103">Y813</f>
        <v>1046</v>
      </c>
      <c r="AB813" s="196"/>
      <c r="AC813" s="199"/>
    </row>
    <row r="814" spans="1:29" ht="20.100000000000001" customHeight="1" x14ac:dyDescent="0.25">
      <c r="A814" s="36"/>
      <c r="B814" s="128">
        <f>B813+1</f>
        <v>751</v>
      </c>
      <c r="C814" s="68">
        <v>752</v>
      </c>
      <c r="D814" s="280" t="str">
        <f>HYPERLINK("https://sites.wustl.edu/meteoritesite/items/lm_ouargla_004/",W814)</f>
        <v>Ouargla 007</v>
      </c>
      <c r="E814" s="376" t="s">
        <v>1814</v>
      </c>
      <c r="F814" s="377"/>
      <c r="G814" s="377"/>
      <c r="H814" s="378"/>
      <c r="I814" s="281"/>
      <c r="J814" s="282"/>
      <c r="K814" s="282"/>
      <c r="L814" s="283"/>
      <c r="M814" s="379">
        <v>427</v>
      </c>
      <c r="N814" s="400"/>
      <c r="O814" s="381" t="s">
        <v>1813</v>
      </c>
      <c r="P814" s="382"/>
      <c r="Q814" s="383"/>
      <c r="R814" s="376" t="s">
        <v>1259</v>
      </c>
      <c r="S814" s="378"/>
      <c r="T814" s="157">
        <v>0</v>
      </c>
      <c r="W814" s="111" t="s">
        <v>1812</v>
      </c>
      <c r="X814" s="61"/>
      <c r="Y814" s="243">
        <v>427</v>
      </c>
      <c r="Z814" s="243">
        <f t="shared" ref="Z814:Z815" si="104">Y814</f>
        <v>427</v>
      </c>
      <c r="AB814" s="196"/>
      <c r="AC814" s="199"/>
    </row>
    <row r="815" spans="1:29" ht="20.100000000000001" customHeight="1" x14ac:dyDescent="0.25">
      <c r="A815" s="36"/>
      <c r="B815" s="128">
        <f>B814+1</f>
        <v>752</v>
      </c>
      <c r="C815" s="68">
        <v>774</v>
      </c>
      <c r="D815" s="280" t="str">
        <f>HYPERLINK("https://sites.wustl.edu/meteoritesite/items/lm_ouargla_008/",W815)</f>
        <v>Ouargla 008</v>
      </c>
      <c r="E815" s="376"/>
      <c r="F815" s="377"/>
      <c r="G815" s="377"/>
      <c r="H815" s="378"/>
      <c r="I815" s="281"/>
      <c r="J815" s="282"/>
      <c r="K815" s="282"/>
      <c r="L815" s="283"/>
      <c r="M815" s="379">
        <v>1050</v>
      </c>
      <c r="N815" s="400"/>
      <c r="O815" s="381" t="s">
        <v>1843</v>
      </c>
      <c r="P815" s="382"/>
      <c r="Q815" s="383"/>
      <c r="R815" s="376" t="s">
        <v>1259</v>
      </c>
      <c r="S815" s="378"/>
      <c r="T815" s="157">
        <v>0</v>
      </c>
      <c r="W815" s="111" t="s">
        <v>1862</v>
      </c>
      <c r="X815" s="61"/>
      <c r="Y815" s="243">
        <v>1050</v>
      </c>
      <c r="Z815" s="243">
        <f t="shared" si="104"/>
        <v>1050</v>
      </c>
      <c r="AB815" s="196"/>
      <c r="AC815" s="199"/>
    </row>
    <row r="816" spans="1:29" ht="20.100000000000001" customHeight="1" x14ac:dyDescent="0.25">
      <c r="A816" s="36"/>
      <c r="B816" s="128">
        <f>B815+1</f>
        <v>753</v>
      </c>
      <c r="C816" s="68">
        <v>664</v>
      </c>
      <c r="D816" s="280" t="str">
        <f>HYPERLINK("https://sites.wustl.edu/meteoritesite/items/lm_pakepake_005/",W816)</f>
        <v>Pakepake 005</v>
      </c>
      <c r="E816" s="376"/>
      <c r="F816" s="377"/>
      <c r="G816" s="377"/>
      <c r="H816" s="378"/>
      <c r="I816" s="281"/>
      <c r="J816" s="282"/>
      <c r="K816" s="282"/>
      <c r="L816" s="283"/>
      <c r="M816" s="379">
        <v>44</v>
      </c>
      <c r="N816" s="400"/>
      <c r="O816" s="381" t="s">
        <v>1600</v>
      </c>
      <c r="P816" s="382"/>
      <c r="Q816" s="383"/>
      <c r="R816" s="376" t="s">
        <v>1259</v>
      </c>
      <c r="S816" s="378"/>
      <c r="T816" s="157">
        <v>0</v>
      </c>
      <c r="W816" s="111" t="s">
        <v>1599</v>
      </c>
      <c r="X816" s="61"/>
      <c r="Y816" s="243">
        <v>44</v>
      </c>
      <c r="AB816" s="196"/>
      <c r="AC816" s="199"/>
    </row>
    <row r="817" spans="1:29" ht="20.100000000000001" customHeight="1" x14ac:dyDescent="0.25">
      <c r="A817" s="36"/>
      <c r="B817" s="146">
        <f>B816+1</f>
        <v>754</v>
      </c>
      <c r="C817" s="91">
        <v>49</v>
      </c>
      <c r="D817" s="360" t="str">
        <f>HYPERLINK("https://sites.wustl.edu/meteoritesite/items/lm_pca_02007/",W817)</f>
        <v>Pecora Escarpment 02007</v>
      </c>
      <c r="E817" s="786"/>
      <c r="F817" s="787"/>
      <c r="G817" s="787"/>
      <c r="H817" s="788"/>
      <c r="I817" s="786"/>
      <c r="J817" s="787"/>
      <c r="K817" s="787"/>
      <c r="L817" s="788"/>
      <c r="M817" s="789">
        <v>22.372</v>
      </c>
      <c r="N817" s="790"/>
      <c r="O817" s="791" t="s">
        <v>788</v>
      </c>
      <c r="P817" s="792"/>
      <c r="Q817" s="793"/>
      <c r="R817" s="856" t="s">
        <v>6</v>
      </c>
      <c r="S817" s="857"/>
      <c r="T817" s="342">
        <v>1</v>
      </c>
      <c r="W817" s="218" t="s">
        <v>368</v>
      </c>
      <c r="X817" s="61"/>
      <c r="Y817" s="243">
        <v>22.372</v>
      </c>
      <c r="AB817" s="201">
        <f t="shared" ref="AB817:AB820" si="105">Y817</f>
        <v>22.372</v>
      </c>
      <c r="AC817" s="199"/>
    </row>
    <row r="818" spans="1:29" ht="20.100000000000001" customHeight="1" x14ac:dyDescent="0.25">
      <c r="A818" s="36"/>
      <c r="B818" s="147">
        <f t="shared" si="102"/>
        <v>755</v>
      </c>
      <c r="C818" s="92">
        <v>13</v>
      </c>
      <c r="D818" s="40" t="str">
        <f>HYPERLINK("https://sites.wustl.edu/meteoritesite/items/lm_que_93069/",W818)</f>
        <v>Queen Alexandra Range 93069</v>
      </c>
      <c r="E818" s="530">
        <v>94269</v>
      </c>
      <c r="F818" s="531"/>
      <c r="G818" s="531"/>
      <c r="H818" s="532"/>
      <c r="I818" s="851"/>
      <c r="J818" s="852"/>
      <c r="K818" s="852"/>
      <c r="L818" s="853"/>
      <c r="M818" s="797">
        <v>21.4</v>
      </c>
      <c r="N818" s="798"/>
      <c r="O818" s="848" t="s">
        <v>789</v>
      </c>
      <c r="P818" s="849"/>
      <c r="Q818" s="850"/>
      <c r="R818" s="530" t="s">
        <v>6</v>
      </c>
      <c r="S818" s="532"/>
      <c r="T818" s="343">
        <v>1</v>
      </c>
      <c r="W818" s="114" t="s">
        <v>369</v>
      </c>
      <c r="X818" s="61"/>
      <c r="Y818" s="243">
        <v>21.4</v>
      </c>
      <c r="AB818" s="201">
        <f t="shared" si="105"/>
        <v>21.4</v>
      </c>
      <c r="AC818" s="199"/>
    </row>
    <row r="819" spans="1:29" ht="20.100000000000001" customHeight="1" x14ac:dyDescent="0.25">
      <c r="A819" s="36"/>
      <c r="B819" s="147">
        <f t="shared" si="102"/>
        <v>756</v>
      </c>
      <c r="C819" s="92">
        <v>15</v>
      </c>
      <c r="D819" s="40" t="str">
        <f>HYPERLINK("https://sites.wustl.edu/meteoritesite/items/lm_que_93069/",W819)</f>
        <v>Queen Alexandra Range 94269</v>
      </c>
      <c r="E819" s="530">
        <v>93069</v>
      </c>
      <c r="F819" s="531"/>
      <c r="G819" s="531"/>
      <c r="H819" s="532"/>
      <c r="I819" s="851"/>
      <c r="J819" s="852"/>
      <c r="K819" s="852"/>
      <c r="L819" s="853"/>
      <c r="M819" s="797">
        <v>3.2</v>
      </c>
      <c r="N819" s="798"/>
      <c r="O819" s="848" t="s">
        <v>790</v>
      </c>
      <c r="P819" s="849"/>
      <c r="Q819" s="850"/>
      <c r="R819" s="530" t="s">
        <v>6</v>
      </c>
      <c r="S819" s="532"/>
      <c r="T819" s="343">
        <v>1</v>
      </c>
      <c r="W819" s="114" t="s">
        <v>370</v>
      </c>
      <c r="X819" s="61"/>
      <c r="Y819" s="243">
        <v>3.2</v>
      </c>
      <c r="AB819" s="201">
        <f t="shared" si="105"/>
        <v>3.2</v>
      </c>
      <c r="AC819" s="199"/>
    </row>
    <row r="820" spans="1:29" ht="20.100000000000001" customHeight="1" x14ac:dyDescent="0.25">
      <c r="A820" s="36"/>
      <c r="B820" s="148">
        <f t="shared" si="102"/>
        <v>757</v>
      </c>
      <c r="C820" s="93">
        <v>14</v>
      </c>
      <c r="D820" s="40" t="str">
        <f>HYPERLINK("https://sites.wustl.edu/meteoritesite/items/lm_que_94281/",W820)</f>
        <v>Queen Alexandra Range 94281</v>
      </c>
      <c r="E820" s="851"/>
      <c r="F820" s="852"/>
      <c r="G820" s="852"/>
      <c r="H820" s="853"/>
      <c r="I820" s="530" t="s">
        <v>632</v>
      </c>
      <c r="J820" s="531"/>
      <c r="K820" s="531"/>
      <c r="L820" s="532"/>
      <c r="M820" s="797">
        <v>23.4</v>
      </c>
      <c r="N820" s="798"/>
      <c r="O820" s="848" t="s">
        <v>791</v>
      </c>
      <c r="P820" s="849"/>
      <c r="Q820" s="850"/>
      <c r="R820" s="530" t="s">
        <v>1585</v>
      </c>
      <c r="S820" s="532"/>
      <c r="T820" s="344">
        <v>1</v>
      </c>
      <c r="W820" s="114" t="s">
        <v>371</v>
      </c>
      <c r="X820" s="61"/>
      <c r="Y820" s="243">
        <v>23.4</v>
      </c>
      <c r="AB820" s="201">
        <f t="shared" si="105"/>
        <v>23.4</v>
      </c>
      <c r="AC820" s="199"/>
    </row>
    <row r="821" spans="1:29" ht="20.100000000000001" customHeight="1" x14ac:dyDescent="0.25">
      <c r="A821" s="36"/>
      <c r="B821" s="128">
        <f t="shared" si="102"/>
        <v>758</v>
      </c>
      <c r="C821" s="68">
        <v>541</v>
      </c>
      <c r="D821" s="23" t="str">
        <f>HYPERLINK("https://sites.wustl.edu/meteoritesite/items/lm_quedmya_004/",W821)</f>
        <v>Qued Mya 004</v>
      </c>
      <c r="E821" s="376"/>
      <c r="F821" s="377"/>
      <c r="G821" s="377"/>
      <c r="H821" s="378"/>
      <c r="I821" s="281"/>
      <c r="J821" s="282"/>
      <c r="K821" s="282"/>
      <c r="L821" s="283"/>
      <c r="M821" s="379">
        <v>345</v>
      </c>
      <c r="N821" s="400"/>
      <c r="O821" s="381" t="s">
        <v>1294</v>
      </c>
      <c r="P821" s="382"/>
      <c r="Q821" s="383"/>
      <c r="R821" s="376" t="s">
        <v>1586</v>
      </c>
      <c r="S821" s="378"/>
      <c r="T821" s="157">
        <v>1</v>
      </c>
      <c r="W821" s="111" t="s">
        <v>1293</v>
      </c>
      <c r="X821" s="61"/>
      <c r="Y821" s="247">
        <v>345</v>
      </c>
      <c r="Z821" s="243">
        <f t="shared" ref="Z821:Z829" si="106">Y821</f>
        <v>345</v>
      </c>
      <c r="AB821" s="196"/>
      <c r="AC821" s="199"/>
    </row>
    <row r="822" spans="1:29" ht="20.100000000000001" customHeight="1" x14ac:dyDescent="0.25">
      <c r="A822" s="36"/>
      <c r="B822" s="128">
        <f t="shared" si="102"/>
        <v>759</v>
      </c>
      <c r="C822" s="68">
        <v>280</v>
      </c>
      <c r="D822" s="23" t="str">
        <f>HYPERLINK("https://sites.wustl.edu/meteoritesite/items/lm_nwa_08222_clan/",W822)</f>
        <v>Rabt Sbayta 002</v>
      </c>
      <c r="E822" s="376" t="s">
        <v>487</v>
      </c>
      <c r="F822" s="377"/>
      <c r="G822" s="377"/>
      <c r="H822" s="378"/>
      <c r="I822" s="281"/>
      <c r="J822" s="282"/>
      <c r="K822" s="282"/>
      <c r="L822" s="283"/>
      <c r="M822" s="379">
        <v>6371.9</v>
      </c>
      <c r="N822" s="400"/>
      <c r="O822" s="381" t="s">
        <v>793</v>
      </c>
      <c r="P822" s="382"/>
      <c r="Q822" s="383"/>
      <c r="R822" s="376" t="s">
        <v>6</v>
      </c>
      <c r="S822" s="378"/>
      <c r="T822" s="157">
        <v>1</v>
      </c>
      <c r="W822" s="111" t="s">
        <v>490</v>
      </c>
      <c r="X822" s="61"/>
      <c r="Y822" s="247">
        <v>6371.9</v>
      </c>
      <c r="Z822" s="243">
        <f t="shared" si="106"/>
        <v>6371.9</v>
      </c>
      <c r="AB822" s="196"/>
      <c r="AC822" s="199"/>
    </row>
    <row r="823" spans="1:29" ht="20.100000000000001" customHeight="1" x14ac:dyDescent="0.25">
      <c r="A823" s="36"/>
      <c r="B823" s="128">
        <f t="shared" ref="B823:B829" si="107">B822+1</f>
        <v>760</v>
      </c>
      <c r="C823" s="68">
        <v>286</v>
      </c>
      <c r="D823" s="23" t="str">
        <f>HYPERLINK("https://sites.wustl.edu/meteoritesite/items/lm_nwa_08222_clan/",W823)</f>
        <v>Rabt Sbayta 004</v>
      </c>
      <c r="E823" s="376" t="s">
        <v>487</v>
      </c>
      <c r="F823" s="377"/>
      <c r="G823" s="377"/>
      <c r="H823" s="378"/>
      <c r="I823" s="281"/>
      <c r="J823" s="282"/>
      <c r="K823" s="282"/>
      <c r="L823" s="283"/>
      <c r="M823" s="401">
        <v>15464</v>
      </c>
      <c r="N823" s="462"/>
      <c r="O823" s="381" t="s">
        <v>792</v>
      </c>
      <c r="P823" s="382"/>
      <c r="Q823" s="383"/>
      <c r="R823" s="376" t="s">
        <v>6</v>
      </c>
      <c r="S823" s="378"/>
      <c r="T823" s="157">
        <v>1</v>
      </c>
      <c r="W823" s="111" t="s">
        <v>501</v>
      </c>
      <c r="X823" s="61"/>
      <c r="Y823" s="247">
        <v>15464</v>
      </c>
      <c r="Z823" s="243">
        <f t="shared" si="106"/>
        <v>15464</v>
      </c>
      <c r="AB823" s="196"/>
      <c r="AC823" s="199"/>
    </row>
    <row r="824" spans="1:29" ht="20.100000000000001" customHeight="1" x14ac:dyDescent="0.25">
      <c r="A824" s="36"/>
      <c r="B824" s="128">
        <f t="shared" si="107"/>
        <v>761</v>
      </c>
      <c r="C824" s="68">
        <v>293</v>
      </c>
      <c r="D824" s="23" t="str">
        <f>HYPERLINK("https://sites.wustl.edu/meteoritesite/items/lm_nwa_08222_clan/",W824)</f>
        <v>Rabt Sbayta 005</v>
      </c>
      <c r="E824" s="376" t="s">
        <v>1677</v>
      </c>
      <c r="F824" s="377"/>
      <c r="G824" s="377"/>
      <c r="H824" s="378"/>
      <c r="I824" s="281"/>
      <c r="J824" s="282"/>
      <c r="K824" s="282"/>
      <c r="L824" s="283"/>
      <c r="M824" s="379" t="s">
        <v>513</v>
      </c>
      <c r="N824" s="400"/>
      <c r="O824" s="381" t="s">
        <v>793</v>
      </c>
      <c r="P824" s="382"/>
      <c r="Q824" s="383"/>
      <c r="R824" s="376" t="s">
        <v>6</v>
      </c>
      <c r="S824" s="378"/>
      <c r="T824" s="157">
        <v>0</v>
      </c>
      <c r="W824" s="111" t="s">
        <v>512</v>
      </c>
      <c r="X824" s="61"/>
      <c r="Y824" s="247">
        <v>20.78</v>
      </c>
      <c r="Z824" s="243">
        <f t="shared" si="106"/>
        <v>20.78</v>
      </c>
      <c r="AB824" s="196"/>
      <c r="AC824" s="199"/>
    </row>
    <row r="825" spans="1:29" ht="20.100000000000001" customHeight="1" x14ac:dyDescent="0.25">
      <c r="A825" s="36"/>
      <c r="B825" s="128">
        <f t="shared" si="107"/>
        <v>762</v>
      </c>
      <c r="C825" s="68">
        <v>305</v>
      </c>
      <c r="D825" s="23" t="str">
        <f>HYPERLINK("https://sites.wustl.edu/meteoritesite/items/lm_nwa_08222_clan/",W825)</f>
        <v>Rabt Sbayta 006</v>
      </c>
      <c r="E825" s="376" t="s">
        <v>1677</v>
      </c>
      <c r="F825" s="377"/>
      <c r="G825" s="377"/>
      <c r="H825" s="378"/>
      <c r="I825" s="281"/>
      <c r="J825" s="282"/>
      <c r="K825" s="282"/>
      <c r="L825" s="283"/>
      <c r="M825" s="379" t="s">
        <v>530</v>
      </c>
      <c r="N825" s="400"/>
      <c r="O825" s="381" t="s">
        <v>794</v>
      </c>
      <c r="P825" s="382"/>
      <c r="Q825" s="383"/>
      <c r="R825" s="376" t="s">
        <v>6</v>
      </c>
      <c r="S825" s="378"/>
      <c r="T825" s="157">
        <v>0</v>
      </c>
      <c r="W825" s="111" t="s">
        <v>531</v>
      </c>
      <c r="X825" s="61"/>
      <c r="Y825" s="247">
        <v>4810</v>
      </c>
      <c r="Z825" s="243">
        <f t="shared" si="106"/>
        <v>4810</v>
      </c>
      <c r="AB825" s="196"/>
      <c r="AC825" s="199"/>
    </row>
    <row r="826" spans="1:29" ht="20.100000000000001" customHeight="1" x14ac:dyDescent="0.25">
      <c r="A826" s="36"/>
      <c r="B826" s="128">
        <f t="shared" si="107"/>
        <v>763</v>
      </c>
      <c r="C826" s="68">
        <v>308</v>
      </c>
      <c r="D826" s="224" t="str">
        <f>HYPERLINK("https://sites.wustl.edu/meteoritesite/items/lm_rabt-sbayta_007/",W826)</f>
        <v>Rabt Sbayta 007</v>
      </c>
      <c r="E826" s="376" t="s">
        <v>616</v>
      </c>
      <c r="F826" s="377"/>
      <c r="G826" s="377"/>
      <c r="H826" s="378"/>
      <c r="I826" s="379"/>
      <c r="J826" s="380"/>
      <c r="K826" s="380"/>
      <c r="L826" s="400"/>
      <c r="M826" s="379">
        <v>4432</v>
      </c>
      <c r="N826" s="400"/>
      <c r="O826" s="381" t="s">
        <v>793</v>
      </c>
      <c r="P826" s="382"/>
      <c r="Q826" s="383"/>
      <c r="R826" s="376" t="s">
        <v>6</v>
      </c>
      <c r="S826" s="378"/>
      <c r="T826" s="157">
        <v>1</v>
      </c>
      <c r="W826" s="111" t="s">
        <v>533</v>
      </c>
      <c r="X826" s="61"/>
      <c r="Y826" s="243">
        <v>4432</v>
      </c>
      <c r="Z826" s="243">
        <f t="shared" si="106"/>
        <v>4432</v>
      </c>
      <c r="AB826" s="196"/>
      <c r="AC826" s="199"/>
    </row>
    <row r="827" spans="1:29" ht="20.100000000000001" customHeight="1" x14ac:dyDescent="0.25">
      <c r="A827" s="36"/>
      <c r="B827" s="128">
        <f t="shared" si="107"/>
        <v>764</v>
      </c>
      <c r="C827" s="68">
        <v>309</v>
      </c>
      <c r="D827" s="224" t="str">
        <f>HYPERLINK("https://sites.wustl.edu/meteoritesite/items/lm_rabt-sbayta_008/",W827)</f>
        <v>Rabt Sbayta 008</v>
      </c>
      <c r="E827" s="278"/>
      <c r="F827" s="279"/>
      <c r="G827" s="279"/>
      <c r="H827" s="280"/>
      <c r="I827" s="281"/>
      <c r="J827" s="282"/>
      <c r="K827" s="282"/>
      <c r="L827" s="283"/>
      <c r="M827" s="379">
        <v>229</v>
      </c>
      <c r="N827" s="400"/>
      <c r="O827" s="381" t="s">
        <v>795</v>
      </c>
      <c r="P827" s="382"/>
      <c r="Q827" s="383"/>
      <c r="R827" s="376" t="s">
        <v>6</v>
      </c>
      <c r="S827" s="378"/>
      <c r="T827" s="157">
        <v>1</v>
      </c>
      <c r="W827" s="111" t="s">
        <v>534</v>
      </c>
      <c r="X827" s="61"/>
      <c r="Y827" s="243">
        <v>229</v>
      </c>
      <c r="Z827" s="243">
        <f t="shared" si="106"/>
        <v>229</v>
      </c>
      <c r="AB827" s="196"/>
      <c r="AC827" s="199"/>
    </row>
    <row r="828" spans="1:29" ht="20.100000000000001" customHeight="1" x14ac:dyDescent="0.25">
      <c r="A828" s="36"/>
      <c r="B828" s="128">
        <f t="shared" si="107"/>
        <v>765</v>
      </c>
      <c r="C828" s="68">
        <v>551</v>
      </c>
      <c r="D828" s="23" t="str">
        <f>HYPERLINK("https://sites.wustl.edu/meteoritesite/items/lm_rafsa_002/",W828)</f>
        <v>Rafsa 002</v>
      </c>
      <c r="E828" s="376" t="s">
        <v>1681</v>
      </c>
      <c r="F828" s="377"/>
      <c r="G828" s="377"/>
      <c r="H828" s="378"/>
      <c r="I828" s="281"/>
      <c r="J828" s="282"/>
      <c r="K828" s="282"/>
      <c r="L828" s="283"/>
      <c r="M828" s="379">
        <v>176.7</v>
      </c>
      <c r="N828" s="400"/>
      <c r="O828" s="381" t="s">
        <v>1312</v>
      </c>
      <c r="P828" s="382"/>
      <c r="Q828" s="383"/>
      <c r="R828" s="376" t="s">
        <v>961</v>
      </c>
      <c r="S828" s="378"/>
      <c r="T828" s="157">
        <v>0</v>
      </c>
      <c r="W828" s="111" t="s">
        <v>1311</v>
      </c>
      <c r="X828" s="61"/>
      <c r="Y828" s="247">
        <v>176.7</v>
      </c>
      <c r="Z828" s="243">
        <f t="shared" si="106"/>
        <v>176.7</v>
      </c>
      <c r="AB828" s="196"/>
      <c r="AC828" s="199"/>
    </row>
    <row r="829" spans="1:29" ht="20.100000000000001" customHeight="1" x14ac:dyDescent="0.25">
      <c r="A829" s="36"/>
      <c r="B829" s="128">
        <f t="shared" si="107"/>
        <v>766</v>
      </c>
      <c r="C829" s="68">
        <v>704</v>
      </c>
      <c r="D829" s="23" t="str">
        <f>HYPERLINK("https://sites.wustl.edu/meteoritesite/items/lm_reggane_007/",W829)</f>
        <v>Reggane 007</v>
      </c>
      <c r="E829" s="376" t="s">
        <v>603</v>
      </c>
      <c r="F829" s="377"/>
      <c r="G829" s="377"/>
      <c r="H829" s="378"/>
      <c r="I829" s="281"/>
      <c r="J829" s="282"/>
      <c r="K829" s="282"/>
      <c r="L829" s="283"/>
      <c r="M829" s="379">
        <v>88.8</v>
      </c>
      <c r="N829" s="400"/>
      <c r="O829" s="381" t="s">
        <v>1433</v>
      </c>
      <c r="P829" s="382"/>
      <c r="Q829" s="383"/>
      <c r="R829" s="376" t="s">
        <v>6</v>
      </c>
      <c r="S829" s="378"/>
      <c r="T829" s="157">
        <v>0</v>
      </c>
      <c r="W829" s="111" t="s">
        <v>1704</v>
      </c>
      <c r="X829" s="61"/>
      <c r="Y829" s="247">
        <v>88.8</v>
      </c>
      <c r="Z829" s="243">
        <f t="shared" si="106"/>
        <v>88.8</v>
      </c>
      <c r="AB829" s="196"/>
      <c r="AC829" s="199"/>
    </row>
    <row r="830" spans="1:29" ht="20.100000000000001" customHeight="1" x14ac:dyDescent="0.25">
      <c r="A830" s="36"/>
      <c r="B830" s="226">
        <f>B829+1</f>
        <v>767</v>
      </c>
      <c r="C830" s="227">
        <v>478</v>
      </c>
      <c r="D830" s="361" t="str">
        <f>HYPERLINK("https://sites.wustl.edu/meteoritesite/items/lm_rf_532/",W830)</f>
        <v>Ramlat Fasad 532</v>
      </c>
      <c r="E830" s="858">
        <v>535</v>
      </c>
      <c r="F830" s="860"/>
      <c r="G830" s="860"/>
      <c r="H830" s="859"/>
      <c r="I830" s="858" t="s">
        <v>1664</v>
      </c>
      <c r="J830" s="860"/>
      <c r="K830" s="860"/>
      <c r="L830" s="859"/>
      <c r="M830" s="854">
        <v>245.202</v>
      </c>
      <c r="N830" s="855"/>
      <c r="O830" s="880" t="s">
        <v>1160</v>
      </c>
      <c r="P830" s="881"/>
      <c r="Q830" s="882"/>
      <c r="R830" s="858" t="s">
        <v>687</v>
      </c>
      <c r="S830" s="859"/>
      <c r="T830" s="345">
        <v>0</v>
      </c>
      <c r="W830" s="220" t="s">
        <v>1159</v>
      </c>
      <c r="X830" s="61"/>
      <c r="Y830" s="269">
        <v>245.202</v>
      </c>
      <c r="AA830" s="225">
        <v>245.202</v>
      </c>
      <c r="AB830" s="196"/>
      <c r="AC830" s="199"/>
    </row>
    <row r="831" spans="1:29" ht="20.100000000000001" customHeight="1" x14ac:dyDescent="0.25">
      <c r="A831" s="36"/>
      <c r="B831" s="226">
        <f>B830+1</f>
        <v>768</v>
      </c>
      <c r="C831" s="227">
        <v>685</v>
      </c>
      <c r="D831" s="361" t="str">
        <f>HYPERLINK("https://sites.wustl.edu/meteoritesite/items/lm_rf_532/",W831)</f>
        <v>Ramlat Fasad 535</v>
      </c>
      <c r="E831" s="858">
        <v>532</v>
      </c>
      <c r="F831" s="860"/>
      <c r="G831" s="860"/>
      <c r="H831" s="859"/>
      <c r="I831" s="858" t="s">
        <v>1664</v>
      </c>
      <c r="J831" s="860"/>
      <c r="K831" s="860"/>
      <c r="L831" s="859"/>
      <c r="M831" s="854">
        <v>116.211</v>
      </c>
      <c r="N831" s="855"/>
      <c r="O831" s="880" t="s">
        <v>1658</v>
      </c>
      <c r="P831" s="881"/>
      <c r="Q831" s="882"/>
      <c r="R831" s="858" t="s">
        <v>687</v>
      </c>
      <c r="S831" s="859"/>
      <c r="T831" s="345">
        <v>0</v>
      </c>
      <c r="W831" s="220" t="s">
        <v>1657</v>
      </c>
      <c r="X831" s="61"/>
      <c r="Y831" s="269">
        <v>116.211</v>
      </c>
      <c r="AA831" s="269">
        <v>116.211</v>
      </c>
      <c r="AB831" s="196"/>
      <c r="AC831" s="199"/>
    </row>
    <row r="832" spans="1:29" ht="20.100000000000001" customHeight="1" x14ac:dyDescent="0.25">
      <c r="A832" s="36"/>
      <c r="B832" s="226">
        <f>B831+1</f>
        <v>769</v>
      </c>
      <c r="C832" s="227">
        <v>617</v>
      </c>
      <c r="D832" s="361" t="str">
        <f>HYPERLINK("https://sites.wustl.edu/meteoritesite/items/lm_rf_600/",W832)</f>
        <v>Ramlat Fasad 600</v>
      </c>
      <c r="E832" s="858" t="s">
        <v>603</v>
      </c>
      <c r="F832" s="860"/>
      <c r="G832" s="860"/>
      <c r="H832" s="859"/>
      <c r="I832" s="883"/>
      <c r="J832" s="884"/>
      <c r="K832" s="884"/>
      <c r="L832" s="885"/>
      <c r="M832" s="854">
        <v>59.5</v>
      </c>
      <c r="N832" s="855"/>
      <c r="O832" s="880" t="s">
        <v>1489</v>
      </c>
      <c r="P832" s="881"/>
      <c r="Q832" s="882"/>
      <c r="R832" s="858" t="s">
        <v>6</v>
      </c>
      <c r="S832" s="859"/>
      <c r="T832" s="345">
        <v>0</v>
      </c>
      <c r="W832" s="220" t="s">
        <v>1488</v>
      </c>
      <c r="X832" s="61"/>
      <c r="Y832" s="262">
        <v>59.5</v>
      </c>
      <c r="AA832" s="262">
        <v>59.5</v>
      </c>
      <c r="AB832" s="196"/>
      <c r="AC832" s="199"/>
    </row>
    <row r="833" spans="1:29" ht="20.100000000000001" customHeight="1" x14ac:dyDescent="0.25">
      <c r="A833" s="36"/>
      <c r="B833" s="149">
        <f>B832+1</f>
        <v>770</v>
      </c>
      <c r="C833" s="94">
        <v>47</v>
      </c>
      <c r="D833" s="362" t="str">
        <f>HYPERLINK("https://sites.wustl.edu/meteoritesite/items/lm_sau_169/",W833)</f>
        <v>Sayh al Uhaymir 169</v>
      </c>
      <c r="E833" s="861"/>
      <c r="F833" s="862"/>
      <c r="G833" s="862"/>
      <c r="H833" s="863"/>
      <c r="I833" s="861" t="s">
        <v>4</v>
      </c>
      <c r="J833" s="862"/>
      <c r="K833" s="862"/>
      <c r="L833" s="863"/>
      <c r="M833" s="799">
        <v>206.45400000000001</v>
      </c>
      <c r="N833" s="800"/>
      <c r="O833" s="864" t="s">
        <v>796</v>
      </c>
      <c r="P833" s="865"/>
      <c r="Q833" s="866"/>
      <c r="R833" s="867" t="s">
        <v>1587</v>
      </c>
      <c r="S833" s="869"/>
      <c r="T833" s="346">
        <v>1</v>
      </c>
      <c r="W833" s="219" t="s">
        <v>372</v>
      </c>
      <c r="X833" s="61"/>
      <c r="Y833" s="243">
        <v>206.45400000000001</v>
      </c>
      <c r="AA833" s="195">
        <f>Y833</f>
        <v>206.45400000000001</v>
      </c>
      <c r="AB833" s="196"/>
      <c r="AC833" s="199"/>
    </row>
    <row r="834" spans="1:29" ht="20.100000000000001" customHeight="1" x14ac:dyDescent="0.25">
      <c r="A834" s="36"/>
      <c r="B834" s="149">
        <f t="shared" ref="B834:B839" si="108">B833+1</f>
        <v>771</v>
      </c>
      <c r="C834" s="94">
        <v>94</v>
      </c>
      <c r="D834" s="362" t="str">
        <f>HYPERLINK("https://sites.wustl.edu/meteoritesite/items/lm_sau_300/",W834)</f>
        <v>Sayh al Uhaymir 300</v>
      </c>
      <c r="E834" s="861"/>
      <c r="F834" s="469"/>
      <c r="G834" s="469"/>
      <c r="H834" s="470"/>
      <c r="I834" s="867" t="s">
        <v>388</v>
      </c>
      <c r="J834" s="868"/>
      <c r="K834" s="868"/>
      <c r="L834" s="869"/>
      <c r="M834" s="799">
        <v>152.6</v>
      </c>
      <c r="N834" s="800"/>
      <c r="O834" s="864" t="s">
        <v>797</v>
      </c>
      <c r="P834" s="865"/>
      <c r="Q834" s="866"/>
      <c r="R834" s="867" t="s">
        <v>6</v>
      </c>
      <c r="S834" s="869"/>
      <c r="T834" s="346">
        <v>1</v>
      </c>
      <c r="W834" s="219" t="s">
        <v>373</v>
      </c>
      <c r="X834" s="61"/>
      <c r="Y834" s="243">
        <v>152.6</v>
      </c>
      <c r="AA834" s="195">
        <f t="shared" ref="AA834:AA839" si="109">Y834</f>
        <v>152.6</v>
      </c>
      <c r="AB834" s="196"/>
      <c r="AC834" s="199"/>
    </row>
    <row r="835" spans="1:29" ht="20.100000000000001" customHeight="1" x14ac:dyDescent="0.25">
      <c r="A835" s="36"/>
      <c r="B835" s="149">
        <f t="shared" si="108"/>
        <v>772</v>
      </c>
      <c r="C835" s="94">
        <v>111</v>
      </c>
      <c r="D835" s="362" t="str">
        <f>HYPERLINK("https://sites.wustl.edu/meteoritesite/items/lm_sau_449/",W835)</f>
        <v>Sayh al Uhaymir 449</v>
      </c>
      <c r="E835" s="861"/>
      <c r="F835" s="469"/>
      <c r="G835" s="469"/>
      <c r="H835" s="470"/>
      <c r="I835" s="867" t="s">
        <v>419</v>
      </c>
      <c r="J835" s="868"/>
      <c r="K835" s="868"/>
      <c r="L835" s="869"/>
      <c r="M835" s="799">
        <v>16.5</v>
      </c>
      <c r="N835" s="800"/>
      <c r="O835" s="864" t="s">
        <v>798</v>
      </c>
      <c r="P835" s="865"/>
      <c r="Q835" s="866"/>
      <c r="R835" s="867" t="s">
        <v>1573</v>
      </c>
      <c r="S835" s="869"/>
      <c r="T835" s="346">
        <v>1</v>
      </c>
      <c r="W835" s="219" t="s">
        <v>374</v>
      </c>
      <c r="X835" s="61"/>
      <c r="Y835" s="243">
        <v>16.5</v>
      </c>
      <c r="AA835" s="195">
        <f t="shared" si="109"/>
        <v>16.5</v>
      </c>
      <c r="AB835" s="196"/>
      <c r="AC835" s="199"/>
    </row>
    <row r="836" spans="1:29" ht="20.100000000000001" customHeight="1" x14ac:dyDescent="0.25">
      <c r="A836" s="36"/>
      <c r="B836" s="150">
        <f t="shared" si="108"/>
        <v>773</v>
      </c>
      <c r="C836" s="95">
        <v>128</v>
      </c>
      <c r="D836" s="363" t="str">
        <f>HYPERLINK("https://sites.wustl.edu/meteoritesite/items/lm_shisr_160/",W836)</f>
        <v>Shişr 160</v>
      </c>
      <c r="E836" s="468"/>
      <c r="F836" s="469"/>
      <c r="G836" s="469"/>
      <c r="H836" s="470"/>
      <c r="I836" s="468"/>
      <c r="J836" s="469"/>
      <c r="K836" s="469"/>
      <c r="L836" s="470"/>
      <c r="M836" s="528">
        <v>100.86</v>
      </c>
      <c r="N836" s="529"/>
      <c r="O836" s="801" t="s">
        <v>799</v>
      </c>
      <c r="P836" s="802"/>
      <c r="Q836" s="803"/>
      <c r="R836" s="466" t="s">
        <v>6</v>
      </c>
      <c r="S836" s="467"/>
      <c r="T836" s="347">
        <v>1</v>
      </c>
      <c r="W836" s="220" t="s">
        <v>375</v>
      </c>
      <c r="X836" s="61"/>
      <c r="Y836" s="243">
        <v>100.86</v>
      </c>
      <c r="AA836" s="195">
        <f t="shared" si="109"/>
        <v>100.86</v>
      </c>
      <c r="AB836" s="196"/>
      <c r="AC836" s="199"/>
    </row>
    <row r="837" spans="1:29" ht="20.100000000000001" customHeight="1" x14ac:dyDescent="0.25">
      <c r="A837" s="36"/>
      <c r="B837" s="150">
        <f t="shared" si="108"/>
        <v>774</v>
      </c>
      <c r="C837" s="95">
        <v>124</v>
      </c>
      <c r="D837" s="363" t="str">
        <f>HYPERLINK("https://sites.wustl.edu/meteoritesite/items/lm_shisr_161/",W837)</f>
        <v>Shişr 161</v>
      </c>
      <c r="E837" s="468"/>
      <c r="F837" s="469"/>
      <c r="G837" s="469"/>
      <c r="H837" s="470"/>
      <c r="I837" s="468"/>
      <c r="J837" s="469"/>
      <c r="K837" s="469"/>
      <c r="L837" s="470"/>
      <c r="M837" s="528">
        <v>57.2</v>
      </c>
      <c r="N837" s="529"/>
      <c r="O837" s="508" t="s">
        <v>800</v>
      </c>
      <c r="P837" s="509"/>
      <c r="Q837" s="510"/>
      <c r="R837" s="466" t="s">
        <v>6</v>
      </c>
      <c r="S837" s="467"/>
      <c r="T837" s="347">
        <v>1</v>
      </c>
      <c r="W837" s="220" t="s">
        <v>376</v>
      </c>
      <c r="X837" s="61"/>
      <c r="Y837" s="243">
        <v>57.2</v>
      </c>
      <c r="AA837" s="195">
        <f t="shared" si="109"/>
        <v>57.2</v>
      </c>
      <c r="AB837" s="196"/>
      <c r="AC837" s="199"/>
    </row>
    <row r="838" spans="1:29" ht="20.100000000000001" customHeight="1" x14ac:dyDescent="0.25">
      <c r="A838" s="36"/>
      <c r="B838" s="150">
        <f t="shared" si="108"/>
        <v>775</v>
      </c>
      <c r="C838" s="95">
        <v>135</v>
      </c>
      <c r="D838" s="363" t="str">
        <f>HYPERLINK("https://sites.wustl.edu/meteoritesite/items/lm_shisr_162/",W838)</f>
        <v>Shişr 162</v>
      </c>
      <c r="E838" s="468"/>
      <c r="F838" s="469"/>
      <c r="G838" s="469"/>
      <c r="H838" s="470"/>
      <c r="I838" s="468"/>
      <c r="J838" s="469"/>
      <c r="K838" s="469"/>
      <c r="L838" s="470"/>
      <c r="M838" s="886">
        <v>5525</v>
      </c>
      <c r="N838" s="887"/>
      <c r="O838" s="801" t="s">
        <v>801</v>
      </c>
      <c r="P838" s="802"/>
      <c r="Q838" s="803"/>
      <c r="R838" s="466" t="s">
        <v>6</v>
      </c>
      <c r="S838" s="467"/>
      <c r="T838" s="347">
        <v>1</v>
      </c>
      <c r="W838" s="220" t="s">
        <v>377</v>
      </c>
      <c r="X838" s="61"/>
      <c r="Y838" s="243">
        <v>5525</v>
      </c>
      <c r="Z838" s="249"/>
      <c r="AA838" s="195">
        <f t="shared" si="109"/>
        <v>5525</v>
      </c>
      <c r="AB838" s="196"/>
      <c r="AC838" s="199"/>
    </row>
    <row r="839" spans="1:29" ht="20.100000000000001" customHeight="1" x14ac:dyDescent="0.25">
      <c r="A839" s="36"/>
      <c r="B839" s="150">
        <f t="shared" si="108"/>
        <v>776</v>
      </c>
      <c r="C839" s="95">
        <v>130</v>
      </c>
      <c r="D839" s="363" t="str">
        <f>HYPERLINK("https://sites.wustl.edu/meteoritesite/items/lm_shisr_166/",W839)</f>
        <v>Shişr 166</v>
      </c>
      <c r="E839" s="468"/>
      <c r="F839" s="469"/>
      <c r="G839" s="469"/>
      <c r="H839" s="470"/>
      <c r="I839" s="466"/>
      <c r="J839" s="836"/>
      <c r="K839" s="836"/>
      <c r="L839" s="467"/>
      <c r="M839" s="528">
        <v>128.80000000000001</v>
      </c>
      <c r="N839" s="529"/>
      <c r="O839" s="801" t="s">
        <v>802</v>
      </c>
      <c r="P839" s="802"/>
      <c r="Q839" s="803"/>
      <c r="R839" s="466" t="s">
        <v>6</v>
      </c>
      <c r="S839" s="467"/>
      <c r="T839" s="347">
        <v>1</v>
      </c>
      <c r="W839" s="220" t="s">
        <v>378</v>
      </c>
      <c r="X839" s="61"/>
      <c r="Y839" s="243">
        <v>128.80000000000001</v>
      </c>
      <c r="AA839" s="195">
        <f t="shared" si="109"/>
        <v>128.80000000000001</v>
      </c>
      <c r="AB839" s="196"/>
      <c r="AC839" s="199"/>
    </row>
    <row r="840" spans="1:29" ht="36" customHeight="1" x14ac:dyDescent="0.25">
      <c r="A840" s="36"/>
      <c r="B840" s="125" t="s">
        <v>402</v>
      </c>
      <c r="C840" s="30" t="s">
        <v>1034</v>
      </c>
      <c r="D840" s="33" t="s">
        <v>915</v>
      </c>
      <c r="E840" s="420" t="s">
        <v>916</v>
      </c>
      <c r="F840" s="421"/>
      <c r="G840" s="421"/>
      <c r="H840" s="422"/>
      <c r="I840" s="423" t="s">
        <v>917</v>
      </c>
      <c r="J840" s="424"/>
      <c r="K840" s="424"/>
      <c r="L840" s="425"/>
      <c r="M840" s="430" t="s">
        <v>918</v>
      </c>
      <c r="N840" s="431"/>
      <c r="O840" s="426" t="s">
        <v>919</v>
      </c>
      <c r="P840" s="427"/>
      <c r="Q840" s="428"/>
      <c r="R840" s="423" t="s">
        <v>920</v>
      </c>
      <c r="S840" s="425"/>
      <c r="T840" s="5" t="s">
        <v>5</v>
      </c>
      <c r="Y840" s="243"/>
      <c r="AB840" s="196"/>
      <c r="AC840" s="199"/>
    </row>
    <row r="841" spans="1:29" ht="20.100000000000001" customHeight="1" x14ac:dyDescent="0.25">
      <c r="A841" s="36"/>
      <c r="B841" s="128">
        <f>B839+1</f>
        <v>777</v>
      </c>
      <c r="C841" s="68">
        <v>392</v>
      </c>
      <c r="D841" s="23" t="str">
        <f>HYPERLINK("https://sites.wustl.edu/meteoritesite/items/lm_nwa_10495/",W841)</f>
        <v>Sueilila 005</v>
      </c>
      <c r="E841" s="376" t="s">
        <v>1053</v>
      </c>
      <c r="F841" s="377"/>
      <c r="G841" s="377"/>
      <c r="H841" s="378"/>
      <c r="I841" s="379"/>
      <c r="J841" s="380"/>
      <c r="K841" s="380"/>
      <c r="L841" s="400"/>
      <c r="M841" s="379">
        <v>282</v>
      </c>
      <c r="N841" s="400"/>
      <c r="O841" s="381" t="s">
        <v>950</v>
      </c>
      <c r="P841" s="382"/>
      <c r="Q841" s="383"/>
      <c r="R841" s="376" t="s">
        <v>6</v>
      </c>
      <c r="S841" s="378"/>
      <c r="T841" s="157">
        <v>1</v>
      </c>
      <c r="W841" s="111" t="s">
        <v>698</v>
      </c>
      <c r="X841" s="61"/>
      <c r="Y841" s="243">
        <v>282</v>
      </c>
      <c r="Z841" s="243">
        <f t="shared" ref="Z841:Z858" si="110">Y841</f>
        <v>282</v>
      </c>
      <c r="AB841" s="196"/>
      <c r="AC841" s="199"/>
    </row>
    <row r="842" spans="1:29" ht="20.100000000000001" customHeight="1" x14ac:dyDescent="0.25">
      <c r="A842" s="36"/>
      <c r="B842" s="128">
        <f t="shared" ref="B842:B843" si="111">B841+1</f>
        <v>778</v>
      </c>
      <c r="C842" s="68">
        <v>387</v>
      </c>
      <c r="D842" s="224" t="str">
        <f>HYPERLINK("https://sites.wustl.edu/meteoritesite/items/lm_swayyah_001/",W842)</f>
        <v>Swayyah 001</v>
      </c>
      <c r="E842" s="376" t="s">
        <v>1678</v>
      </c>
      <c r="F842" s="377"/>
      <c r="G842" s="377"/>
      <c r="H842" s="378"/>
      <c r="I842" s="379"/>
      <c r="J842" s="380"/>
      <c r="K842" s="380"/>
      <c r="L842" s="400"/>
      <c r="M842" s="379" t="s">
        <v>690</v>
      </c>
      <c r="N842" s="400"/>
      <c r="O842" s="381" t="s">
        <v>803</v>
      </c>
      <c r="P842" s="382"/>
      <c r="Q842" s="383"/>
      <c r="R842" s="376" t="s">
        <v>687</v>
      </c>
      <c r="S842" s="378"/>
      <c r="T842" s="157">
        <v>0</v>
      </c>
      <c r="W842" s="111" t="s">
        <v>951</v>
      </c>
      <c r="X842" s="61"/>
      <c r="Y842" s="243">
        <v>4602</v>
      </c>
      <c r="Z842" s="243">
        <f t="shared" si="110"/>
        <v>4602</v>
      </c>
      <c r="AB842" s="196"/>
      <c r="AC842" s="199"/>
    </row>
    <row r="843" spans="1:29" ht="20.100000000000001" customHeight="1" x14ac:dyDescent="0.25">
      <c r="A843" s="36"/>
      <c r="B843" s="128">
        <f t="shared" si="111"/>
        <v>779</v>
      </c>
      <c r="C843" s="68">
        <v>436</v>
      </c>
      <c r="D843" s="23" t="str">
        <f>HYPERLINK("https://sites.wustl.edu/meteoritesite/items/lm_swayyah_003/",W843)</f>
        <v>Swayyah 003</v>
      </c>
      <c r="E843" s="376" t="s">
        <v>1680</v>
      </c>
      <c r="F843" s="377"/>
      <c r="G843" s="377"/>
      <c r="H843" s="378"/>
      <c r="I843" s="379"/>
      <c r="J843" s="380"/>
      <c r="K843" s="380"/>
      <c r="L843" s="400"/>
      <c r="M843" s="379">
        <v>208</v>
      </c>
      <c r="N843" s="400"/>
      <c r="O843" s="381" t="s">
        <v>1063</v>
      </c>
      <c r="P843" s="382"/>
      <c r="Q843" s="383"/>
      <c r="R843" s="376" t="s">
        <v>6</v>
      </c>
      <c r="S843" s="378"/>
      <c r="T843" s="157">
        <v>0</v>
      </c>
      <c r="W843" s="111" t="s">
        <v>1062</v>
      </c>
      <c r="X843" s="61"/>
      <c r="Y843" s="243">
        <v>208</v>
      </c>
      <c r="Z843" s="243">
        <f t="shared" si="110"/>
        <v>208</v>
      </c>
      <c r="AB843" s="196"/>
      <c r="AC843" s="199"/>
    </row>
    <row r="844" spans="1:29" ht="20.100000000000001" customHeight="1" x14ac:dyDescent="0.25">
      <c r="A844" s="36"/>
      <c r="B844" s="128">
        <f t="shared" ref="B844:B850" si="112">B843+1</f>
        <v>780</v>
      </c>
      <c r="C844" s="68">
        <v>475</v>
      </c>
      <c r="D844" s="224" t="str">
        <f>HYPERLINK("https://sites.wustl.edu/meteoritesite/items/lm_swayyah_001/",W844)</f>
        <v>Swayyah 004</v>
      </c>
      <c r="E844" s="376" t="s">
        <v>1679</v>
      </c>
      <c r="F844" s="377"/>
      <c r="G844" s="377"/>
      <c r="H844" s="378"/>
      <c r="I844" s="281"/>
      <c r="J844" s="282"/>
      <c r="K844" s="282"/>
      <c r="L844" s="283"/>
      <c r="M844" s="379">
        <v>1700</v>
      </c>
      <c r="N844" s="400"/>
      <c r="O844" s="381" t="s">
        <v>1058</v>
      </c>
      <c r="P844" s="382"/>
      <c r="Q844" s="383"/>
      <c r="R844" s="376" t="s">
        <v>1145</v>
      </c>
      <c r="S844" s="378"/>
      <c r="T844" s="157">
        <v>0</v>
      </c>
      <c r="W844" s="111" t="s">
        <v>1146</v>
      </c>
      <c r="X844" s="61"/>
      <c r="Y844" s="243">
        <v>1700</v>
      </c>
      <c r="Z844" s="243">
        <v>1700</v>
      </c>
      <c r="AB844" s="196"/>
      <c r="AC844" s="199"/>
    </row>
    <row r="845" spans="1:29" ht="20.100000000000001" customHeight="1" x14ac:dyDescent="0.25">
      <c r="A845" s="36"/>
      <c r="B845" s="128">
        <f t="shared" si="112"/>
        <v>781</v>
      </c>
      <c r="C845" s="68">
        <v>310</v>
      </c>
      <c r="D845" s="224" t="str">
        <f>HYPERLINK("https://sites.wustl.edu/meteoritesite/items/lm_talhat_lihoudi/",W845)</f>
        <v>Talhat Lihoudi</v>
      </c>
      <c r="E845" s="376"/>
      <c r="F845" s="377"/>
      <c r="G845" s="377"/>
      <c r="H845" s="378"/>
      <c r="I845" s="379"/>
      <c r="J845" s="380"/>
      <c r="K845" s="380"/>
      <c r="L845" s="400"/>
      <c r="M845" s="379">
        <v>61.5</v>
      </c>
      <c r="N845" s="400"/>
      <c r="O845" s="381" t="s">
        <v>793</v>
      </c>
      <c r="P845" s="382"/>
      <c r="Q845" s="383"/>
      <c r="R845" s="376" t="s">
        <v>6</v>
      </c>
      <c r="S845" s="378"/>
      <c r="T845" s="157">
        <v>1</v>
      </c>
      <c r="W845" s="111" t="s">
        <v>548</v>
      </c>
      <c r="X845" s="61"/>
      <c r="Y845" s="243">
        <v>61.5</v>
      </c>
      <c r="Z845" s="243">
        <f t="shared" si="110"/>
        <v>61.5</v>
      </c>
      <c r="AB845" s="196"/>
      <c r="AC845" s="199"/>
    </row>
    <row r="846" spans="1:29" ht="20.100000000000001" customHeight="1" x14ac:dyDescent="0.25">
      <c r="A846" s="36"/>
      <c r="B846" s="128">
        <f t="shared" si="112"/>
        <v>782</v>
      </c>
      <c r="C846" s="68">
        <v>431</v>
      </c>
      <c r="D846" s="23" t="str">
        <f>HYPERLINK("https://sites.wustl.edu/meteoritesite/items/lm_tata001/",W846)</f>
        <v>Tata 001</v>
      </c>
      <c r="E846" s="376" t="s">
        <v>603</v>
      </c>
      <c r="F846" s="377"/>
      <c r="G846" s="377"/>
      <c r="H846" s="378"/>
      <c r="I846" s="379"/>
      <c r="J846" s="380"/>
      <c r="K846" s="380"/>
      <c r="L846" s="400"/>
      <c r="M846" s="379">
        <v>1.91</v>
      </c>
      <c r="N846" s="400"/>
      <c r="O846" s="381" t="s">
        <v>1058</v>
      </c>
      <c r="P846" s="382"/>
      <c r="Q846" s="383"/>
      <c r="R846" s="376" t="s">
        <v>6</v>
      </c>
      <c r="S846" s="378"/>
      <c r="T846" s="157">
        <v>0</v>
      </c>
      <c r="W846" s="111" t="s">
        <v>1057</v>
      </c>
      <c r="X846" s="61"/>
      <c r="Y846" s="244">
        <v>1.91</v>
      </c>
      <c r="Z846" s="243">
        <f t="shared" si="110"/>
        <v>1.91</v>
      </c>
      <c r="AB846" s="196"/>
      <c r="AC846" s="199"/>
    </row>
    <row r="847" spans="1:29" ht="20.100000000000001" customHeight="1" x14ac:dyDescent="0.25">
      <c r="A847" s="36"/>
      <c r="B847" s="128">
        <f t="shared" si="112"/>
        <v>783</v>
      </c>
      <c r="C847" s="68">
        <v>297</v>
      </c>
      <c r="D847" s="224" t="str">
        <f>HYPERLINK("https://sites.wustl.edu/meteoritesite/items/lm_tichiya/",W847)</f>
        <v>Tichiya</v>
      </c>
      <c r="E847" s="376"/>
      <c r="F847" s="377"/>
      <c r="G847" s="377"/>
      <c r="H847" s="378"/>
      <c r="I847" s="379"/>
      <c r="J847" s="380"/>
      <c r="K847" s="380"/>
      <c r="L847" s="400"/>
      <c r="M847" s="379" t="s">
        <v>515</v>
      </c>
      <c r="N847" s="400"/>
      <c r="O847" s="381" t="s">
        <v>804</v>
      </c>
      <c r="P847" s="382"/>
      <c r="Q847" s="383"/>
      <c r="R847" s="376" t="s">
        <v>1573</v>
      </c>
      <c r="S847" s="378"/>
      <c r="T847" s="157">
        <v>1</v>
      </c>
      <c r="W847" s="111" t="s">
        <v>545</v>
      </c>
      <c r="X847" s="61"/>
      <c r="Y847" s="241">
        <v>9354</v>
      </c>
      <c r="Z847" s="243">
        <f t="shared" si="110"/>
        <v>9354</v>
      </c>
      <c r="AB847" s="196"/>
      <c r="AC847" s="199"/>
    </row>
    <row r="848" spans="1:29" ht="20.100000000000001" customHeight="1" x14ac:dyDescent="0.25">
      <c r="A848" s="36"/>
      <c r="B848" s="128">
        <f t="shared" si="112"/>
        <v>784</v>
      </c>
      <c r="C848" s="68">
        <v>452</v>
      </c>
      <c r="D848" s="224" t="str">
        <f>HYPERLINK("https://sites.wustl.edu/meteoritesite/items/lm_tichiya_003/",W848)</f>
        <v>Tichiya 003</v>
      </c>
      <c r="E848" s="376" t="s">
        <v>603</v>
      </c>
      <c r="F848" s="377"/>
      <c r="G848" s="377"/>
      <c r="H848" s="378"/>
      <c r="I848" s="379"/>
      <c r="J848" s="380"/>
      <c r="K848" s="380"/>
      <c r="L848" s="400"/>
      <c r="M848" s="379" t="s">
        <v>1096</v>
      </c>
      <c r="N848" s="400"/>
      <c r="O848" s="381" t="s">
        <v>1095</v>
      </c>
      <c r="P848" s="382"/>
      <c r="Q848" s="383"/>
      <c r="R848" s="376" t="s">
        <v>6</v>
      </c>
      <c r="S848" s="378"/>
      <c r="T848" s="157">
        <v>0</v>
      </c>
      <c r="W848" s="111" t="s">
        <v>1094</v>
      </c>
      <c r="X848" s="61"/>
      <c r="Y848" s="241">
        <v>861</v>
      </c>
      <c r="Z848" s="243">
        <f t="shared" si="110"/>
        <v>861</v>
      </c>
      <c r="AB848" s="196"/>
      <c r="AC848" s="199"/>
    </row>
    <row r="849" spans="1:29" ht="20.100000000000001" customHeight="1" x14ac:dyDescent="0.25">
      <c r="A849" s="36"/>
      <c r="B849" s="128">
        <f t="shared" si="112"/>
        <v>785</v>
      </c>
      <c r="C849" s="68">
        <v>554</v>
      </c>
      <c r="D849" s="23" t="str">
        <f>HYPERLINK("https://sites.wustl.edu/meteoritesite/items/lm_tifariti_002/",W849)</f>
        <v>Tifariti 002</v>
      </c>
      <c r="E849" s="376" t="s">
        <v>603</v>
      </c>
      <c r="F849" s="377"/>
      <c r="G849" s="377"/>
      <c r="H849" s="378"/>
      <c r="I849" s="379"/>
      <c r="J849" s="380"/>
      <c r="K849" s="380"/>
      <c r="L849" s="400"/>
      <c r="M849" s="379" t="s">
        <v>1328</v>
      </c>
      <c r="N849" s="400"/>
      <c r="O849" s="381" t="s">
        <v>1323</v>
      </c>
      <c r="P849" s="382"/>
      <c r="Q849" s="383"/>
      <c r="R849" s="376" t="s">
        <v>6</v>
      </c>
      <c r="S849" s="378"/>
      <c r="T849" s="157">
        <v>0</v>
      </c>
      <c r="W849" s="111" t="s">
        <v>1327</v>
      </c>
      <c r="X849" s="61"/>
      <c r="Y849" s="241">
        <v>5800</v>
      </c>
      <c r="Z849" s="243">
        <f t="shared" ref="Z849:Z852" si="113">Y849</f>
        <v>5800</v>
      </c>
      <c r="AB849" s="196"/>
      <c r="AC849" s="199"/>
    </row>
    <row r="850" spans="1:29" ht="20.100000000000001" customHeight="1" x14ac:dyDescent="0.25">
      <c r="A850" s="36"/>
      <c r="B850" s="128">
        <f t="shared" si="112"/>
        <v>786</v>
      </c>
      <c r="C850" s="68">
        <v>753</v>
      </c>
      <c r="D850" s="23" t="str">
        <f>HYPERLINK("https://sites.wustl.edu/meteoritesite/items/lm_timetrine_001/",W850)</f>
        <v>Timétrine 001</v>
      </c>
      <c r="E850" s="376" t="s">
        <v>603</v>
      </c>
      <c r="F850" s="377"/>
      <c r="G850" s="377"/>
      <c r="H850" s="378"/>
      <c r="I850" s="379"/>
      <c r="J850" s="380"/>
      <c r="K850" s="380"/>
      <c r="L850" s="400"/>
      <c r="M850" s="401">
        <v>21500</v>
      </c>
      <c r="N850" s="400"/>
      <c r="O850" s="381" t="s">
        <v>1719</v>
      </c>
      <c r="P850" s="382"/>
      <c r="Q850" s="383"/>
      <c r="R850" s="376" t="s">
        <v>1259</v>
      </c>
      <c r="S850" s="378"/>
      <c r="T850" s="157">
        <v>0</v>
      </c>
      <c r="W850" s="111" t="s">
        <v>1815</v>
      </c>
      <c r="X850" s="61"/>
      <c r="Y850" s="241">
        <v>21500</v>
      </c>
      <c r="Z850" s="243">
        <f t="shared" ref="Z850" si="114">Y850</f>
        <v>21500</v>
      </c>
      <c r="AB850" s="196"/>
      <c r="AC850" s="199"/>
    </row>
    <row r="851" spans="1:29" ht="20.100000000000001" customHeight="1" x14ac:dyDescent="0.25">
      <c r="A851" s="36"/>
      <c r="B851" s="128">
        <f>B850+1</f>
        <v>787</v>
      </c>
      <c r="C851" s="68">
        <v>723</v>
      </c>
      <c r="D851" s="23" t="str">
        <f>HYPERLINK("https://sites.wustl.edu/meteoritesite/items/lm_te_004/",W851)</f>
        <v>Tin-Essako 004</v>
      </c>
      <c r="E851" s="376" t="s">
        <v>603</v>
      </c>
      <c r="F851" s="377"/>
      <c r="G851" s="377"/>
      <c r="H851" s="378"/>
      <c r="I851" s="281"/>
      <c r="J851" s="282"/>
      <c r="K851" s="282"/>
      <c r="L851" s="283"/>
      <c r="M851" s="379">
        <v>600</v>
      </c>
      <c r="N851" s="400"/>
      <c r="O851" s="381" t="s">
        <v>1754</v>
      </c>
      <c r="P851" s="382"/>
      <c r="Q851" s="383"/>
      <c r="R851" s="376" t="s">
        <v>6</v>
      </c>
      <c r="S851" s="378"/>
      <c r="T851" s="157">
        <v>0</v>
      </c>
      <c r="W851" s="111" t="s">
        <v>1753</v>
      </c>
      <c r="X851" s="61"/>
      <c r="Y851" s="241">
        <v>600</v>
      </c>
      <c r="Z851" s="243">
        <f t="shared" si="113"/>
        <v>600</v>
      </c>
      <c r="AB851" s="196"/>
      <c r="AC851" s="199"/>
    </row>
    <row r="852" spans="1:29" ht="20.100000000000001" customHeight="1" x14ac:dyDescent="0.25">
      <c r="A852" s="36"/>
      <c r="B852" s="128">
        <f>B851+1</f>
        <v>788</v>
      </c>
      <c r="C852" s="68">
        <v>621</v>
      </c>
      <c r="D852" s="23" t="str">
        <f>HYPERLINK("https://sites.wustl.edu/meteoritesite/items/lm_tiris_001/",W852)</f>
        <v>Tiris 001</v>
      </c>
      <c r="E852" s="376" t="s">
        <v>603</v>
      </c>
      <c r="F852" s="377"/>
      <c r="G852" s="377"/>
      <c r="H852" s="378"/>
      <c r="I852" s="281"/>
      <c r="J852" s="282"/>
      <c r="K852" s="282"/>
      <c r="L852" s="283"/>
      <c r="M852" s="379">
        <v>107</v>
      </c>
      <c r="N852" s="400"/>
      <c r="O852" s="381" t="s">
        <v>1318</v>
      </c>
      <c r="P852" s="382"/>
      <c r="Q852" s="383"/>
      <c r="R852" s="376" t="s">
        <v>6</v>
      </c>
      <c r="S852" s="378"/>
      <c r="T852" s="157">
        <v>0</v>
      </c>
      <c r="W852" s="111" t="s">
        <v>1498</v>
      </c>
      <c r="X852" s="61"/>
      <c r="Y852" s="241">
        <v>107</v>
      </c>
      <c r="Z852" s="243">
        <f t="shared" si="113"/>
        <v>107</v>
      </c>
      <c r="AB852" s="196"/>
      <c r="AC852" s="199"/>
    </row>
    <row r="853" spans="1:29" ht="20.100000000000001" customHeight="1" x14ac:dyDescent="0.25">
      <c r="A853" s="36"/>
      <c r="B853" s="128">
        <f>B852+1</f>
        <v>789</v>
      </c>
      <c r="C853" s="68">
        <v>414</v>
      </c>
      <c r="D853" s="224" t="str">
        <f>HYPERLINK("https://sites.wustl.edu/meteoritesite/items/lm_tisserlitine_001/",W853)</f>
        <v>Tisserlitine 001</v>
      </c>
      <c r="E853" s="376" t="s">
        <v>1052</v>
      </c>
      <c r="F853" s="377"/>
      <c r="G853" s="377"/>
      <c r="H853" s="378"/>
      <c r="I853" s="379"/>
      <c r="J853" s="380"/>
      <c r="K853" s="380"/>
      <c r="L853" s="400"/>
      <c r="M853" s="379" t="s">
        <v>1009</v>
      </c>
      <c r="N853" s="400"/>
      <c r="O853" s="381" t="s">
        <v>1008</v>
      </c>
      <c r="P853" s="382"/>
      <c r="Q853" s="383"/>
      <c r="R853" s="376" t="s">
        <v>6</v>
      </c>
      <c r="S853" s="378"/>
      <c r="T853" s="157">
        <v>1</v>
      </c>
      <c r="W853" s="111" t="s">
        <v>1007</v>
      </c>
      <c r="X853" s="61"/>
      <c r="Y853" s="241">
        <v>57410</v>
      </c>
      <c r="Z853" s="243">
        <f t="shared" si="110"/>
        <v>57410</v>
      </c>
      <c r="AB853" s="196"/>
      <c r="AC853" s="199"/>
    </row>
    <row r="854" spans="1:29" ht="20.100000000000001" customHeight="1" x14ac:dyDescent="0.25">
      <c r="A854" s="36"/>
      <c r="B854" s="128">
        <f>B853+1</f>
        <v>790</v>
      </c>
      <c r="C854" s="68">
        <v>627</v>
      </c>
      <c r="D854" s="224" t="str">
        <f>HYPERLINK("https://sites.wustl.edu/meteoritesite/items/lm_tisserlitine_003/",W854)</f>
        <v>Tisserlitine 003</v>
      </c>
      <c r="E854" s="376" t="s">
        <v>1774</v>
      </c>
      <c r="F854" s="377"/>
      <c r="G854" s="377"/>
      <c r="H854" s="378"/>
      <c r="I854" s="379"/>
      <c r="J854" s="380"/>
      <c r="K854" s="380"/>
      <c r="L854" s="400"/>
      <c r="M854" s="379" t="s">
        <v>1509</v>
      </c>
      <c r="N854" s="400"/>
      <c r="O854" s="381" t="s">
        <v>1461</v>
      </c>
      <c r="P854" s="382"/>
      <c r="Q854" s="383"/>
      <c r="R854" s="376" t="s">
        <v>6</v>
      </c>
      <c r="S854" s="378"/>
      <c r="T854" s="157">
        <v>0</v>
      </c>
      <c r="W854" s="111" t="s">
        <v>1508</v>
      </c>
      <c r="X854" s="61"/>
      <c r="Y854" s="241">
        <v>24000</v>
      </c>
      <c r="Z854" s="243">
        <f t="shared" ref="Z854" si="115">Y854</f>
        <v>24000</v>
      </c>
      <c r="AB854" s="196"/>
      <c r="AC854" s="199"/>
    </row>
    <row r="855" spans="1:29" ht="20.100000000000001" customHeight="1" x14ac:dyDescent="0.25">
      <c r="A855" s="36"/>
      <c r="B855" s="128">
        <f t="shared" ref="B855:B860" si="116">B854+1</f>
        <v>791</v>
      </c>
      <c r="C855" s="68">
        <v>732</v>
      </c>
      <c r="D855" s="224" t="str">
        <f>HYPERLINK("https://sites.wustl.edu/meteoritesite/items/lm_tisserlitine_003/",W855)</f>
        <v>Tisserlitine 005</v>
      </c>
      <c r="E855" s="376" t="s">
        <v>1775</v>
      </c>
      <c r="F855" s="377"/>
      <c r="G855" s="377"/>
      <c r="H855" s="378"/>
      <c r="I855" s="379"/>
      <c r="J855" s="380"/>
      <c r="K855" s="380"/>
      <c r="L855" s="400"/>
      <c r="M855" s="401">
        <v>26700</v>
      </c>
      <c r="N855" s="400"/>
      <c r="O855" s="381" t="s">
        <v>1502</v>
      </c>
      <c r="P855" s="382"/>
      <c r="Q855" s="383"/>
      <c r="R855" s="376" t="s">
        <v>6</v>
      </c>
      <c r="S855" s="378"/>
      <c r="T855" s="157">
        <v>0</v>
      </c>
      <c r="W855" s="111" t="s">
        <v>1772</v>
      </c>
      <c r="X855" s="61"/>
      <c r="Y855" s="241">
        <v>16700</v>
      </c>
      <c r="Z855" s="243">
        <f t="shared" ref="Z855:Z856" si="117">Y855</f>
        <v>16700</v>
      </c>
      <c r="AB855" s="196"/>
      <c r="AC855" s="199"/>
    </row>
    <row r="856" spans="1:29" ht="20.100000000000001" customHeight="1" x14ac:dyDescent="0.25">
      <c r="A856" s="36"/>
      <c r="B856" s="128">
        <f t="shared" si="116"/>
        <v>792</v>
      </c>
      <c r="C856" s="68">
        <v>733</v>
      </c>
      <c r="D856" s="224" t="str">
        <f>HYPERLINK("https://sites.wustl.edu/meteoritesite/items/lm_tisserlitine_003/",W856)</f>
        <v>Tisserlitine 006</v>
      </c>
      <c r="E856" s="376" t="s">
        <v>1775</v>
      </c>
      <c r="F856" s="377"/>
      <c r="G856" s="377"/>
      <c r="H856" s="378"/>
      <c r="I856" s="379"/>
      <c r="J856" s="380"/>
      <c r="K856" s="380"/>
      <c r="L856" s="400"/>
      <c r="M856" s="401">
        <v>12400</v>
      </c>
      <c r="N856" s="400"/>
      <c r="O856" s="381" t="s">
        <v>1502</v>
      </c>
      <c r="P856" s="382"/>
      <c r="Q856" s="383"/>
      <c r="R856" s="376" t="s">
        <v>6</v>
      </c>
      <c r="S856" s="378"/>
      <c r="T856" s="157">
        <v>0</v>
      </c>
      <c r="W856" s="111" t="s">
        <v>1773</v>
      </c>
      <c r="X856" s="61"/>
      <c r="Y856" s="241">
        <v>12400</v>
      </c>
      <c r="Z856" s="243">
        <f t="shared" si="117"/>
        <v>12400</v>
      </c>
      <c r="AB856" s="196"/>
      <c r="AC856" s="199"/>
    </row>
    <row r="857" spans="1:29" ht="20.100000000000001" customHeight="1" x14ac:dyDescent="0.25">
      <c r="A857" s="36"/>
      <c r="B857" s="128">
        <f t="shared" si="116"/>
        <v>793</v>
      </c>
      <c r="C857" s="68">
        <v>423</v>
      </c>
      <c r="D857" s="224" t="str">
        <f>HYPERLINK("https://sites.wustl.edu/meteoritesite/items/lm_touat_004/",W857)</f>
        <v>Touat 004</v>
      </c>
      <c r="E857" s="376" t="s">
        <v>603</v>
      </c>
      <c r="F857" s="377"/>
      <c r="G857" s="377"/>
      <c r="H857" s="378"/>
      <c r="I857" s="379"/>
      <c r="J857" s="380"/>
      <c r="K857" s="380"/>
      <c r="L857" s="400"/>
      <c r="M857" s="463">
        <v>345</v>
      </c>
      <c r="N857" s="464"/>
      <c r="O857" s="381" t="s">
        <v>1028</v>
      </c>
      <c r="P857" s="382"/>
      <c r="Q857" s="383"/>
      <c r="R857" s="376" t="s">
        <v>6</v>
      </c>
      <c r="S857" s="378"/>
      <c r="T857" s="157">
        <v>0</v>
      </c>
      <c r="W857" s="111" t="s">
        <v>1027</v>
      </c>
      <c r="X857" s="61"/>
      <c r="Y857" s="241">
        <v>345</v>
      </c>
      <c r="Z857" s="243">
        <f t="shared" si="110"/>
        <v>345</v>
      </c>
      <c r="AB857" s="196"/>
      <c r="AC857" s="199"/>
    </row>
    <row r="858" spans="1:29" ht="20.100000000000001" customHeight="1" x14ac:dyDescent="0.25">
      <c r="A858" s="36"/>
      <c r="B858" s="128">
        <f t="shared" si="116"/>
        <v>794</v>
      </c>
      <c r="C858" s="68">
        <v>428</v>
      </c>
      <c r="D858" s="224" t="str">
        <f>HYPERLINK("https://sites.wustl.edu/meteoritesite/items/lm_touat_004/",W858)</f>
        <v>Touat 005</v>
      </c>
      <c r="E858" s="376" t="s">
        <v>603</v>
      </c>
      <c r="F858" s="377"/>
      <c r="G858" s="377"/>
      <c r="H858" s="378"/>
      <c r="I858" s="379"/>
      <c r="J858" s="380"/>
      <c r="K858" s="380"/>
      <c r="L858" s="400"/>
      <c r="M858" s="463" t="s">
        <v>1047</v>
      </c>
      <c r="N858" s="464"/>
      <c r="O858" s="381" t="s">
        <v>1046</v>
      </c>
      <c r="P858" s="382"/>
      <c r="Q858" s="383"/>
      <c r="R858" s="376" t="s">
        <v>6</v>
      </c>
      <c r="S858" s="378"/>
      <c r="T858" s="157">
        <v>0</v>
      </c>
      <c r="W858" s="111" t="s">
        <v>1045</v>
      </c>
      <c r="X858" s="61"/>
      <c r="Y858" s="241">
        <v>3710</v>
      </c>
      <c r="Z858" s="243">
        <f t="shared" si="110"/>
        <v>3710</v>
      </c>
      <c r="AB858" s="196"/>
      <c r="AC858" s="199"/>
    </row>
    <row r="859" spans="1:29" ht="20.100000000000001" customHeight="1" x14ac:dyDescent="0.25">
      <c r="A859" s="36"/>
      <c r="B859" s="128">
        <f t="shared" si="116"/>
        <v>795</v>
      </c>
      <c r="C859" s="68">
        <v>637</v>
      </c>
      <c r="D859" s="224" t="str">
        <f>HYPERLINK("https://sites.wustl.edu/meteoritesite/items/lm_touat_004/",W859)</f>
        <v>Touat 008</v>
      </c>
      <c r="E859" s="376" t="s">
        <v>603</v>
      </c>
      <c r="F859" s="377"/>
      <c r="G859" s="377"/>
      <c r="H859" s="378"/>
      <c r="I859" s="412" t="s">
        <v>1817</v>
      </c>
      <c r="J859" s="413"/>
      <c r="K859" s="413"/>
      <c r="L859" s="414"/>
      <c r="M859" s="463" t="s">
        <v>1539</v>
      </c>
      <c r="N859" s="464"/>
      <c r="O859" s="381" t="s">
        <v>1538</v>
      </c>
      <c r="P859" s="382"/>
      <c r="Q859" s="383"/>
      <c r="R859" s="376" t="s">
        <v>1537</v>
      </c>
      <c r="S859" s="378"/>
      <c r="T859" s="157">
        <v>0</v>
      </c>
      <c r="W859" s="111" t="s">
        <v>1536</v>
      </c>
      <c r="X859" s="61"/>
      <c r="Y859" s="241">
        <v>2955</v>
      </c>
      <c r="Z859" s="243">
        <f t="shared" ref="Z859" si="118">Y859</f>
        <v>2955</v>
      </c>
      <c r="AB859" s="196"/>
      <c r="AC859" s="199"/>
    </row>
    <row r="860" spans="1:29" ht="20.100000000000001" customHeight="1" x14ac:dyDescent="0.25">
      <c r="A860" s="36"/>
      <c r="B860" s="128">
        <f t="shared" si="116"/>
        <v>796</v>
      </c>
      <c r="C860" s="68">
        <v>754</v>
      </c>
      <c r="D860" s="224" t="str">
        <f>HYPERLINK("https://sites.wustl.edu/meteoritesite/items/lm_touat_004/",W860)</f>
        <v>Touat 011</v>
      </c>
      <c r="E860" s="376" t="s">
        <v>603</v>
      </c>
      <c r="F860" s="377"/>
      <c r="G860" s="377"/>
      <c r="H860" s="378"/>
      <c r="I860" s="379"/>
      <c r="J860" s="380"/>
      <c r="K860" s="380"/>
      <c r="L860" s="400"/>
      <c r="M860" s="402">
        <v>50</v>
      </c>
      <c r="N860" s="403"/>
      <c r="O860" s="381" t="s">
        <v>1796</v>
      </c>
      <c r="P860" s="382"/>
      <c r="Q860" s="383"/>
      <c r="R860" s="376" t="s">
        <v>6</v>
      </c>
      <c r="S860" s="378"/>
      <c r="T860" s="157">
        <v>0</v>
      </c>
      <c r="W860" s="111" t="s">
        <v>1816</v>
      </c>
      <c r="X860" s="61"/>
      <c r="Y860" s="241">
        <v>50</v>
      </c>
      <c r="Z860" s="243">
        <f t="shared" ref="Z860" si="119">Y860</f>
        <v>50</v>
      </c>
      <c r="AB860" s="196"/>
      <c r="AC860" s="199"/>
    </row>
    <row r="861" spans="1:29" ht="20.100000000000001" customHeight="1" x14ac:dyDescent="0.25">
      <c r="A861" s="36"/>
      <c r="B861" s="96">
        <f>B860+1</f>
        <v>797</v>
      </c>
      <c r="C861" s="96">
        <v>3</v>
      </c>
      <c r="D861" s="41" t="str">
        <f>HYPERLINK("https://sites.wustl.edu/meteoritesite/items/lm_yamato_82192_clan/",W861)</f>
        <v>Yamato 82192</v>
      </c>
      <c r="E861" s="506" t="s">
        <v>45</v>
      </c>
      <c r="F861" s="825"/>
      <c r="G861" s="825"/>
      <c r="H861" s="507"/>
      <c r="I861" s="826"/>
      <c r="J861" s="469"/>
      <c r="K861" s="469"/>
      <c r="L861" s="470"/>
      <c r="M861" s="827">
        <v>36.67</v>
      </c>
      <c r="N861" s="828"/>
      <c r="O861" s="813" t="s">
        <v>808</v>
      </c>
      <c r="P861" s="814"/>
      <c r="Q861" s="815"/>
      <c r="R861" s="506" t="s">
        <v>6</v>
      </c>
      <c r="S861" s="507"/>
      <c r="T861" s="348">
        <v>1</v>
      </c>
      <c r="W861" s="115" t="s">
        <v>382</v>
      </c>
      <c r="X861" s="61"/>
      <c r="Y861" s="243">
        <v>36.67</v>
      </c>
      <c r="AB861" s="201">
        <f t="shared" ref="AB861:AB868" si="120">Y861</f>
        <v>36.67</v>
      </c>
      <c r="AC861" s="199"/>
    </row>
    <row r="862" spans="1:29" ht="20.100000000000001" customHeight="1" x14ac:dyDescent="0.25">
      <c r="A862" s="36"/>
      <c r="B862" s="96">
        <f t="shared" ref="B862:B868" si="121">B861+1</f>
        <v>798</v>
      </c>
      <c r="C862" s="96">
        <v>4</v>
      </c>
      <c r="D862" s="41" t="str">
        <f>HYPERLINK("https://sites.wustl.edu/meteoritesite/items/lm_yamato_82192_clan/",W862)</f>
        <v>Yamato 82193</v>
      </c>
      <c r="E862" s="506" t="s">
        <v>46</v>
      </c>
      <c r="F862" s="825"/>
      <c r="G862" s="825"/>
      <c r="H862" s="507"/>
      <c r="I862" s="826"/>
      <c r="J862" s="469"/>
      <c r="K862" s="469"/>
      <c r="L862" s="470"/>
      <c r="M862" s="827">
        <v>27.04</v>
      </c>
      <c r="N862" s="828"/>
      <c r="O862" s="813" t="s">
        <v>808</v>
      </c>
      <c r="P862" s="814"/>
      <c r="Q862" s="815"/>
      <c r="R862" s="506" t="s">
        <v>6</v>
      </c>
      <c r="S862" s="507"/>
      <c r="T862" s="348">
        <v>1</v>
      </c>
      <c r="W862" s="115" t="s">
        <v>383</v>
      </c>
      <c r="X862" s="61"/>
      <c r="Y862" s="243">
        <v>27.04</v>
      </c>
      <c r="AB862" s="201">
        <f t="shared" si="120"/>
        <v>27.04</v>
      </c>
      <c r="AC862" s="199"/>
    </row>
    <row r="863" spans="1:29" ht="20.100000000000001" customHeight="1" x14ac:dyDescent="0.25">
      <c r="A863" s="36"/>
      <c r="B863" s="96">
        <f t="shared" si="121"/>
        <v>799</v>
      </c>
      <c r="C863" s="96">
        <v>6</v>
      </c>
      <c r="D863" s="41" t="str">
        <f>HYPERLINK("https://sites.wustl.edu/meteoritesite/items/lm_yamato_82192_clan/",W863)</f>
        <v>Yamato 86032</v>
      </c>
      <c r="E863" s="506" t="s">
        <v>47</v>
      </c>
      <c r="F863" s="825"/>
      <c r="G863" s="825"/>
      <c r="H863" s="507"/>
      <c r="I863" s="826"/>
      <c r="J863" s="469"/>
      <c r="K863" s="469"/>
      <c r="L863" s="470"/>
      <c r="M863" s="827">
        <v>648.42999999999995</v>
      </c>
      <c r="N863" s="828"/>
      <c r="O863" s="813" t="s">
        <v>809</v>
      </c>
      <c r="P863" s="814"/>
      <c r="Q863" s="815"/>
      <c r="R863" s="506" t="s">
        <v>6</v>
      </c>
      <c r="S863" s="507"/>
      <c r="T863" s="348">
        <v>1</v>
      </c>
      <c r="W863" s="115" t="s">
        <v>384</v>
      </c>
      <c r="X863" s="61"/>
      <c r="Y863" s="243">
        <v>648.42999999999995</v>
      </c>
      <c r="AB863" s="201">
        <f t="shared" si="120"/>
        <v>648.42999999999995</v>
      </c>
      <c r="AC863" s="199"/>
    </row>
    <row r="864" spans="1:29" ht="20.100000000000001" customHeight="1" x14ac:dyDescent="0.25">
      <c r="A864" s="36"/>
      <c r="B864" s="96">
        <f t="shared" si="121"/>
        <v>800</v>
      </c>
      <c r="C864" s="96">
        <v>2</v>
      </c>
      <c r="D864" s="41" t="str">
        <f>HYPERLINK("https://sites.wustl.edu/meteoritesite/items/lm_yamato_791197/",W864)</f>
        <v>Yamato 791197</v>
      </c>
      <c r="E864" s="826"/>
      <c r="F864" s="469"/>
      <c r="G864" s="469"/>
      <c r="H864" s="470"/>
      <c r="I864" s="506" t="s">
        <v>44</v>
      </c>
      <c r="J864" s="825"/>
      <c r="K864" s="825"/>
      <c r="L864" s="507"/>
      <c r="M864" s="827">
        <v>52.4</v>
      </c>
      <c r="N864" s="828"/>
      <c r="O864" s="813" t="s">
        <v>805</v>
      </c>
      <c r="P864" s="814"/>
      <c r="Q864" s="815"/>
      <c r="R864" s="506" t="s">
        <v>6</v>
      </c>
      <c r="S864" s="507"/>
      <c r="T864" s="348">
        <v>1</v>
      </c>
      <c r="W864" s="115" t="s">
        <v>379</v>
      </c>
      <c r="X864" s="61"/>
      <c r="Y864" s="243">
        <v>52.4</v>
      </c>
      <c r="AB864" s="201">
        <f t="shared" si="120"/>
        <v>52.4</v>
      </c>
      <c r="AC864" s="199"/>
    </row>
    <row r="865" spans="1:36" ht="20.100000000000001" customHeight="1" x14ac:dyDescent="0.25">
      <c r="A865" s="36"/>
      <c r="B865" s="97">
        <f t="shared" si="121"/>
        <v>801</v>
      </c>
      <c r="C865" s="97">
        <v>12</v>
      </c>
      <c r="D865" s="41" t="str">
        <f>HYPERLINK("https://sites.wustl.edu/meteoritesite/items/lm_yamato_793169/",W865)</f>
        <v>Yamato 793169</v>
      </c>
      <c r="E865" s="826"/>
      <c r="F865" s="469"/>
      <c r="G865" s="469"/>
      <c r="H865" s="470"/>
      <c r="I865" s="506" t="s">
        <v>418</v>
      </c>
      <c r="J865" s="825"/>
      <c r="K865" s="825"/>
      <c r="L865" s="507"/>
      <c r="M865" s="827">
        <v>6.1</v>
      </c>
      <c r="N865" s="828"/>
      <c r="O865" s="813" t="s">
        <v>806</v>
      </c>
      <c r="P865" s="814"/>
      <c r="Q865" s="815"/>
      <c r="R865" s="506" t="s">
        <v>8</v>
      </c>
      <c r="S865" s="507"/>
      <c r="T865" s="349">
        <v>1</v>
      </c>
      <c r="W865" s="115" t="s">
        <v>380</v>
      </c>
      <c r="X865" s="61"/>
      <c r="Y865" s="243">
        <v>6.1</v>
      </c>
      <c r="AB865" s="201">
        <f t="shared" si="120"/>
        <v>6.1</v>
      </c>
      <c r="AC865" s="199"/>
    </row>
    <row r="866" spans="1:36" ht="20.100000000000001" customHeight="1" x14ac:dyDescent="0.25">
      <c r="A866" s="36"/>
      <c r="B866" s="97">
        <f t="shared" si="121"/>
        <v>802</v>
      </c>
      <c r="C866" s="97">
        <v>5</v>
      </c>
      <c r="D866" s="41" t="str">
        <f>HYPERLINK("https://sites.wustl.edu/meteoritesite/items/lm_yamato_793274/",W866)</f>
        <v>Yamato 793274</v>
      </c>
      <c r="E866" s="506">
        <v>981031</v>
      </c>
      <c r="F866" s="825"/>
      <c r="G866" s="825"/>
      <c r="H866" s="507"/>
      <c r="I866" s="506" t="s">
        <v>73</v>
      </c>
      <c r="J866" s="825"/>
      <c r="K866" s="825"/>
      <c r="L866" s="507"/>
      <c r="M866" s="827">
        <v>8.6999999999999993</v>
      </c>
      <c r="N866" s="828"/>
      <c r="O866" s="813" t="s">
        <v>807</v>
      </c>
      <c r="P866" s="814"/>
      <c r="Q866" s="815"/>
      <c r="R866" s="506" t="s">
        <v>1577</v>
      </c>
      <c r="S866" s="507"/>
      <c r="T866" s="349">
        <v>0</v>
      </c>
      <c r="W866" s="115" t="s">
        <v>381</v>
      </c>
      <c r="X866" s="61"/>
      <c r="Y866" s="243">
        <v>8.6999999999999993</v>
      </c>
      <c r="AB866" s="201">
        <f t="shared" si="120"/>
        <v>8.6999999999999993</v>
      </c>
      <c r="AC866" s="199"/>
    </row>
    <row r="867" spans="1:36" ht="20.100000000000001" customHeight="1" x14ac:dyDescent="0.25">
      <c r="A867" s="36"/>
      <c r="B867" s="97">
        <f t="shared" si="121"/>
        <v>803</v>
      </c>
      <c r="C867" s="97">
        <v>22</v>
      </c>
      <c r="D867" s="41" t="str">
        <f>HYPERLINK("https://sites.wustl.edu/meteoritesite/items/lm_yamato_793274/",W867)</f>
        <v>Yamato 981031</v>
      </c>
      <c r="E867" s="506">
        <v>793274</v>
      </c>
      <c r="F867" s="825"/>
      <c r="G867" s="825"/>
      <c r="H867" s="507"/>
      <c r="I867" s="506" t="s">
        <v>73</v>
      </c>
      <c r="J867" s="825"/>
      <c r="K867" s="825"/>
      <c r="L867" s="507"/>
      <c r="M867" s="827">
        <v>185.8</v>
      </c>
      <c r="N867" s="828"/>
      <c r="O867" s="813" t="s">
        <v>810</v>
      </c>
      <c r="P867" s="814"/>
      <c r="Q867" s="815"/>
      <c r="R867" s="506" t="s">
        <v>1577</v>
      </c>
      <c r="S867" s="507"/>
      <c r="T867" s="349">
        <v>1</v>
      </c>
      <c r="W867" s="115" t="s">
        <v>385</v>
      </c>
      <c r="X867" s="61"/>
      <c r="Y867" s="243">
        <v>185.8</v>
      </c>
      <c r="AB867" s="201">
        <f t="shared" si="120"/>
        <v>185.8</v>
      </c>
      <c r="AC867" s="199"/>
    </row>
    <row r="868" spans="1:36" ht="20.100000000000001" customHeight="1" x14ac:dyDescent="0.25">
      <c r="A868" s="36"/>
      <c r="B868" s="97">
        <f t="shared" si="121"/>
        <v>804</v>
      </c>
      <c r="C868" s="97">
        <v>29</v>
      </c>
      <c r="D868" s="41" t="str">
        <f>HYPERLINK("https://sites.wustl.edu/meteoritesite/items/lm_yamato_983885/",W868)</f>
        <v>Yamato 983885</v>
      </c>
      <c r="E868" s="837"/>
      <c r="F868" s="838"/>
      <c r="G868" s="838"/>
      <c r="H868" s="839"/>
      <c r="I868" s="837"/>
      <c r="J868" s="838"/>
      <c r="K868" s="838"/>
      <c r="L868" s="839"/>
      <c r="M868" s="840">
        <v>289.70999999999998</v>
      </c>
      <c r="N868" s="841"/>
      <c r="O868" s="829" t="s">
        <v>952</v>
      </c>
      <c r="P868" s="830"/>
      <c r="Q868" s="831"/>
      <c r="R868" s="832" t="s">
        <v>1573</v>
      </c>
      <c r="S868" s="833"/>
      <c r="T868" s="349">
        <v>1</v>
      </c>
      <c r="W868" s="115" t="s">
        <v>386</v>
      </c>
      <c r="X868" s="61"/>
      <c r="Y868" s="243">
        <v>289.70999999999998</v>
      </c>
      <c r="AB868" s="201">
        <f t="shared" si="120"/>
        <v>289.70999999999998</v>
      </c>
      <c r="AC868" s="199"/>
    </row>
    <row r="869" spans="1:36" ht="20.100000000000001" customHeight="1" x14ac:dyDescent="0.25">
      <c r="A869" s="36"/>
      <c r="B869" s="151">
        <f>B868+1</f>
        <v>805</v>
      </c>
      <c r="C869" s="98"/>
      <c r="D869" s="350" t="str">
        <f>HYPERLINK("https://sites.wustl.edu/meteoritesite/items/lm_specimen_1153/",W869)</f>
        <v>[unnamed]
("specimen 1153")</v>
      </c>
      <c r="E869" s="816"/>
      <c r="F869" s="817"/>
      <c r="G869" s="817"/>
      <c r="H869" s="818"/>
      <c r="I869" s="819" t="s">
        <v>4</v>
      </c>
      <c r="J869" s="817"/>
      <c r="K869" s="817"/>
      <c r="L869" s="818"/>
      <c r="M869" s="820" t="s">
        <v>19</v>
      </c>
      <c r="N869" s="821"/>
      <c r="O869" s="822" t="s">
        <v>811</v>
      </c>
      <c r="P869" s="823"/>
      <c r="Q869" s="824"/>
      <c r="R869" s="834" t="s">
        <v>6</v>
      </c>
      <c r="S869" s="835"/>
      <c r="T869" s="351">
        <v>0</v>
      </c>
      <c r="W869" s="116" t="s">
        <v>366</v>
      </c>
      <c r="AB869" s="196"/>
      <c r="AC869" s="199"/>
    </row>
    <row r="870" spans="1:36" s="185" customFormat="1" ht="36" customHeight="1" x14ac:dyDescent="0.25">
      <c r="B870" s="186" t="s">
        <v>402</v>
      </c>
      <c r="C870" s="187" t="s">
        <v>1034</v>
      </c>
      <c r="D870" s="188" t="s">
        <v>915</v>
      </c>
      <c r="E870" s="420" t="s">
        <v>916</v>
      </c>
      <c r="F870" s="421"/>
      <c r="G870" s="421"/>
      <c r="H870" s="422"/>
      <c r="I870" s="420" t="s">
        <v>917</v>
      </c>
      <c r="J870" s="421"/>
      <c r="K870" s="421"/>
      <c r="L870" s="422"/>
      <c r="M870" s="806" t="s">
        <v>918</v>
      </c>
      <c r="N870" s="807"/>
      <c r="O870" s="808" t="s">
        <v>919</v>
      </c>
      <c r="P870" s="809"/>
      <c r="Q870" s="810"/>
      <c r="R870" s="420" t="s">
        <v>920</v>
      </c>
      <c r="S870" s="422"/>
      <c r="T870" s="189" t="s">
        <v>5</v>
      </c>
      <c r="W870" s="190" t="s">
        <v>1141</v>
      </c>
      <c r="X870" s="191"/>
      <c r="Y870" s="250">
        <f>COUNT(Y26:Y869)</f>
        <v>774</v>
      </c>
      <c r="Z870" s="250">
        <f>COUNT(Z26:Z869)</f>
        <v>648</v>
      </c>
      <c r="AA870" s="190">
        <f>COUNT(AA26:AA869)</f>
        <v>78</v>
      </c>
      <c r="AB870" s="190">
        <f>COUNT(AB26:AB869)</f>
        <v>44</v>
      </c>
      <c r="AC870" s="190">
        <f>COUNT(AC26:AC869)</f>
        <v>2</v>
      </c>
      <c r="AD870" s="190">
        <f>COUNT(AD26:AD869)</f>
        <v>2</v>
      </c>
      <c r="AE870" s="190">
        <f>SUM(Z870:AD870)</f>
        <v>774</v>
      </c>
      <c r="AF870" s="190"/>
      <c r="AG870"/>
      <c r="AH870"/>
      <c r="AI870"/>
      <c r="AJ870"/>
    </row>
    <row r="871" spans="1:36" ht="33.950000000000003" customHeight="1" x14ac:dyDescent="0.25">
      <c r="A871" s="36"/>
      <c r="B871" s="152"/>
      <c r="C871" s="31">
        <f>MAX(C26:C869)</f>
        <v>774</v>
      </c>
      <c r="D871" s="32" t="s">
        <v>403</v>
      </c>
      <c r="E871" s="352"/>
      <c r="F871" s="352"/>
      <c r="G871" s="352"/>
      <c r="H871" s="352"/>
      <c r="I871" s="811" t="s">
        <v>1439</v>
      </c>
      <c r="J871" s="812"/>
      <c r="K871" s="812"/>
      <c r="L871" s="812"/>
      <c r="M871" s="842">
        <f>Y871/1000</f>
        <v>1956.581872</v>
      </c>
      <c r="N871" s="843"/>
      <c r="O871" s="844">
        <f>M871*100/W871</f>
        <v>512.59677023840709</v>
      </c>
      <c r="P871" s="845"/>
      <c r="Q871" s="846" t="s">
        <v>1035</v>
      </c>
      <c r="R871" s="846"/>
      <c r="S871" s="847"/>
      <c r="T871" s="353">
        <f>SUM(T26:T869)/COUNT(T26:T869)</f>
        <v>0.41511771995043373</v>
      </c>
      <c r="W871" s="56">
        <v>381.7</v>
      </c>
      <c r="Y871" s="240">
        <f>SUM(Y26:Y869)</f>
        <v>1956581.872</v>
      </c>
      <c r="Z871" s="251">
        <f>SUM(Z26:Z869)</f>
        <v>1922906.9710000004</v>
      </c>
      <c r="AA871" s="193">
        <f>SUM(AA26:AA869)</f>
        <v>13781.039999999997</v>
      </c>
      <c r="AB871" s="193">
        <f>SUM(AB26:AB869)</f>
        <v>5709.320999999999</v>
      </c>
      <c r="AC871" s="193">
        <f>SUM(AC26:AC869)</f>
        <v>55.54</v>
      </c>
      <c r="AD871" s="193">
        <f>SUM(AD26:AD869)</f>
        <v>14085</v>
      </c>
      <c r="AE871" s="193">
        <f>SUM(Z871:AD871)</f>
        <v>1956537.8720000004</v>
      </c>
      <c r="AF871" s="193">
        <f>Y871-AE871</f>
        <v>43.999999999534339</v>
      </c>
    </row>
    <row r="872" spans="1:36" x14ac:dyDescent="0.25">
      <c r="W872" s="62" t="s">
        <v>980</v>
      </c>
      <c r="Y872" s="272">
        <f>[1]moon_meteorites_list_alumina!$P$672</f>
        <v>1956581.8720000002</v>
      </c>
      <c r="AB872" s="196"/>
      <c r="AC872" s="199"/>
    </row>
    <row r="873" spans="1:36" customFormat="1" ht="36" customHeight="1" x14ac:dyDescent="0.25">
      <c r="W873" s="174" t="s">
        <v>400</v>
      </c>
      <c r="X873" s="58"/>
      <c r="Y873" s="245">
        <f>Y871-Y872</f>
        <v>0</v>
      </c>
      <c r="Z873" s="247"/>
      <c r="AA873" s="196"/>
      <c r="AB873" s="196"/>
      <c r="AC873" s="199"/>
      <c r="AD873" s="199"/>
      <c r="AE873" s="199"/>
      <c r="AF873" s="199"/>
    </row>
    <row r="874" spans="1:36" ht="12.75" customHeight="1" x14ac:dyDescent="0.25">
      <c r="A874" s="44"/>
      <c r="B874" s="514" t="s">
        <v>1591</v>
      </c>
      <c r="C874" s="514"/>
      <c r="D874" s="514"/>
      <c r="E874" s="514"/>
      <c r="F874" s="514"/>
      <c r="G874" s="514"/>
      <c r="H874" s="514"/>
      <c r="I874" s="514"/>
      <c r="J874" s="514"/>
      <c r="K874" s="514"/>
      <c r="L874" s="514"/>
      <c r="M874" s="514"/>
      <c r="N874" s="514"/>
      <c r="O874" s="514"/>
      <c r="P874" s="514"/>
      <c r="Q874" s="514"/>
      <c r="R874" s="514"/>
      <c r="S874" s="514"/>
      <c r="T874" s="514"/>
      <c r="W874" s="35"/>
      <c r="X874" s="35"/>
      <c r="Z874" s="247"/>
      <c r="AB874" s="196"/>
      <c r="AC874" s="199"/>
    </row>
    <row r="875" spans="1:36" ht="12.75" customHeight="1" x14ac:dyDescent="0.25">
      <c r="A875" s="44"/>
      <c r="B875" s="516" t="s">
        <v>1036</v>
      </c>
      <c r="C875" s="516"/>
      <c r="D875" s="516"/>
      <c r="E875" s="516"/>
      <c r="F875" s="516"/>
      <c r="G875" s="516"/>
      <c r="H875" s="516"/>
      <c r="I875" s="516"/>
      <c r="J875" s="516"/>
      <c r="K875" s="516"/>
      <c r="L875" s="516"/>
      <c r="M875" s="516"/>
      <c r="N875" s="516"/>
      <c r="O875" s="516"/>
      <c r="P875" s="516"/>
      <c r="Q875" s="516"/>
      <c r="R875" s="516"/>
      <c r="S875" s="516"/>
      <c r="T875" s="516"/>
      <c r="W875" s="62" t="s">
        <v>424</v>
      </c>
      <c r="X875" s="35"/>
      <c r="Y875" s="245">
        <f>MIN(Y26:Y869)</f>
        <v>0.78800000000000003</v>
      </c>
      <c r="Z875" s="245"/>
      <c r="AB875" s="196"/>
      <c r="AC875" s="199"/>
    </row>
    <row r="876" spans="1:36" ht="12.75" customHeight="1" x14ac:dyDescent="0.25">
      <c r="A876" s="44"/>
      <c r="B876" s="162"/>
      <c r="C876" s="162"/>
      <c r="D876" s="162"/>
      <c r="E876" s="162"/>
      <c r="F876" s="162"/>
      <c r="G876" s="162"/>
      <c r="H876" s="162"/>
      <c r="I876" s="162"/>
      <c r="J876" s="162"/>
      <c r="K876" s="162"/>
      <c r="L876" s="162"/>
      <c r="M876" s="162"/>
      <c r="N876" s="162"/>
      <c r="O876" s="162"/>
      <c r="P876" s="162"/>
      <c r="Q876" s="162"/>
      <c r="R876" s="162"/>
      <c r="S876" s="162"/>
      <c r="T876" s="162"/>
      <c r="W876" s="62" t="s">
        <v>425</v>
      </c>
      <c r="Y876" s="245">
        <f>MAX(Y26:Y869)</f>
        <v>329000</v>
      </c>
      <c r="Z876" s="245"/>
      <c r="AB876" s="196"/>
      <c r="AC876" s="199"/>
    </row>
    <row r="877" spans="1:36" ht="12.75" customHeight="1" x14ac:dyDescent="0.25">
      <c r="A877" s="44"/>
      <c r="B877" s="538" t="s">
        <v>104</v>
      </c>
      <c r="C877" s="538"/>
      <c r="D877" s="169" t="s">
        <v>160</v>
      </c>
      <c r="E877" s="805" t="str">
        <f>HYPERLINK("https://sites.wustl.edu/meteoritesite/items/japanese-national-institute-of-polar-research-meteorite-locations/","Japanese Antarctic
(NIPR)")</f>
        <v>Japanese Antarctic
(NIPR)</v>
      </c>
      <c r="F877" s="805"/>
      <c r="G877" s="805"/>
      <c r="H877" s="805"/>
      <c r="I877" s="805" t="str">
        <f>HYPERLINK("https://sites.wustl.edu/meteoritesite/items/schematic-maps-of-the-find-locations-of-the-lunar-meteoritesoman/","Oman")</f>
        <v>Oman</v>
      </c>
      <c r="J877" s="805"/>
      <c r="K877" s="805"/>
      <c r="L877" s="805"/>
      <c r="M877" s="168"/>
      <c r="N877" s="168"/>
      <c r="O877" s="168"/>
      <c r="P877" s="168"/>
      <c r="Q877" s="168"/>
      <c r="R877" s="168"/>
      <c r="S877" s="168"/>
      <c r="T877" s="168"/>
      <c r="W877" s="35"/>
      <c r="X877" s="35"/>
      <c r="Z877" s="245"/>
      <c r="AB877" s="196"/>
      <c r="AC877" s="199"/>
    </row>
    <row r="878" spans="1:36" ht="12.75" customHeight="1" x14ac:dyDescent="0.25">
      <c r="A878" s="44"/>
      <c r="B878" s="162"/>
      <c r="C878" s="162"/>
      <c r="D878" s="22"/>
      <c r="E878" s="160"/>
      <c r="F878" s="160"/>
      <c r="G878" s="160"/>
      <c r="H878" s="160"/>
      <c r="I878" s="160"/>
      <c r="J878" s="160"/>
      <c r="K878" s="160"/>
      <c r="L878" s="160"/>
      <c r="M878" s="161"/>
      <c r="N878" s="161"/>
      <c r="O878" s="161"/>
      <c r="P878" s="161"/>
      <c r="Q878" s="161"/>
      <c r="R878" s="161"/>
      <c r="S878" s="161"/>
      <c r="T878" s="161"/>
      <c r="W878" s="35"/>
      <c r="X878" s="35"/>
      <c r="Y878" s="270"/>
      <c r="Z878" s="245"/>
      <c r="AB878" s="196"/>
      <c r="AC878" s="199"/>
    </row>
    <row r="879" spans="1:36" ht="12.75" customHeight="1" x14ac:dyDescent="0.25">
      <c r="A879" s="44"/>
      <c r="B879" s="515" t="s">
        <v>50</v>
      </c>
      <c r="C879" s="515"/>
      <c r="D879" s="515"/>
      <c r="E879" s="515"/>
      <c r="F879" s="515"/>
      <c r="G879" s="515"/>
      <c r="H879" s="515"/>
      <c r="I879" s="515"/>
      <c r="J879" s="515"/>
      <c r="K879" s="515"/>
      <c r="L879" s="515"/>
      <c r="M879" s="515"/>
      <c r="N879" s="515"/>
      <c r="O879" s="516"/>
      <c r="P879" s="516"/>
      <c r="Q879" s="516"/>
      <c r="R879" s="516"/>
      <c r="S879" s="516"/>
      <c r="T879" s="516"/>
      <c r="W879" s="174"/>
      <c r="Z879" s="245"/>
      <c r="AB879" s="196"/>
      <c r="AC879" s="199"/>
    </row>
    <row r="880" spans="1:36" ht="12.75" customHeight="1" x14ac:dyDescent="0.25">
      <c r="B880" s="515" t="str">
        <f>HYPERLINK("moon_meteorites_list_alumina.htm","See also alternate list in composition (alumina concentration) order")</f>
        <v>See also alternate list in composition (alumina concentration) order</v>
      </c>
      <c r="C880" s="515"/>
      <c r="D880" s="515"/>
      <c r="E880" s="515"/>
      <c r="F880" s="515"/>
      <c r="G880" s="515"/>
      <c r="H880" s="515"/>
      <c r="I880" s="515"/>
      <c r="J880" s="515"/>
      <c r="K880" s="515"/>
      <c r="L880" s="515"/>
      <c r="M880" s="515"/>
      <c r="N880" s="515"/>
      <c r="O880" s="516"/>
      <c r="P880" s="516"/>
      <c r="Q880" s="516"/>
      <c r="R880" s="516"/>
      <c r="S880" s="516"/>
      <c r="T880" s="516"/>
      <c r="W880" s="63"/>
      <c r="Z880" s="245"/>
      <c r="AB880" s="196"/>
      <c r="AC880" s="199"/>
    </row>
    <row r="881" spans="1:31" ht="12.75" customHeight="1" x14ac:dyDescent="0.25">
      <c r="B881" s="515" t="s">
        <v>86</v>
      </c>
      <c r="C881" s="515"/>
      <c r="D881" s="515"/>
      <c r="E881" s="515"/>
      <c r="F881" s="515"/>
      <c r="G881" s="515"/>
      <c r="H881" s="515"/>
      <c r="I881" s="515"/>
      <c r="J881" s="515"/>
      <c r="K881" s="515"/>
      <c r="L881" s="515"/>
      <c r="M881" s="515"/>
      <c r="N881" s="515"/>
      <c r="O881" s="516"/>
      <c r="P881" s="516"/>
      <c r="Q881" s="516"/>
      <c r="R881" s="516"/>
      <c r="S881" s="516"/>
      <c r="T881" s="516"/>
      <c r="W881" s="62" t="s">
        <v>1392</v>
      </c>
      <c r="Y881" s="270">
        <f>Y871/1000</f>
        <v>1956.581872</v>
      </c>
      <c r="Z881" s="270">
        <f t="shared" ref="Z881:AE881" si="122">Z871/1000</f>
        <v>1922.9069710000003</v>
      </c>
      <c r="AA881" s="200">
        <f t="shared" si="122"/>
        <v>13.781039999999997</v>
      </c>
      <c r="AB881" s="200">
        <f t="shared" si="122"/>
        <v>5.7093209999999992</v>
      </c>
      <c r="AC881" s="200">
        <f t="shared" si="122"/>
        <v>5.5539999999999999E-2</v>
      </c>
      <c r="AD881" s="200">
        <f t="shared" si="122"/>
        <v>14.085000000000001</v>
      </c>
      <c r="AE881" s="200">
        <f t="shared" si="122"/>
        <v>1956.5378720000003</v>
      </c>
    </row>
    <row r="882" spans="1:31" ht="12.75" customHeight="1" x14ac:dyDescent="0.25">
      <c r="B882" s="159"/>
      <c r="C882" s="159"/>
      <c r="D882" s="159"/>
      <c r="E882" s="159"/>
      <c r="F882" s="159"/>
      <c r="G882" s="159"/>
      <c r="H882" s="159"/>
      <c r="I882" s="159"/>
      <c r="J882" s="159"/>
      <c r="K882" s="159"/>
      <c r="L882" s="159"/>
      <c r="M882" s="159"/>
      <c r="N882" s="159"/>
      <c r="O882" s="159"/>
      <c r="P882" s="159"/>
      <c r="Q882" s="159"/>
      <c r="R882" s="159"/>
      <c r="S882" s="159"/>
      <c r="T882" s="159"/>
      <c r="Y882" s="271">
        <f t="shared" ref="Y882:AE882" si="123">Y881/$AE881</f>
        <v>1.0000224887034539</v>
      </c>
      <c r="Z882" s="271">
        <f t="shared" si="123"/>
        <v>0.98281101455724851</v>
      </c>
      <c r="AA882" s="257">
        <f t="shared" si="123"/>
        <v>7.0435845874594937E-3</v>
      </c>
      <c r="AB882" s="257">
        <f t="shared" si="123"/>
        <v>2.9180733384750949E-3</v>
      </c>
      <c r="AC882" s="258">
        <f t="shared" si="123"/>
        <v>2.8386877041754494E-5</v>
      </c>
      <c r="AD882" s="257">
        <f t="shared" si="123"/>
        <v>7.1989406397751539E-3</v>
      </c>
      <c r="AE882" s="256">
        <f t="shared" si="123"/>
        <v>1</v>
      </c>
    </row>
    <row r="883" spans="1:31" ht="12.75" customHeight="1" x14ac:dyDescent="0.25">
      <c r="B883" s="878" t="s">
        <v>968</v>
      </c>
      <c r="C883" s="878"/>
      <c r="D883" s="878"/>
      <c r="E883" s="878"/>
      <c r="F883" s="878"/>
      <c r="G883" s="878"/>
      <c r="H883" s="878"/>
      <c r="I883" s="878"/>
      <c r="J883" s="878"/>
      <c r="K883" s="878"/>
      <c r="L883" s="878"/>
      <c r="M883" s="878"/>
      <c r="N883" s="878"/>
      <c r="O883" s="159"/>
      <c r="P883" s="159"/>
      <c r="Q883" s="159"/>
      <c r="R883" s="159"/>
      <c r="S883" s="159"/>
      <c r="T883" s="159"/>
      <c r="Z883" s="247"/>
    </row>
    <row r="884" spans="1:31" ht="12.75" customHeight="1" x14ac:dyDescent="0.25">
      <c r="B884" s="515" t="s">
        <v>1632</v>
      </c>
      <c r="C884" s="515"/>
      <c r="D884" s="515"/>
      <c r="E884" s="515"/>
      <c r="F884" s="515"/>
      <c r="G884" s="515"/>
      <c r="H884" s="515"/>
      <c r="I884" s="515"/>
      <c r="J884" s="515"/>
      <c r="K884" s="515"/>
      <c r="L884" s="515"/>
      <c r="M884" s="515"/>
      <c r="N884" s="515"/>
      <c r="O884" s="159"/>
      <c r="P884" s="159"/>
      <c r="Q884" s="159"/>
      <c r="R884" s="159"/>
      <c r="S884" s="159"/>
      <c r="T884" s="159"/>
      <c r="Z884" s="247"/>
    </row>
    <row r="885" spans="1:31" ht="12.75" customHeight="1" x14ac:dyDescent="0.25">
      <c r="B885" s="515" t="s">
        <v>1631</v>
      </c>
      <c r="C885" s="515"/>
      <c r="D885" s="515"/>
      <c r="E885" s="515"/>
      <c r="F885" s="515"/>
      <c r="G885" s="515"/>
      <c r="H885" s="515"/>
      <c r="I885" s="515"/>
      <c r="J885" s="515"/>
      <c r="K885" s="515"/>
      <c r="L885" s="515"/>
      <c r="M885" s="515"/>
      <c r="N885" s="515"/>
      <c r="O885" s="159"/>
      <c r="P885" s="159"/>
      <c r="Q885" s="159"/>
      <c r="R885" s="159"/>
      <c r="S885" s="159"/>
      <c r="T885" s="159"/>
      <c r="Z885" s="247"/>
    </row>
    <row r="886" spans="1:31" ht="12.75" customHeight="1" x14ac:dyDescent="0.25">
      <c r="B886" s="516" t="s">
        <v>87</v>
      </c>
      <c r="C886" s="516"/>
      <c r="D886" s="516"/>
      <c r="E886" s="516"/>
      <c r="F886" s="516"/>
      <c r="G886" s="516"/>
      <c r="H886" s="516"/>
      <c r="I886" s="516"/>
      <c r="J886" s="516"/>
      <c r="K886" s="516"/>
      <c r="L886" s="516"/>
      <c r="M886" s="516"/>
      <c r="N886" s="516"/>
      <c r="O886" s="159"/>
      <c r="P886" s="159"/>
      <c r="Q886" s="159"/>
      <c r="R886" s="159"/>
      <c r="S886" s="159"/>
      <c r="T886" s="159"/>
      <c r="Z886" s="247"/>
    </row>
    <row r="887" spans="1:31" ht="12.75" customHeight="1" x14ac:dyDescent="0.25">
      <c r="B887" s="162"/>
      <c r="C887" s="162"/>
      <c r="D887" s="162"/>
      <c r="E887" s="162"/>
      <c r="F887" s="162"/>
      <c r="G887" s="162"/>
      <c r="H887" s="162"/>
      <c r="I887" s="162"/>
      <c r="J887" s="162"/>
      <c r="K887" s="162"/>
      <c r="L887" s="162"/>
      <c r="M887" s="162"/>
      <c r="N887" s="162"/>
      <c r="O887" s="465" t="s">
        <v>995</v>
      </c>
      <c r="P887" s="465"/>
      <c r="Q887" s="465"/>
      <c r="R887" s="465"/>
      <c r="S887" s="465"/>
      <c r="T887" s="465"/>
      <c r="Z887" s="247"/>
    </row>
    <row r="888" spans="1:31" ht="12.75" customHeight="1" x14ac:dyDescent="0.25">
      <c r="B888" s="876" t="s">
        <v>969</v>
      </c>
      <c r="C888" s="876"/>
      <c r="D888" s="876"/>
      <c r="E888" s="877">
        <f ca="1">NOW()</f>
        <v>45922.389981250002</v>
      </c>
      <c r="F888" s="877"/>
      <c r="G888" s="877"/>
      <c r="H888" s="877"/>
      <c r="I888" s="877"/>
      <c r="J888" s="877"/>
      <c r="K888" s="159"/>
      <c r="L888" s="159"/>
      <c r="M888" s="159"/>
      <c r="N888" s="159"/>
      <c r="O888" s="465" t="s">
        <v>996</v>
      </c>
      <c r="P888" s="465"/>
      <c r="Q888" s="465"/>
      <c r="R888" s="465"/>
      <c r="S888" s="465"/>
      <c r="T888" s="465"/>
      <c r="Z888" s="247"/>
    </row>
    <row r="889" spans="1:31" ht="12.75" customHeight="1" x14ac:dyDescent="0.25">
      <c r="B889" s="159"/>
      <c r="C889" s="159"/>
      <c r="D889" s="159"/>
      <c r="E889" s="159"/>
      <c r="F889" s="159"/>
      <c r="G889" s="159"/>
      <c r="H889" s="159"/>
      <c r="I889" s="159"/>
      <c r="J889" s="159"/>
      <c r="K889" s="159"/>
      <c r="L889" s="159"/>
      <c r="M889" s="159"/>
      <c r="N889" s="159"/>
      <c r="O889" s="465" t="s">
        <v>1445</v>
      </c>
      <c r="P889" s="465"/>
      <c r="Q889" s="465"/>
      <c r="R889" s="465"/>
      <c r="S889" s="465"/>
      <c r="T889" s="465"/>
      <c r="Z889" s="247"/>
    </row>
    <row r="890" spans="1:31" ht="12.75" customHeight="1" x14ac:dyDescent="0.25">
      <c r="B890" s="159"/>
      <c r="C890" s="159"/>
      <c r="D890" s="159"/>
      <c r="E890" s="159"/>
      <c r="F890" s="159"/>
      <c r="G890" s="159"/>
      <c r="H890" s="159"/>
      <c r="I890" s="159"/>
      <c r="J890" s="159"/>
      <c r="K890" s="159"/>
      <c r="L890" s="159"/>
      <c r="M890" s="159"/>
      <c r="N890" s="159"/>
      <c r="O890" s="159"/>
      <c r="P890" s="159"/>
      <c r="Q890" s="159"/>
      <c r="R890" s="159"/>
      <c r="S890" s="159"/>
      <c r="T890" s="159"/>
      <c r="Z890" s="247"/>
    </row>
    <row r="891" spans="1:31" x14ac:dyDescent="0.25">
      <c r="B891" s="153">
        <v>6</v>
      </c>
      <c r="C891" s="51">
        <v>6</v>
      </c>
      <c r="D891" s="35">
        <v>24</v>
      </c>
      <c r="E891" s="35">
        <v>6</v>
      </c>
      <c r="F891" s="35">
        <v>6</v>
      </c>
      <c r="G891" s="35">
        <v>6</v>
      </c>
      <c r="H891" s="35">
        <v>6</v>
      </c>
      <c r="I891" s="35">
        <v>6</v>
      </c>
      <c r="J891" s="35">
        <v>6</v>
      </c>
      <c r="K891" s="35">
        <v>6</v>
      </c>
      <c r="L891" s="35">
        <v>6</v>
      </c>
      <c r="M891" s="35">
        <v>6</v>
      </c>
      <c r="N891" s="35">
        <v>6</v>
      </c>
      <c r="O891" s="35">
        <v>6</v>
      </c>
      <c r="P891" s="35">
        <v>6</v>
      </c>
      <c r="Q891" s="35">
        <v>6</v>
      </c>
      <c r="R891" s="35">
        <v>6</v>
      </c>
      <c r="S891" s="35">
        <v>24</v>
      </c>
      <c r="T891" s="35">
        <v>6</v>
      </c>
      <c r="W891" s="59">
        <f>SUM(B891:T891)</f>
        <v>150</v>
      </c>
      <c r="Z891" s="247"/>
    </row>
    <row r="892" spans="1:31" x14ac:dyDescent="0.25">
      <c r="H892" s="35">
        <v>5</v>
      </c>
      <c r="N892" s="35">
        <v>5</v>
      </c>
      <c r="Q892" s="35">
        <v>5</v>
      </c>
      <c r="T892" s="35">
        <v>5</v>
      </c>
      <c r="Z892" s="247"/>
    </row>
    <row r="894" spans="1:31" x14ac:dyDescent="0.25">
      <c r="A894" s="35" t="s">
        <v>1212</v>
      </c>
    </row>
    <row r="895" spans="1:31" x14ac:dyDescent="0.25">
      <c r="A895" s="35" t="s">
        <v>1213</v>
      </c>
    </row>
    <row r="896" spans="1:31" x14ac:dyDescent="0.25">
      <c r="A896" s="35" t="s">
        <v>1214</v>
      </c>
    </row>
    <row r="897" spans="1:1" x14ac:dyDescent="0.25">
      <c r="A897" s="35" t="s">
        <v>1216</v>
      </c>
    </row>
    <row r="898" spans="1:1" x14ac:dyDescent="0.25">
      <c r="A898" s="35" t="s">
        <v>1215</v>
      </c>
    </row>
  </sheetData>
  <sortState xmlns:xlrd2="http://schemas.microsoft.com/office/spreadsheetml/2017/richdata2" ref="A508:AJ512">
    <sortCondition ref="AI4:AI14"/>
  </sortState>
  <mergeCells count="3845">
    <mergeCell ref="E816:H816"/>
    <mergeCell ref="R748:S748"/>
    <mergeCell ref="O748:Q748"/>
    <mergeCell ref="E770:H770"/>
    <mergeCell ref="E773:H773"/>
    <mergeCell ref="E48:H48"/>
    <mergeCell ref="M48:N48"/>
    <mergeCell ref="O762:Q762"/>
    <mergeCell ref="M762:N762"/>
    <mergeCell ref="M763:N763"/>
    <mergeCell ref="O763:Q763"/>
    <mergeCell ref="R48:S48"/>
    <mergeCell ref="E219:H219"/>
    <mergeCell ref="I219:L219"/>
    <mergeCell ref="M219:N219"/>
    <mergeCell ref="O219:Q219"/>
    <mergeCell ref="R219:S219"/>
    <mergeCell ref="R744:S744"/>
    <mergeCell ref="O744:P744"/>
    <mergeCell ref="M744:N744"/>
    <mergeCell ref="E744:H744"/>
    <mergeCell ref="R745:S745"/>
    <mergeCell ref="O745:Q745"/>
    <mergeCell ref="M745:N745"/>
    <mergeCell ref="E745:H745"/>
    <mergeCell ref="R753:S753"/>
    <mergeCell ref="O753:Q753"/>
    <mergeCell ref="M753:N753"/>
    <mergeCell ref="E753:H753"/>
    <mergeCell ref="O172:Q172"/>
    <mergeCell ref="M638:N638"/>
    <mergeCell ref="O622:Q622"/>
    <mergeCell ref="R623:S623"/>
    <mergeCell ref="E748:H748"/>
    <mergeCell ref="E754:H754"/>
    <mergeCell ref="E750:H750"/>
    <mergeCell ref="E759:H759"/>
    <mergeCell ref="R773:S773"/>
    <mergeCell ref="O773:Q773"/>
    <mergeCell ref="R35:S35"/>
    <mergeCell ref="M750:N750"/>
    <mergeCell ref="O750:Q750"/>
    <mergeCell ref="R750:S750"/>
    <mergeCell ref="E855:H855"/>
    <mergeCell ref="I855:L855"/>
    <mergeCell ref="M855:N855"/>
    <mergeCell ref="O855:Q855"/>
    <mergeCell ref="R855:S855"/>
    <mergeCell ref="E856:H856"/>
    <mergeCell ref="I856:L856"/>
    <mergeCell ref="M856:N856"/>
    <mergeCell ref="O856:Q856"/>
    <mergeCell ref="R856:S856"/>
    <mergeCell ref="E739:H739"/>
    <mergeCell ref="E740:H740"/>
    <mergeCell ref="E741:H741"/>
    <mergeCell ref="R739:S739"/>
    <mergeCell ref="R740:S740"/>
    <mergeCell ref="R741:S741"/>
    <mergeCell ref="O739:Q739"/>
    <mergeCell ref="O740:Q740"/>
    <mergeCell ref="O741:Q741"/>
    <mergeCell ref="M739:N739"/>
    <mergeCell ref="M740:N740"/>
    <mergeCell ref="M741:N741"/>
    <mergeCell ref="O754:Q754"/>
    <mergeCell ref="M748:N748"/>
    <mergeCell ref="R172:S172"/>
    <mergeCell ref="M651:N651"/>
    <mergeCell ref="R770:S770"/>
    <mergeCell ref="O770:Q770"/>
    <mergeCell ref="E852:H852"/>
    <mergeCell ref="E830:H830"/>
    <mergeCell ref="M221:N221"/>
    <mergeCell ref="I221:L221"/>
    <mergeCell ref="E221:H221"/>
    <mergeCell ref="E216:H216"/>
    <mergeCell ref="I216:L216"/>
    <mergeCell ref="M216:N216"/>
    <mergeCell ref="O216:Q216"/>
    <mergeCell ref="R216:S216"/>
    <mergeCell ref="E217:H217"/>
    <mergeCell ref="I217:L217"/>
    <mergeCell ref="M217:N217"/>
    <mergeCell ref="O217:Q217"/>
    <mergeCell ref="R217:S217"/>
    <mergeCell ref="E218:H218"/>
    <mergeCell ref="I218:L218"/>
    <mergeCell ref="M218:N218"/>
    <mergeCell ref="O218:Q218"/>
    <mergeCell ref="R218:S218"/>
    <mergeCell ref="O742:Q742"/>
    <mergeCell ref="R742:S742"/>
    <mergeCell ref="E699:H699"/>
    <mergeCell ref="M699:N699"/>
    <mergeCell ref="O699:Q699"/>
    <mergeCell ref="R699:S699"/>
    <mergeCell ref="E40:H40"/>
    <mergeCell ref="M40:N40"/>
    <mergeCell ref="O40:Q40"/>
    <mergeCell ref="R40:S40"/>
    <mergeCell ref="O613:Q613"/>
    <mergeCell ref="E546:H546"/>
    <mergeCell ref="E68:H68"/>
    <mergeCell ref="M68:N68"/>
    <mergeCell ref="O68:Q68"/>
    <mergeCell ref="R68:S68"/>
    <mergeCell ref="E702:H702"/>
    <mergeCell ref="M702:N702"/>
    <mergeCell ref="O702:Q702"/>
    <mergeCell ref="R702:S702"/>
    <mergeCell ref="O725:Q725"/>
    <mergeCell ref="R725:S725"/>
    <mergeCell ref="O711:Q711"/>
    <mergeCell ref="R222:S222"/>
    <mergeCell ref="E666:H666"/>
    <mergeCell ref="R701:S701"/>
    <mergeCell ref="E158:H158"/>
    <mergeCell ref="M158:N158"/>
    <mergeCell ref="O158:Q158"/>
    <mergeCell ref="R158:S158"/>
    <mergeCell ref="E172:H172"/>
    <mergeCell ref="R618:S618"/>
    <mergeCell ref="E711:H711"/>
    <mergeCell ref="M711:N711"/>
    <mergeCell ref="E709:H709"/>
    <mergeCell ref="M709:N709"/>
    <mergeCell ref="O709:Q709"/>
    <mergeCell ref="O783:Q783"/>
    <mergeCell ref="E722:H722"/>
    <mergeCell ref="E742:H742"/>
    <mergeCell ref="R695:S695"/>
    <mergeCell ref="M742:N742"/>
    <mergeCell ref="O715:Q715"/>
    <mergeCell ref="R716:S716"/>
    <mergeCell ref="R718:S718"/>
    <mergeCell ref="O718:Q718"/>
    <mergeCell ref="R711:S711"/>
    <mergeCell ref="E705:H705"/>
    <mergeCell ref="E708:H708"/>
    <mergeCell ref="R712:S712"/>
    <mergeCell ref="E713:H713"/>
    <mergeCell ref="M713:N713"/>
    <mergeCell ref="O713:Q713"/>
    <mergeCell ref="R713:S713"/>
    <mergeCell ref="M718:N718"/>
    <mergeCell ref="R783:S783"/>
    <mergeCell ref="M778:N778"/>
    <mergeCell ref="R754:S754"/>
    <mergeCell ref="M759:N759"/>
    <mergeCell ref="M770:N770"/>
    <mergeCell ref="M773:N773"/>
    <mergeCell ref="E716:H716"/>
    <mergeCell ref="M707:N707"/>
    <mergeCell ref="O707:Q707"/>
    <mergeCell ref="R707:S707"/>
    <mergeCell ref="E707:H707"/>
    <mergeCell ref="M708:N708"/>
    <mergeCell ref="O708:Q708"/>
    <mergeCell ref="R708:S708"/>
    <mergeCell ref="E703:H703"/>
    <mergeCell ref="I703:L703"/>
    <mergeCell ref="M703:N703"/>
    <mergeCell ref="O703:Q703"/>
    <mergeCell ref="R703:S703"/>
    <mergeCell ref="E706:H706"/>
    <mergeCell ref="M706:N706"/>
    <mergeCell ref="O706:Q706"/>
    <mergeCell ref="R706:S706"/>
    <mergeCell ref="O704:Q704"/>
    <mergeCell ref="O705:Q705"/>
    <mergeCell ref="M154:N154"/>
    <mergeCell ref="I154:L154"/>
    <mergeCell ref="E700:H700"/>
    <mergeCell ref="M700:N700"/>
    <mergeCell ref="O700:Q700"/>
    <mergeCell ref="R700:S700"/>
    <mergeCell ref="E694:H694"/>
    <mergeCell ref="E683:H683"/>
    <mergeCell ref="M683:N683"/>
    <mergeCell ref="O683:Q683"/>
    <mergeCell ref="R683:S683"/>
    <mergeCell ref="O666:Q666"/>
    <mergeCell ref="M164:N164"/>
    <mergeCell ref="E177:H177"/>
    <mergeCell ref="I177:L177"/>
    <mergeCell ref="O582:Q582"/>
    <mergeCell ref="M608:N608"/>
    <mergeCell ref="O608:Q608"/>
    <mergeCell ref="R608:S608"/>
    <mergeCell ref="E682:H682"/>
    <mergeCell ref="M682:N682"/>
    <mergeCell ref="O682:Q682"/>
    <mergeCell ref="R682:S682"/>
    <mergeCell ref="I163:L163"/>
    <mergeCell ref="M577:N577"/>
    <mergeCell ref="I654:L654"/>
    <mergeCell ref="M654:N654"/>
    <mergeCell ref="I164:L164"/>
    <mergeCell ref="I584:L584"/>
    <mergeCell ref="M172:N172"/>
    <mergeCell ref="R550:S550"/>
    <mergeCell ref="O611:Q611"/>
    <mergeCell ref="O852:Q852"/>
    <mergeCell ref="M852:N852"/>
    <mergeCell ref="M696:N696"/>
    <mergeCell ref="I793:L793"/>
    <mergeCell ref="O781:Q781"/>
    <mergeCell ref="E692:H692"/>
    <mergeCell ref="E704:H704"/>
    <mergeCell ref="E697:H697"/>
    <mergeCell ref="M697:N697"/>
    <mergeCell ref="O697:Q697"/>
    <mergeCell ref="R697:S697"/>
    <mergeCell ref="R165:S165"/>
    <mergeCell ref="R173:S173"/>
    <mergeCell ref="E655:H655"/>
    <mergeCell ref="E656:H656"/>
    <mergeCell ref="E662:H662"/>
    <mergeCell ref="M662:N662"/>
    <mergeCell ref="R709:S709"/>
    <mergeCell ref="M704:N704"/>
    <mergeCell ref="M795:N795"/>
    <mergeCell ref="M788:N788"/>
    <mergeCell ref="M692:N692"/>
    <mergeCell ref="R689:S689"/>
    <mergeCell ref="E701:H701"/>
    <mergeCell ref="O695:Q695"/>
    <mergeCell ref="M695:N695"/>
    <mergeCell ref="E715:H715"/>
    <mergeCell ref="M715:N715"/>
    <mergeCell ref="R715:S715"/>
    <mergeCell ref="E717:H717"/>
    <mergeCell ref="E654:H654"/>
    <mergeCell ref="E849:H849"/>
    <mergeCell ref="M584:N584"/>
    <mergeCell ref="O584:Q584"/>
    <mergeCell ref="R584:S584"/>
    <mergeCell ref="O831:Q831"/>
    <mergeCell ref="R831:S831"/>
    <mergeCell ref="O849:Q849"/>
    <mergeCell ref="R849:S849"/>
    <mergeCell ref="M789:N789"/>
    <mergeCell ref="O789:Q789"/>
    <mergeCell ref="R797:S797"/>
    <mergeCell ref="I818:L818"/>
    <mergeCell ref="M808:N808"/>
    <mergeCell ref="M802:N802"/>
    <mergeCell ref="I795:L795"/>
    <mergeCell ref="O796:Q796"/>
    <mergeCell ref="M827:N827"/>
    <mergeCell ref="O827:Q827"/>
    <mergeCell ref="E608:H608"/>
    <mergeCell ref="O610:Q610"/>
    <mergeCell ref="E658:H658"/>
    <mergeCell ref="E663:H663"/>
    <mergeCell ref="I684:L684"/>
    <mergeCell ref="R691:S691"/>
    <mergeCell ref="R684:S684"/>
    <mergeCell ref="O684:Q684"/>
    <mergeCell ref="O545:Q545"/>
    <mergeCell ref="O600:Q600"/>
    <mergeCell ref="E579:H579"/>
    <mergeCell ref="M554:N554"/>
    <mergeCell ref="R597:S597"/>
    <mergeCell ref="O597:Q597"/>
    <mergeCell ref="M597:N597"/>
    <mergeCell ref="O599:Q599"/>
    <mergeCell ref="M599:N599"/>
    <mergeCell ref="R600:S600"/>
    <mergeCell ref="O587:Q587"/>
    <mergeCell ref="R587:S587"/>
    <mergeCell ref="R594:S594"/>
    <mergeCell ref="O594:Q594"/>
    <mergeCell ref="R613:S613"/>
    <mergeCell ref="R601:S601"/>
    <mergeCell ref="E601:H601"/>
    <mergeCell ref="M601:N601"/>
    <mergeCell ref="O690:Q690"/>
    <mergeCell ref="M690:N690"/>
    <mergeCell ref="E690:H690"/>
    <mergeCell ref="R611:S611"/>
    <mergeCell ref="M594:N594"/>
    <mergeCell ref="O571:Q571"/>
    <mergeCell ref="O662:Q662"/>
    <mergeCell ref="R662:S662"/>
    <mergeCell ref="E859:H859"/>
    <mergeCell ref="I859:L859"/>
    <mergeCell ref="M859:N859"/>
    <mergeCell ref="O859:Q859"/>
    <mergeCell ref="R859:S859"/>
    <mergeCell ref="E151:H151"/>
    <mergeCell ref="I151:L151"/>
    <mergeCell ref="M151:N151"/>
    <mergeCell ref="O151:Q151"/>
    <mergeCell ref="R151:S151"/>
    <mergeCell ref="E182:H182"/>
    <mergeCell ref="I182:L182"/>
    <mergeCell ref="M182:N182"/>
    <mergeCell ref="O182:Q182"/>
    <mergeCell ref="R182:S182"/>
    <mergeCell ref="E673:H673"/>
    <mergeCell ref="M673:N673"/>
    <mergeCell ref="O673:Q673"/>
    <mergeCell ref="R673:S673"/>
    <mergeCell ref="E674:H674"/>
    <mergeCell ref="M674:N674"/>
    <mergeCell ref="O674:Q674"/>
    <mergeCell ref="R674:S674"/>
    <mergeCell ref="E560:H560"/>
    <mergeCell ref="R502:S502"/>
    <mergeCell ref="R852:S852"/>
    <mergeCell ref="R663:S663"/>
    <mergeCell ref="E696:H696"/>
    <mergeCell ref="E791:H791"/>
    <mergeCell ref="M805:N805"/>
    <mergeCell ref="I849:L849"/>
    <mergeCell ref="M849:N849"/>
    <mergeCell ref="O843:Q843"/>
    <mergeCell ref="O830:Q830"/>
    <mergeCell ref="R844:S844"/>
    <mergeCell ref="R820:S820"/>
    <mergeCell ref="O822:Q822"/>
    <mergeCell ref="R819:S819"/>
    <mergeCell ref="I843:L843"/>
    <mergeCell ref="I832:L832"/>
    <mergeCell ref="R835:S835"/>
    <mergeCell ref="I831:L831"/>
    <mergeCell ref="M831:N831"/>
    <mergeCell ref="E840:H840"/>
    <mergeCell ref="I840:L840"/>
    <mergeCell ref="R830:S830"/>
    <mergeCell ref="I830:L830"/>
    <mergeCell ref="E838:H838"/>
    <mergeCell ref="I838:L838"/>
    <mergeCell ref="M838:N838"/>
    <mergeCell ref="M836:N836"/>
    <mergeCell ref="O836:Q836"/>
    <mergeCell ref="R836:S836"/>
    <mergeCell ref="E837:H837"/>
    <mergeCell ref="I820:L820"/>
    <mergeCell ref="M820:N820"/>
    <mergeCell ref="E831:H831"/>
    <mergeCell ref="R846:S846"/>
    <mergeCell ref="O832:Q832"/>
    <mergeCell ref="M846:N846"/>
    <mergeCell ref="I846:L846"/>
    <mergeCell ref="R843:S843"/>
    <mergeCell ref="R834:S834"/>
    <mergeCell ref="E842:H842"/>
    <mergeCell ref="O799:Q799"/>
    <mergeCell ref="I779:L779"/>
    <mergeCell ref="R780:S780"/>
    <mergeCell ref="E826:H826"/>
    <mergeCell ref="E804:H804"/>
    <mergeCell ref="I799:L799"/>
    <mergeCell ref="E793:H793"/>
    <mergeCell ref="E786:H786"/>
    <mergeCell ref="R786:S786"/>
    <mergeCell ref="E783:H783"/>
    <mergeCell ref="R798:S798"/>
    <mergeCell ref="M822:N822"/>
    <mergeCell ref="M801:N801"/>
    <mergeCell ref="O782:Q782"/>
    <mergeCell ref="M818:N818"/>
    <mergeCell ref="O818:Q818"/>
    <mergeCell ref="R818:S818"/>
    <mergeCell ref="I800:L800"/>
    <mergeCell ref="E805:H805"/>
    <mergeCell ref="M807:N807"/>
    <mergeCell ref="I788:L788"/>
    <mergeCell ref="E792:H792"/>
    <mergeCell ref="I797:L797"/>
    <mergeCell ref="O800:Q800"/>
    <mergeCell ref="O803:Q803"/>
    <mergeCell ref="M694:N694"/>
    <mergeCell ref="R796:S796"/>
    <mergeCell ref="E817:H817"/>
    <mergeCell ref="M799:N799"/>
    <mergeCell ref="M843:N843"/>
    <mergeCell ref="R161:S161"/>
    <mergeCell ref="E567:H567"/>
    <mergeCell ref="R572:S572"/>
    <mergeCell ref="M478:N478"/>
    <mergeCell ref="R535:S535"/>
    <mergeCell ref="E484:H484"/>
    <mergeCell ref="E509:H509"/>
    <mergeCell ref="R551:S551"/>
    <mergeCell ref="R569:S569"/>
    <mergeCell ref="O164:Q164"/>
    <mergeCell ref="R164:S164"/>
    <mergeCell ref="R474:S474"/>
    <mergeCell ref="R475:S475"/>
    <mergeCell ref="R476:S476"/>
    <mergeCell ref="O474:Q474"/>
    <mergeCell ref="O475:Q475"/>
    <mergeCell ref="O476:Q476"/>
    <mergeCell ref="M474:N474"/>
    <mergeCell ref="M475:N475"/>
    <mergeCell ref="M539:N539"/>
    <mergeCell ref="O539:Q539"/>
    <mergeCell ref="O527:Q527"/>
    <mergeCell ref="R570:S570"/>
    <mergeCell ref="R541:S541"/>
    <mergeCell ref="O547:Q547"/>
    <mergeCell ref="O793:Q793"/>
    <mergeCell ref="I785:L785"/>
    <mergeCell ref="I786:L786"/>
    <mergeCell ref="R803:S803"/>
    <mergeCell ref="E584:H584"/>
    <mergeCell ref="E609:H609"/>
    <mergeCell ref="E615:H615"/>
    <mergeCell ref="M616:N616"/>
    <mergeCell ref="I782:L782"/>
    <mergeCell ref="R610:S610"/>
    <mergeCell ref="M610:N610"/>
    <mergeCell ref="E610:H610"/>
    <mergeCell ref="M177:N177"/>
    <mergeCell ref="O177:Q177"/>
    <mergeCell ref="E576:H576"/>
    <mergeCell ref="E577:H577"/>
    <mergeCell ref="E489:H489"/>
    <mergeCell ref="O484:Q484"/>
    <mergeCell ref="E568:H568"/>
    <mergeCell ref="M476:N476"/>
    <mergeCell ref="E474:H474"/>
    <mergeCell ref="E476:H476"/>
    <mergeCell ref="O580:Q580"/>
    <mergeCell ref="E549:H549"/>
    <mergeCell ref="E526:H526"/>
    <mergeCell ref="O502:Q502"/>
    <mergeCell ref="R542:S542"/>
    <mergeCell ref="M705:N705"/>
    <mergeCell ref="E794:H794"/>
    <mergeCell ref="M619:N619"/>
    <mergeCell ref="E795:H795"/>
    <mergeCell ref="I784:L784"/>
    <mergeCell ref="R788:S788"/>
    <mergeCell ref="E607:H607"/>
    <mergeCell ref="R567:S567"/>
    <mergeCell ref="O557:Q557"/>
    <mergeCell ref="O559:Q559"/>
    <mergeCell ref="O561:Q561"/>
    <mergeCell ref="E559:H559"/>
    <mergeCell ref="E563:H563"/>
    <mergeCell ref="M563:N563"/>
    <mergeCell ref="E623:H623"/>
    <mergeCell ref="M655:N655"/>
    <mergeCell ref="O655:Q655"/>
    <mergeCell ref="R655:S655"/>
    <mergeCell ref="O619:Q619"/>
    <mergeCell ref="R619:S619"/>
    <mergeCell ref="I633:L633"/>
    <mergeCell ref="I636:L636"/>
    <mergeCell ref="I637:L637"/>
    <mergeCell ref="R612:S612"/>
    <mergeCell ref="O612:Q612"/>
    <mergeCell ref="R625:S625"/>
    <mergeCell ref="R578:S578"/>
    <mergeCell ref="E557:H557"/>
    <mergeCell ref="I629:L629"/>
    <mergeCell ref="E639:H639"/>
    <mergeCell ref="E580:H580"/>
    <mergeCell ref="R603:S603"/>
    <mergeCell ref="O595:Q595"/>
    <mergeCell ref="M612:N612"/>
    <mergeCell ref="E574:H574"/>
    <mergeCell ref="E582:H582"/>
    <mergeCell ref="R688:S688"/>
    <mergeCell ref="M688:N688"/>
    <mergeCell ref="R692:S692"/>
    <mergeCell ref="E637:H637"/>
    <mergeCell ref="E782:H782"/>
    <mergeCell ref="E775:H775"/>
    <mergeCell ref="E780:H780"/>
    <mergeCell ref="O802:Q802"/>
    <mergeCell ref="I781:L781"/>
    <mergeCell ref="O775:Q775"/>
    <mergeCell ref="E799:H799"/>
    <mergeCell ref="E800:H800"/>
    <mergeCell ref="E644:H644"/>
    <mergeCell ref="E779:H779"/>
    <mergeCell ref="E785:H785"/>
    <mergeCell ref="E788:H788"/>
    <mergeCell ref="E781:H781"/>
    <mergeCell ref="I787:L787"/>
    <mergeCell ref="E671:H671"/>
    <mergeCell ref="E669:H669"/>
    <mergeCell ref="I794:L794"/>
    <mergeCell ref="M648:N648"/>
    <mergeCell ref="E802:H802"/>
    <mergeCell ref="O786:Q786"/>
    <mergeCell ref="M780:N780"/>
    <mergeCell ref="M798:N798"/>
    <mergeCell ref="O798:Q798"/>
    <mergeCell ref="O794:Q794"/>
    <mergeCell ref="R795:S795"/>
    <mergeCell ref="R705:S705"/>
    <mergeCell ref="M775:N775"/>
    <mergeCell ref="R778:S778"/>
    <mergeCell ref="I792:L792"/>
    <mergeCell ref="O779:Q779"/>
    <mergeCell ref="R784:S784"/>
    <mergeCell ref="R782:S782"/>
    <mergeCell ref="E611:H611"/>
    <mergeCell ref="M611:N611"/>
    <mergeCell ref="O581:Q581"/>
    <mergeCell ref="R555:S555"/>
    <mergeCell ref="E600:H600"/>
    <mergeCell ref="E602:H602"/>
    <mergeCell ref="E575:H575"/>
    <mergeCell ref="E562:H562"/>
    <mergeCell ref="E586:H586"/>
    <mergeCell ref="R563:S563"/>
    <mergeCell ref="O563:Q563"/>
    <mergeCell ref="O574:Q574"/>
    <mergeCell ref="O576:Q576"/>
    <mergeCell ref="O577:Q577"/>
    <mergeCell ref="M575:N575"/>
    <mergeCell ref="E572:H572"/>
    <mergeCell ref="M576:N576"/>
    <mergeCell ref="R592:S592"/>
    <mergeCell ref="O592:Q592"/>
    <mergeCell ref="M592:N592"/>
    <mergeCell ref="E592:H592"/>
    <mergeCell ref="E578:H578"/>
    <mergeCell ref="O565:Q565"/>
    <mergeCell ref="E571:H571"/>
    <mergeCell ref="O573:Q573"/>
    <mergeCell ref="E581:H581"/>
    <mergeCell ref="E638:H638"/>
    <mergeCell ref="M650:N650"/>
    <mergeCell ref="E475:H475"/>
    <mergeCell ref="M473:N473"/>
    <mergeCell ref="E461:H461"/>
    <mergeCell ref="M605:N605"/>
    <mergeCell ref="O601:Q601"/>
    <mergeCell ref="E430:H430"/>
    <mergeCell ref="E442:H442"/>
    <mergeCell ref="M439:N439"/>
    <mergeCell ref="E435:H435"/>
    <mergeCell ref="M435:N435"/>
    <mergeCell ref="M450:N450"/>
    <mergeCell ref="M502:N502"/>
    <mergeCell ref="E502:H502"/>
    <mergeCell ref="M521:N521"/>
    <mergeCell ref="O543:Q543"/>
    <mergeCell ref="O503:Q503"/>
    <mergeCell ref="O529:Q529"/>
    <mergeCell ref="O535:Q535"/>
    <mergeCell ref="O505:Q505"/>
    <mergeCell ref="E515:H515"/>
    <mergeCell ref="O438:Q438"/>
    <mergeCell ref="M532:N532"/>
    <mergeCell ref="M535:N535"/>
    <mergeCell ref="M512:N512"/>
    <mergeCell ref="O512:Q512"/>
    <mergeCell ref="M530:N530"/>
    <mergeCell ref="O522:Q522"/>
    <mergeCell ref="E531:H531"/>
    <mergeCell ref="E479:H479"/>
    <mergeCell ref="E437:H437"/>
    <mergeCell ref="R461:S461"/>
    <mergeCell ref="E507:H507"/>
    <mergeCell ref="E486:H486"/>
    <mergeCell ref="E490:H490"/>
    <mergeCell ref="E482:H482"/>
    <mergeCell ref="O482:Q482"/>
    <mergeCell ref="O483:Q483"/>
    <mergeCell ref="O441:Q441"/>
    <mergeCell ref="E503:H503"/>
    <mergeCell ref="R517:S517"/>
    <mergeCell ref="E473:H473"/>
    <mergeCell ref="O468:Q468"/>
    <mergeCell ref="M446:N446"/>
    <mergeCell ref="R450:S450"/>
    <mergeCell ref="E498:H498"/>
    <mergeCell ref="E497:H497"/>
    <mergeCell ref="O478:Q478"/>
    <mergeCell ref="R482:S482"/>
    <mergeCell ref="O470:Q470"/>
    <mergeCell ref="R449:S449"/>
    <mergeCell ref="R473:S473"/>
    <mergeCell ref="O472:Q472"/>
    <mergeCell ref="O473:Q473"/>
    <mergeCell ref="M466:N466"/>
    <mergeCell ref="O465:Q465"/>
    <mergeCell ref="O469:Q469"/>
    <mergeCell ref="R465:S465"/>
    <mergeCell ref="E452:H452"/>
    <mergeCell ref="E454:H454"/>
    <mergeCell ref="M462:N462"/>
    <mergeCell ref="E472:H472"/>
    <mergeCell ref="M506:N506"/>
    <mergeCell ref="E573:H573"/>
    <mergeCell ref="O542:Q542"/>
    <mergeCell ref="O572:Q572"/>
    <mergeCell ref="M567:N567"/>
    <mergeCell ref="O567:Q567"/>
    <mergeCell ref="M558:N558"/>
    <mergeCell ref="E512:H512"/>
    <mergeCell ref="E545:H545"/>
    <mergeCell ref="E547:H547"/>
    <mergeCell ref="R457:S457"/>
    <mergeCell ref="O477:Q477"/>
    <mergeCell ref="E544:H544"/>
    <mergeCell ref="O550:Q550"/>
    <mergeCell ref="O546:Q546"/>
    <mergeCell ref="M552:N552"/>
    <mergeCell ref="E555:H555"/>
    <mergeCell ref="E551:H551"/>
    <mergeCell ref="M561:N561"/>
    <mergeCell ref="E527:H527"/>
    <mergeCell ref="E540:H540"/>
    <mergeCell ref="I540:L540"/>
    <mergeCell ref="M540:N540"/>
    <mergeCell ref="O540:Q540"/>
    <mergeCell ref="I564:L564"/>
    <mergeCell ref="O541:Q541"/>
    <mergeCell ref="O523:Q523"/>
    <mergeCell ref="M525:N525"/>
    <mergeCell ref="E525:H525"/>
    <mergeCell ref="O537:Q537"/>
    <mergeCell ref="R478:S478"/>
    <mergeCell ref="R479:S479"/>
    <mergeCell ref="R462:S462"/>
    <mergeCell ref="O570:Q570"/>
    <mergeCell ref="E561:H561"/>
    <mergeCell ref="E548:H548"/>
    <mergeCell ref="O549:Q549"/>
    <mergeCell ref="E556:H556"/>
    <mergeCell ref="E529:H529"/>
    <mergeCell ref="M529:N529"/>
    <mergeCell ref="O517:Q517"/>
    <mergeCell ref="E543:H543"/>
    <mergeCell ref="E539:H539"/>
    <mergeCell ref="E541:H541"/>
    <mergeCell ref="M541:N541"/>
    <mergeCell ref="E520:H520"/>
    <mergeCell ref="E552:H552"/>
    <mergeCell ref="E553:H553"/>
    <mergeCell ref="E542:H542"/>
    <mergeCell ref="M560:N560"/>
    <mergeCell ref="O568:Q568"/>
    <mergeCell ref="O560:Q560"/>
    <mergeCell ref="O562:Q562"/>
    <mergeCell ref="M553:N553"/>
    <mergeCell ref="B888:D888"/>
    <mergeCell ref="E888:J888"/>
    <mergeCell ref="B886:N886"/>
    <mergeCell ref="B875:T875"/>
    <mergeCell ref="O526:Q526"/>
    <mergeCell ref="B885:N885"/>
    <mergeCell ref="B883:N883"/>
    <mergeCell ref="M536:N536"/>
    <mergeCell ref="E784:H784"/>
    <mergeCell ref="I780:L780"/>
    <mergeCell ref="E790:H790"/>
    <mergeCell ref="R791:S791"/>
    <mergeCell ref="R787:S787"/>
    <mergeCell ref="O791:Q791"/>
    <mergeCell ref="R790:S790"/>
    <mergeCell ref="E631:H631"/>
    <mergeCell ref="I630:L630"/>
    <mergeCell ref="I631:L631"/>
    <mergeCell ref="O630:Q630"/>
    <mergeCell ref="M585:N585"/>
    <mergeCell ref="E533:H533"/>
    <mergeCell ref="M526:N526"/>
    <mergeCell ref="M555:N555"/>
    <mergeCell ref="O555:Q555"/>
    <mergeCell ref="O556:Q556"/>
    <mergeCell ref="E566:H566"/>
    <mergeCell ref="R539:S539"/>
    <mergeCell ref="R561:S561"/>
    <mergeCell ref="R552:S552"/>
    <mergeCell ref="M551:N551"/>
    <mergeCell ref="O551:Q551"/>
    <mergeCell ref="O544:Q544"/>
    <mergeCell ref="M457:N457"/>
    <mergeCell ref="E535:H535"/>
    <mergeCell ref="M557:N557"/>
    <mergeCell ref="O453:Q453"/>
    <mergeCell ref="M430:N430"/>
    <mergeCell ref="O449:Q449"/>
    <mergeCell ref="M448:N448"/>
    <mergeCell ref="E478:H478"/>
    <mergeCell ref="E483:H483"/>
    <mergeCell ref="M482:N482"/>
    <mergeCell ref="E569:H569"/>
    <mergeCell ref="M569:N569"/>
    <mergeCell ref="B884:N884"/>
    <mergeCell ref="M844:N844"/>
    <mergeCell ref="B881:N881"/>
    <mergeCell ref="O881:T881"/>
    <mergeCell ref="I352:L352"/>
    <mergeCell ref="E846:H846"/>
    <mergeCell ref="M793:N793"/>
    <mergeCell ref="O792:Q792"/>
    <mergeCell ref="M783:N783"/>
    <mergeCell ref="M790:N790"/>
    <mergeCell ref="O790:Q790"/>
    <mergeCell ref="O804:Q804"/>
    <mergeCell ref="E570:H570"/>
    <mergeCell ref="M570:N570"/>
    <mergeCell ref="R559:S559"/>
    <mergeCell ref="O813:Q813"/>
    <mergeCell ref="M813:N813"/>
    <mergeCell ref="M562:N562"/>
    <mergeCell ref="O617:Q617"/>
    <mergeCell ref="O606:Q606"/>
    <mergeCell ref="M572:N572"/>
    <mergeCell ref="R529:S529"/>
    <mergeCell ref="E528:H528"/>
    <mergeCell ref="R528:S528"/>
    <mergeCell ref="E505:H505"/>
    <mergeCell ref="M505:N505"/>
    <mergeCell ref="E523:H523"/>
    <mergeCell ref="R606:S606"/>
    <mergeCell ref="M618:N618"/>
    <mergeCell ref="R624:S624"/>
    <mergeCell ref="I783:L783"/>
    <mergeCell ref="M581:N581"/>
    <mergeCell ref="R545:S545"/>
    <mergeCell ref="M546:N546"/>
    <mergeCell ref="R556:S556"/>
    <mergeCell ref="R558:S558"/>
    <mergeCell ref="R557:S557"/>
    <mergeCell ref="R554:S554"/>
    <mergeCell ref="R565:S565"/>
    <mergeCell ref="M550:N550"/>
    <mergeCell ref="M547:N547"/>
    <mergeCell ref="M508:N508"/>
    <mergeCell ref="E508:H508"/>
    <mergeCell ref="E532:H532"/>
    <mergeCell ref="O532:Q532"/>
    <mergeCell ref="R525:S525"/>
    <mergeCell ref="R524:S524"/>
    <mergeCell ref="M542:N542"/>
    <mergeCell ref="E534:H534"/>
    <mergeCell ref="O525:Q525"/>
    <mergeCell ref="M517:N517"/>
    <mergeCell ref="M507:N507"/>
    <mergeCell ref="O225:Q225"/>
    <mergeCell ref="R225:S225"/>
    <mergeCell ref="E226:H226"/>
    <mergeCell ref="M226:N226"/>
    <mergeCell ref="R789:S789"/>
    <mergeCell ref="O812:Q812"/>
    <mergeCell ref="R794:S794"/>
    <mergeCell ref="I791:L791"/>
    <mergeCell ref="E565:H565"/>
    <mergeCell ref="R581:S581"/>
    <mergeCell ref="M784:N784"/>
    <mergeCell ref="O784:Q784"/>
    <mergeCell ref="M782:N782"/>
    <mergeCell ref="E587:H587"/>
    <mergeCell ref="M587:N587"/>
    <mergeCell ref="E599:H599"/>
    <mergeCell ref="R423:S423"/>
    <mergeCell ref="R404:S404"/>
    <mergeCell ref="R393:S393"/>
    <mergeCell ref="R400:S400"/>
    <mergeCell ref="M797:N797"/>
    <mergeCell ref="R537:S537"/>
    <mergeCell ref="O536:Q536"/>
    <mergeCell ref="E485:H485"/>
    <mergeCell ref="M565:N565"/>
    <mergeCell ref="M580:N580"/>
    <mergeCell ref="E558:H558"/>
    <mergeCell ref="E409:H409"/>
    <mergeCell ref="R445:S445"/>
    <mergeCell ref="O226:Q226"/>
    <mergeCell ref="R226:S226"/>
    <mergeCell ref="R792:S792"/>
    <mergeCell ref="E137:H137"/>
    <mergeCell ref="R403:S403"/>
    <mergeCell ref="O403:Q403"/>
    <mergeCell ref="E408:H408"/>
    <mergeCell ref="R398:S398"/>
    <mergeCell ref="M406:N406"/>
    <mergeCell ref="E357:H357"/>
    <mergeCell ref="I356:L356"/>
    <mergeCell ref="I357:L357"/>
    <mergeCell ref="M357:N357"/>
    <mergeCell ref="M371:N371"/>
    <mergeCell ref="E372:H372"/>
    <mergeCell ref="O373:Q373"/>
    <mergeCell ref="R406:S406"/>
    <mergeCell ref="O396:Q396"/>
    <mergeCell ref="E395:H395"/>
    <mergeCell ref="M227:N227"/>
    <mergeCell ref="M407:N407"/>
    <mergeCell ref="R407:S407"/>
    <mergeCell ref="O352:Q352"/>
    <mergeCell ref="R408:S408"/>
    <mergeCell ref="O397:Q397"/>
    <mergeCell ref="R353:S353"/>
    <mergeCell ref="E354:H354"/>
    <mergeCell ref="I354:L354"/>
    <mergeCell ref="M354:N354"/>
    <mergeCell ref="O354:Q354"/>
    <mergeCell ref="R354:S354"/>
    <mergeCell ref="R177:S177"/>
    <mergeCell ref="R352:S352"/>
    <mergeCell ref="E225:H225"/>
    <mergeCell ref="M225:N225"/>
    <mergeCell ref="R409:S409"/>
    <mergeCell ref="R410:S410"/>
    <mergeCell ref="R402:S402"/>
    <mergeCell ref="O387:Q387"/>
    <mergeCell ref="R401:S401"/>
    <mergeCell ref="M390:N390"/>
    <mergeCell ref="O410:Q410"/>
    <mergeCell ref="O406:Q406"/>
    <mergeCell ref="R427:S427"/>
    <mergeCell ref="M413:N413"/>
    <mergeCell ref="O414:Q414"/>
    <mergeCell ref="R416:S416"/>
    <mergeCell ref="M414:N414"/>
    <mergeCell ref="O451:Q451"/>
    <mergeCell ref="R405:S405"/>
    <mergeCell ref="M434:N434"/>
    <mergeCell ref="O434:Q434"/>
    <mergeCell ref="R429:S429"/>
    <mergeCell ref="O433:Q433"/>
    <mergeCell ref="R433:S433"/>
    <mergeCell ref="R434:S434"/>
    <mergeCell ref="O422:Q422"/>
    <mergeCell ref="R425:S425"/>
    <mergeCell ref="R426:S426"/>
    <mergeCell ref="M420:N420"/>
    <mergeCell ref="M422:N422"/>
    <mergeCell ref="R436:S436"/>
    <mergeCell ref="R424:S424"/>
    <mergeCell ref="M431:N431"/>
    <mergeCell ref="M437:N437"/>
    <mergeCell ref="O445:Q445"/>
    <mergeCell ref="R444:S444"/>
    <mergeCell ref="E419:H419"/>
    <mergeCell ref="R432:S432"/>
    <mergeCell ref="O423:Q423"/>
    <mergeCell ref="M424:N424"/>
    <mergeCell ref="E424:H424"/>
    <mergeCell ref="O421:Q421"/>
    <mergeCell ref="E421:H421"/>
    <mergeCell ref="R417:S417"/>
    <mergeCell ref="R431:S431"/>
    <mergeCell ref="M426:N426"/>
    <mergeCell ref="E427:H427"/>
    <mergeCell ref="M421:N421"/>
    <mergeCell ref="O420:Q420"/>
    <mergeCell ref="R430:S430"/>
    <mergeCell ref="E426:H426"/>
    <mergeCell ref="M425:N425"/>
    <mergeCell ref="M423:N423"/>
    <mergeCell ref="R422:S422"/>
    <mergeCell ref="M418:N418"/>
    <mergeCell ref="O424:Q424"/>
    <mergeCell ref="M419:N419"/>
    <mergeCell ref="R428:S428"/>
    <mergeCell ref="R421:S421"/>
    <mergeCell ref="M432:N432"/>
    <mergeCell ref="M428:N428"/>
    <mergeCell ref="M417:N417"/>
    <mergeCell ref="O417:Q417"/>
    <mergeCell ref="O431:Q431"/>
    <mergeCell ref="M427:N427"/>
    <mergeCell ref="E417:H417"/>
    <mergeCell ref="E418:H418"/>
    <mergeCell ref="E432:H432"/>
    <mergeCell ref="E416:H416"/>
    <mergeCell ref="E420:H420"/>
    <mergeCell ref="E434:H434"/>
    <mergeCell ref="O425:Q425"/>
    <mergeCell ref="E422:H422"/>
    <mergeCell ref="E423:H423"/>
    <mergeCell ref="E438:H438"/>
    <mergeCell ref="M429:N429"/>
    <mergeCell ref="E464:H464"/>
    <mergeCell ref="O432:Q432"/>
    <mergeCell ref="E471:H471"/>
    <mergeCell ref="I471:L471"/>
    <mergeCell ref="E431:H431"/>
    <mergeCell ref="O429:Q429"/>
    <mergeCell ref="O416:Q416"/>
    <mergeCell ref="M416:N416"/>
    <mergeCell ref="O430:Q430"/>
    <mergeCell ref="M438:N438"/>
    <mergeCell ref="E459:H459"/>
    <mergeCell ref="E462:H462"/>
    <mergeCell ref="O435:Q435"/>
    <mergeCell ref="M445:N445"/>
    <mergeCell ref="E443:H443"/>
    <mergeCell ref="M440:N440"/>
    <mergeCell ref="O442:Q442"/>
    <mergeCell ref="O457:Q457"/>
    <mergeCell ref="E444:H444"/>
    <mergeCell ref="M442:N442"/>
    <mergeCell ref="E445:H445"/>
    <mergeCell ref="E425:H425"/>
    <mergeCell ref="O437:Q437"/>
    <mergeCell ref="O450:Q450"/>
    <mergeCell ref="M444:N444"/>
    <mergeCell ref="E467:H467"/>
    <mergeCell ref="E450:H450"/>
    <mergeCell ref="O462:Q462"/>
    <mergeCell ref="M449:N449"/>
    <mergeCell ref="M477:N477"/>
    <mergeCell ref="E470:H470"/>
    <mergeCell ref="M463:N463"/>
    <mergeCell ref="M464:N464"/>
    <mergeCell ref="O461:Q461"/>
    <mergeCell ref="M461:N461"/>
    <mergeCell ref="M459:N459"/>
    <mergeCell ref="M460:N460"/>
    <mergeCell ref="R452:S452"/>
    <mergeCell ref="E468:H468"/>
    <mergeCell ref="R459:S459"/>
    <mergeCell ref="R472:S472"/>
    <mergeCell ref="M452:N452"/>
    <mergeCell ref="O452:Q452"/>
    <mergeCell ref="R471:S471"/>
    <mergeCell ref="M456:N456"/>
    <mergeCell ref="O456:Q456"/>
    <mergeCell ref="R469:S469"/>
    <mergeCell ref="M472:N472"/>
    <mergeCell ref="E477:H477"/>
    <mergeCell ref="O455:Q455"/>
    <mergeCell ref="E456:H456"/>
    <mergeCell ref="R463:S463"/>
    <mergeCell ref="M469:N469"/>
    <mergeCell ref="R477:S477"/>
    <mergeCell ref="R455:S455"/>
    <mergeCell ref="M458:N458"/>
    <mergeCell ref="R438:S438"/>
    <mergeCell ref="R439:S439"/>
    <mergeCell ref="O439:Q439"/>
    <mergeCell ref="R437:S437"/>
    <mergeCell ref="O443:Q443"/>
    <mergeCell ref="R442:S442"/>
    <mergeCell ref="E455:H455"/>
    <mergeCell ref="M454:N454"/>
    <mergeCell ref="E463:H463"/>
    <mergeCell ref="E453:H453"/>
    <mergeCell ref="M471:N471"/>
    <mergeCell ref="O471:Q471"/>
    <mergeCell ref="R468:S468"/>
    <mergeCell ref="E460:H460"/>
    <mergeCell ref="E449:H449"/>
    <mergeCell ref="O466:Q466"/>
    <mergeCell ref="O446:Q446"/>
    <mergeCell ref="M451:N451"/>
    <mergeCell ref="R466:S466"/>
    <mergeCell ref="E440:H440"/>
    <mergeCell ref="M455:N455"/>
    <mergeCell ref="M453:N453"/>
    <mergeCell ref="R460:S460"/>
    <mergeCell ref="M465:N465"/>
    <mergeCell ref="M467:N467"/>
    <mergeCell ref="O460:Q460"/>
    <mergeCell ref="R470:S470"/>
    <mergeCell ref="E458:H458"/>
    <mergeCell ref="O440:Q440"/>
    <mergeCell ref="R446:S446"/>
    <mergeCell ref="R441:S441"/>
    <mergeCell ref="I450:L450"/>
    <mergeCell ref="E413:H413"/>
    <mergeCell ref="R464:S464"/>
    <mergeCell ref="O464:Q464"/>
    <mergeCell ref="E441:H441"/>
    <mergeCell ref="O454:Q454"/>
    <mergeCell ref="O458:Q458"/>
    <mergeCell ref="R458:S458"/>
    <mergeCell ref="E448:H448"/>
    <mergeCell ref="E451:H451"/>
    <mergeCell ref="O444:Q444"/>
    <mergeCell ref="O459:Q459"/>
    <mergeCell ref="E436:H436"/>
    <mergeCell ref="R443:S443"/>
    <mergeCell ref="O436:Q436"/>
    <mergeCell ref="O427:Q427"/>
    <mergeCell ref="O428:Q428"/>
    <mergeCell ref="E433:H433"/>
    <mergeCell ref="I433:L433"/>
    <mergeCell ref="M433:N433"/>
    <mergeCell ref="M443:N443"/>
    <mergeCell ref="M447:N447"/>
    <mergeCell ref="R454:S454"/>
    <mergeCell ref="E446:H446"/>
    <mergeCell ref="R435:S435"/>
    <mergeCell ref="M436:N436"/>
    <mergeCell ref="R456:S456"/>
    <mergeCell ref="M441:N441"/>
    <mergeCell ref="E447:H447"/>
    <mergeCell ref="E428:H428"/>
    <mergeCell ref="O426:Q426"/>
    <mergeCell ref="R420:S420"/>
    <mergeCell ref="E457:H457"/>
    <mergeCell ref="O448:Q448"/>
    <mergeCell ref="R448:S448"/>
    <mergeCell ref="O463:Q463"/>
    <mergeCell ref="R447:S447"/>
    <mergeCell ref="O467:Q467"/>
    <mergeCell ref="M470:N470"/>
    <mergeCell ref="M479:N479"/>
    <mergeCell ref="R451:S451"/>
    <mergeCell ref="O447:Q447"/>
    <mergeCell ref="R467:S467"/>
    <mergeCell ref="O479:Q479"/>
    <mergeCell ref="M468:N468"/>
    <mergeCell ref="R453:S453"/>
    <mergeCell ref="R440:S440"/>
    <mergeCell ref="M509:N509"/>
    <mergeCell ref="O507:Q507"/>
    <mergeCell ref="M480:N480"/>
    <mergeCell ref="O481:Q481"/>
    <mergeCell ref="R481:S481"/>
    <mergeCell ref="M485:N485"/>
    <mergeCell ref="M486:N486"/>
    <mergeCell ref="R490:S490"/>
    <mergeCell ref="O490:Q490"/>
    <mergeCell ref="R483:S483"/>
    <mergeCell ref="O499:Q499"/>
    <mergeCell ref="R499:S499"/>
    <mergeCell ref="R494:S494"/>
    <mergeCell ref="R486:S486"/>
    <mergeCell ref="M493:N493"/>
    <mergeCell ref="R480:S480"/>
    <mergeCell ref="R488:S488"/>
    <mergeCell ref="O488:Q488"/>
    <mergeCell ref="E481:H481"/>
    <mergeCell ref="M481:N481"/>
    <mergeCell ref="R489:S489"/>
    <mergeCell ref="R505:S505"/>
    <mergeCell ref="M489:N489"/>
    <mergeCell ref="R500:S500"/>
    <mergeCell ref="M484:N484"/>
    <mergeCell ref="R487:S487"/>
    <mergeCell ref="R485:S485"/>
    <mergeCell ref="O496:Q496"/>
    <mergeCell ref="E491:H491"/>
    <mergeCell ref="R491:S491"/>
    <mergeCell ref="E496:H496"/>
    <mergeCell ref="O495:Q495"/>
    <mergeCell ref="R495:S495"/>
    <mergeCell ref="R492:S492"/>
    <mergeCell ref="E494:H494"/>
    <mergeCell ref="E488:H488"/>
    <mergeCell ref="M488:N488"/>
    <mergeCell ref="M487:N487"/>
    <mergeCell ref="R484:S484"/>
    <mergeCell ref="R503:S503"/>
    <mergeCell ref="O489:Q489"/>
    <mergeCell ref="M483:N483"/>
    <mergeCell ref="O510:Q510"/>
    <mergeCell ref="R510:S510"/>
    <mergeCell ref="E492:H492"/>
    <mergeCell ref="E493:H493"/>
    <mergeCell ref="R493:S493"/>
    <mergeCell ref="O485:Q485"/>
    <mergeCell ref="E495:H495"/>
    <mergeCell ref="M495:N495"/>
    <mergeCell ref="O493:Q493"/>
    <mergeCell ref="M494:N494"/>
    <mergeCell ref="O494:Q494"/>
    <mergeCell ref="O491:Q491"/>
    <mergeCell ref="O492:Q492"/>
    <mergeCell ref="R496:S496"/>
    <mergeCell ref="M496:N496"/>
    <mergeCell ref="E500:H500"/>
    <mergeCell ref="E487:H487"/>
    <mergeCell ref="E499:H499"/>
    <mergeCell ref="M491:N491"/>
    <mergeCell ref="M492:N492"/>
    <mergeCell ref="O487:Q487"/>
    <mergeCell ref="I489:L489"/>
    <mergeCell ref="O506:Q506"/>
    <mergeCell ref="R779:S779"/>
    <mergeCell ref="R793:S793"/>
    <mergeCell ref="R812:S812"/>
    <mergeCell ref="O801:Q801"/>
    <mergeCell ref="M781:N781"/>
    <mergeCell ref="M787:N787"/>
    <mergeCell ref="O669:Q669"/>
    <mergeCell ref="M669:N669"/>
    <mergeCell ref="M671:N671"/>
    <mergeCell ref="R805:S805"/>
    <mergeCell ref="R781:S781"/>
    <mergeCell ref="R629:S629"/>
    <mergeCell ref="O648:Q648"/>
    <mergeCell ref="O777:Q777"/>
    <mergeCell ref="M676:N676"/>
    <mergeCell ref="R639:S639"/>
    <mergeCell ref="M717:N717"/>
    <mergeCell ref="O717:Q717"/>
    <mergeCell ref="O726:Q726"/>
    <mergeCell ref="O729:Q729"/>
    <mergeCell ref="O759:Q759"/>
    <mergeCell ref="R759:S759"/>
    <mergeCell ref="M754:N754"/>
    <mergeCell ref="R737:S737"/>
    <mergeCell ref="R734:S734"/>
    <mergeCell ref="O734:Q734"/>
    <mergeCell ref="M731:N731"/>
    <mergeCell ref="M726:N726"/>
    <mergeCell ref="R722:S722"/>
    <mergeCell ref="M803:N803"/>
    <mergeCell ref="M635:N635"/>
    <mergeCell ref="O635:Q635"/>
    <mergeCell ref="R573:S573"/>
    <mergeCell ref="R574:S574"/>
    <mergeCell ref="O605:Q605"/>
    <mergeCell ref="O609:Q609"/>
    <mergeCell ref="M640:N640"/>
    <mergeCell ref="M786:N786"/>
    <mergeCell ref="M578:N578"/>
    <mergeCell ref="O578:Q578"/>
    <mergeCell ref="R626:S626"/>
    <mergeCell ref="O788:Q788"/>
    <mergeCell ref="M626:N626"/>
    <mergeCell ref="R804:S804"/>
    <mergeCell ref="R775:S775"/>
    <mergeCell ref="O808:Q808"/>
    <mergeCell ref="O636:Q636"/>
    <mergeCell ref="R636:S636"/>
    <mergeCell ref="R637:S637"/>
    <mergeCell ref="O637:Q637"/>
    <mergeCell ref="R696:S696"/>
    <mergeCell ref="O696:Q696"/>
    <mergeCell ref="R808:S808"/>
    <mergeCell ref="M806:N806"/>
    <mergeCell ref="R777:S777"/>
    <mergeCell ref="M606:N606"/>
    <mergeCell ref="M573:N573"/>
    <mergeCell ref="M574:N574"/>
    <mergeCell ref="R615:S615"/>
    <mergeCell ref="O615:Q615"/>
    <mergeCell ref="M615:N615"/>
    <mergeCell ref="M791:N791"/>
    <mergeCell ref="M586:N586"/>
    <mergeCell ref="O575:Q575"/>
    <mergeCell ref="O583:Q583"/>
    <mergeCell ref="R583:S583"/>
    <mergeCell ref="R607:S607"/>
    <mergeCell ref="R630:S630"/>
    <mergeCell ref="M630:N630"/>
    <mergeCell ref="R633:S633"/>
    <mergeCell ref="O633:Q633"/>
    <mergeCell ref="M633:N633"/>
    <mergeCell ref="O658:Q658"/>
    <mergeCell ref="R658:S658"/>
    <mergeCell ref="M658:N658"/>
    <mergeCell ref="O607:Q607"/>
    <mergeCell ref="M607:N607"/>
    <mergeCell ref="E796:H796"/>
    <mergeCell ref="E630:H630"/>
    <mergeCell ref="E797:H797"/>
    <mergeCell ref="I796:L796"/>
    <mergeCell ref="R604:S604"/>
    <mergeCell ref="O604:Q604"/>
    <mergeCell ref="I789:L789"/>
    <mergeCell ref="E646:H646"/>
    <mergeCell ref="E634:H634"/>
    <mergeCell ref="R646:S646"/>
    <mergeCell ref="I644:L644"/>
    <mergeCell ref="E648:H648"/>
    <mergeCell ref="M644:N644"/>
    <mergeCell ref="E633:H633"/>
    <mergeCell ref="M636:N636"/>
    <mergeCell ref="R632:S632"/>
    <mergeCell ref="R648:S648"/>
    <mergeCell ref="I640:L640"/>
    <mergeCell ref="M779:N779"/>
    <mergeCell ref="E834:H834"/>
    <mergeCell ref="I834:L834"/>
    <mergeCell ref="I775:L775"/>
    <mergeCell ref="R833:S833"/>
    <mergeCell ref="I835:L835"/>
    <mergeCell ref="M835:N835"/>
    <mergeCell ref="O835:Q835"/>
    <mergeCell ref="O834:Q834"/>
    <mergeCell ref="E822:H822"/>
    <mergeCell ref="M829:N829"/>
    <mergeCell ref="O829:Q829"/>
    <mergeCell ref="R829:S829"/>
    <mergeCell ref="O823:Q823"/>
    <mergeCell ref="I819:L819"/>
    <mergeCell ref="O819:Q819"/>
    <mergeCell ref="O807:Q807"/>
    <mergeCell ref="I778:L778"/>
    <mergeCell ref="E807:H807"/>
    <mergeCell ref="D776:S776"/>
    <mergeCell ref="E828:H828"/>
    <mergeCell ref="M828:N828"/>
    <mergeCell ref="O828:Q828"/>
    <mergeCell ref="R828:S828"/>
    <mergeCell ref="E821:H821"/>
    <mergeCell ref="M821:N821"/>
    <mergeCell ref="O821:Q821"/>
    <mergeCell ref="R821:S821"/>
    <mergeCell ref="E833:H833"/>
    <mergeCell ref="E818:H818"/>
    <mergeCell ref="E824:H824"/>
    <mergeCell ref="R807:S807"/>
    <mergeCell ref="M812:N812"/>
    <mergeCell ref="O861:Q861"/>
    <mergeCell ref="M841:N841"/>
    <mergeCell ref="O841:Q841"/>
    <mergeCell ref="I847:L847"/>
    <mergeCell ref="O839:Q839"/>
    <mergeCell ref="O797:Q797"/>
    <mergeCell ref="M796:N796"/>
    <mergeCell ref="O846:Q846"/>
    <mergeCell ref="E853:H853"/>
    <mergeCell ref="I853:L853"/>
    <mergeCell ref="R799:S799"/>
    <mergeCell ref="R800:S800"/>
    <mergeCell ref="M800:N800"/>
    <mergeCell ref="I833:L833"/>
    <mergeCell ref="M833:N833"/>
    <mergeCell ref="O833:Q833"/>
    <mergeCell ref="R837:S837"/>
    <mergeCell ref="E848:H848"/>
    <mergeCell ref="I848:L848"/>
    <mergeCell ref="M848:N848"/>
    <mergeCell ref="O848:Q848"/>
    <mergeCell ref="R848:S848"/>
    <mergeCell ref="R802:S802"/>
    <mergeCell ref="E835:H835"/>
    <mergeCell ref="R840:S840"/>
    <mergeCell ref="R801:S801"/>
    <mergeCell ref="M825:N825"/>
    <mergeCell ref="O844:Q844"/>
    <mergeCell ref="E844:H844"/>
    <mergeCell ref="M837:N837"/>
    <mergeCell ref="E843:H843"/>
    <mergeCell ref="E808:H808"/>
    <mergeCell ref="O820:Q820"/>
    <mergeCell ref="E820:H820"/>
    <mergeCell ref="M830:N830"/>
    <mergeCell ref="R817:S817"/>
    <mergeCell ref="E811:H811"/>
    <mergeCell ref="M811:N811"/>
    <mergeCell ref="O811:Q811"/>
    <mergeCell ref="R811:S811"/>
    <mergeCell ref="M832:N832"/>
    <mergeCell ref="R832:S832"/>
    <mergeCell ref="E832:H832"/>
    <mergeCell ref="E823:H823"/>
    <mergeCell ref="I810:L810"/>
    <mergeCell ref="E829:H829"/>
    <mergeCell ref="M816:N816"/>
    <mergeCell ref="O816:Q816"/>
    <mergeCell ref="M814:N814"/>
    <mergeCell ref="O814:Q814"/>
    <mergeCell ref="R814:S814"/>
    <mergeCell ref="E813:H813"/>
    <mergeCell ref="E814:H814"/>
    <mergeCell ref="R816:S816"/>
    <mergeCell ref="R826:S826"/>
    <mergeCell ref="O825:Q825"/>
    <mergeCell ref="O826:Q826"/>
    <mergeCell ref="M826:N826"/>
    <mergeCell ref="R822:S822"/>
    <mergeCell ref="M815:N815"/>
    <mergeCell ref="O815:Q815"/>
    <mergeCell ref="R815:S815"/>
    <mergeCell ref="E815:H815"/>
    <mergeCell ref="E506:H506"/>
    <mergeCell ref="E504:H504"/>
    <mergeCell ref="M503:N503"/>
    <mergeCell ref="M527:N527"/>
    <mergeCell ref="R504:S504"/>
    <mergeCell ref="R531:S531"/>
    <mergeCell ref="R532:S532"/>
    <mergeCell ref="R533:S533"/>
    <mergeCell ref="M523:N523"/>
    <mergeCell ref="R521:S521"/>
    <mergeCell ref="R506:S506"/>
    <mergeCell ref="R538:S538"/>
    <mergeCell ref="O538:Q538"/>
    <mergeCell ref="M538:N538"/>
    <mergeCell ref="E538:H538"/>
    <mergeCell ref="E564:H564"/>
    <mergeCell ref="M513:N513"/>
    <mergeCell ref="R512:S512"/>
    <mergeCell ref="R543:S543"/>
    <mergeCell ref="R527:S527"/>
    <mergeCell ref="M543:N543"/>
    <mergeCell ref="M531:N531"/>
    <mergeCell ref="M544:N544"/>
    <mergeCell ref="E521:H521"/>
    <mergeCell ref="M545:N545"/>
    <mergeCell ref="M522:N522"/>
    <mergeCell ref="M524:N524"/>
    <mergeCell ref="E517:H517"/>
    <mergeCell ref="O554:Q554"/>
    <mergeCell ref="E550:H550"/>
    <mergeCell ref="M559:N559"/>
    <mergeCell ref="E522:H522"/>
    <mergeCell ref="O509:Q509"/>
    <mergeCell ref="R509:S509"/>
    <mergeCell ref="O508:Q508"/>
    <mergeCell ref="R508:S508"/>
    <mergeCell ref="E363:H363"/>
    <mergeCell ref="I355:L355"/>
    <mergeCell ref="M355:N355"/>
    <mergeCell ref="O355:Q355"/>
    <mergeCell ref="R355:S355"/>
    <mergeCell ref="M353:N353"/>
    <mergeCell ref="I362:L362"/>
    <mergeCell ref="E355:H355"/>
    <mergeCell ref="E360:H360"/>
    <mergeCell ref="O356:Q356"/>
    <mergeCell ref="M361:N361"/>
    <mergeCell ref="I361:L361"/>
    <mergeCell ref="R359:S359"/>
    <mergeCell ref="O359:Q359"/>
    <mergeCell ref="M359:N359"/>
    <mergeCell ref="E356:H356"/>
    <mergeCell ref="R357:S357"/>
    <mergeCell ref="I359:L359"/>
    <mergeCell ref="E358:H358"/>
    <mergeCell ref="O358:Q358"/>
    <mergeCell ref="R358:S358"/>
    <mergeCell ref="R362:S362"/>
    <mergeCell ref="O390:Q390"/>
    <mergeCell ref="R513:S513"/>
    <mergeCell ref="E501:H501"/>
    <mergeCell ref="E510:H510"/>
    <mergeCell ref="M510:N510"/>
    <mergeCell ref="E868:H868"/>
    <mergeCell ref="I868:L868"/>
    <mergeCell ref="M868:N868"/>
    <mergeCell ref="M871:N871"/>
    <mergeCell ref="O871:P871"/>
    <mergeCell ref="Q871:S871"/>
    <mergeCell ref="M847:N847"/>
    <mergeCell ref="I371:L371"/>
    <mergeCell ref="M373:N373"/>
    <mergeCell ref="O847:Q847"/>
    <mergeCell ref="R847:S847"/>
    <mergeCell ref="I373:L373"/>
    <mergeCell ref="O371:Q371"/>
    <mergeCell ref="R363:S363"/>
    <mergeCell ref="O369:Q369"/>
    <mergeCell ref="R381:S381"/>
    <mergeCell ref="E380:H380"/>
    <mergeCell ref="I386:L386"/>
    <mergeCell ref="M386:N386"/>
    <mergeCell ref="R385:S385"/>
    <mergeCell ref="R388:S388"/>
    <mergeCell ref="I393:L393"/>
    <mergeCell ref="E400:H400"/>
    <mergeCell ref="O402:Q402"/>
    <mergeCell ref="E387:H387"/>
    <mergeCell ref="E399:H399"/>
    <mergeCell ref="I399:L399"/>
    <mergeCell ref="O408:Q408"/>
    <mergeCell ref="E394:H394"/>
    <mergeCell ref="M867:N867"/>
    <mergeCell ref="O867:Q867"/>
    <mergeCell ref="R867:S867"/>
    <mergeCell ref="E862:H862"/>
    <mergeCell ref="I862:L862"/>
    <mergeCell ref="M862:N862"/>
    <mergeCell ref="O862:Q862"/>
    <mergeCell ref="E864:H864"/>
    <mergeCell ref="M409:N409"/>
    <mergeCell ref="M866:N866"/>
    <mergeCell ref="O866:Q866"/>
    <mergeCell ref="M864:N864"/>
    <mergeCell ref="R865:S865"/>
    <mergeCell ref="R866:S866"/>
    <mergeCell ref="M861:N861"/>
    <mergeCell ref="I861:L861"/>
    <mergeCell ref="E861:H861"/>
    <mergeCell ref="E858:H858"/>
    <mergeCell ref="I858:L858"/>
    <mergeCell ref="E839:H839"/>
    <mergeCell ref="I841:L841"/>
    <mergeCell ref="I839:L839"/>
    <mergeCell ref="I826:L826"/>
    <mergeCell ref="E798:H798"/>
    <mergeCell ref="M794:N794"/>
    <mergeCell ref="E810:H810"/>
    <mergeCell ref="O787:Q787"/>
    <mergeCell ref="R813:S813"/>
    <mergeCell ref="R548:S548"/>
    <mergeCell ref="M810:N810"/>
    <mergeCell ref="E806:H806"/>
    <mergeCell ref="E411:H411"/>
    <mergeCell ref="R413:S413"/>
    <mergeCell ref="R598:S598"/>
    <mergeCell ref="R568:S568"/>
    <mergeCell ref="E877:H877"/>
    <mergeCell ref="I877:L877"/>
    <mergeCell ref="E870:H870"/>
    <mergeCell ref="I870:L870"/>
    <mergeCell ref="M870:N870"/>
    <mergeCell ref="O870:Q870"/>
    <mergeCell ref="I871:L871"/>
    <mergeCell ref="R870:S870"/>
    <mergeCell ref="O864:Q864"/>
    <mergeCell ref="O865:Q865"/>
    <mergeCell ref="E869:H869"/>
    <mergeCell ref="I869:L869"/>
    <mergeCell ref="M869:N869"/>
    <mergeCell ref="O869:Q869"/>
    <mergeCell ref="E866:H866"/>
    <mergeCell ref="R862:S862"/>
    <mergeCell ref="E865:H865"/>
    <mergeCell ref="I865:L865"/>
    <mergeCell ref="M865:N865"/>
    <mergeCell ref="I864:L864"/>
    <mergeCell ref="R864:S864"/>
    <mergeCell ref="O868:Q868"/>
    <mergeCell ref="R868:S868"/>
    <mergeCell ref="I866:L866"/>
    <mergeCell ref="R869:S869"/>
    <mergeCell ref="E863:H863"/>
    <mergeCell ref="I863:L863"/>
    <mergeCell ref="M863:N863"/>
    <mergeCell ref="O863:Q863"/>
    <mergeCell ref="R863:S863"/>
    <mergeCell ref="E867:H867"/>
    <mergeCell ref="I867:L867"/>
    <mergeCell ref="E378:H378"/>
    <mergeCell ref="E379:H379"/>
    <mergeCell ref="O384:Q384"/>
    <mergeCell ref="I382:L382"/>
    <mergeCell ref="I381:L381"/>
    <mergeCell ref="E382:H382"/>
    <mergeCell ref="E412:H412"/>
    <mergeCell ref="R412:S412"/>
    <mergeCell ref="M393:N393"/>
    <mergeCell ref="E396:H396"/>
    <mergeCell ref="E401:H401"/>
    <mergeCell ref="I401:L401"/>
    <mergeCell ref="M834:N834"/>
    <mergeCell ref="I842:L842"/>
    <mergeCell ref="M842:N842"/>
    <mergeCell ref="O842:Q842"/>
    <mergeCell ref="O838:Q838"/>
    <mergeCell ref="R842:S842"/>
    <mergeCell ref="R841:S841"/>
    <mergeCell ref="E841:H841"/>
    <mergeCell ref="R576:S576"/>
    <mergeCell ref="M840:N840"/>
    <mergeCell ref="O840:Q840"/>
    <mergeCell ref="I402:L402"/>
    <mergeCell ref="M410:N410"/>
    <mergeCell ref="E410:H410"/>
    <mergeCell ref="E469:H469"/>
    <mergeCell ref="M400:N400"/>
    <mergeCell ref="E406:H406"/>
    <mergeCell ref="E613:H613"/>
    <mergeCell ref="R522:S522"/>
    <mergeCell ref="E514:H514"/>
    <mergeCell ref="E439:H439"/>
    <mergeCell ref="E351:H351"/>
    <mergeCell ref="I350:L350"/>
    <mergeCell ref="I372:L372"/>
    <mergeCell ref="O379:Q379"/>
    <mergeCell ref="O367:Q367"/>
    <mergeCell ref="I367:L367"/>
    <mergeCell ref="O370:Q370"/>
    <mergeCell ref="M372:N372"/>
    <mergeCell ref="M370:N370"/>
    <mergeCell ref="E353:H353"/>
    <mergeCell ref="O357:Q357"/>
    <mergeCell ref="I360:L360"/>
    <mergeCell ref="O548:Q548"/>
    <mergeCell ref="M548:N548"/>
    <mergeCell ref="I513:L513"/>
    <mergeCell ref="E513:H513"/>
    <mergeCell ref="E511:H511"/>
    <mergeCell ref="E390:H390"/>
    <mergeCell ref="O393:Q393"/>
    <mergeCell ref="E402:H402"/>
    <mergeCell ref="E393:H393"/>
    <mergeCell ref="E397:H397"/>
    <mergeCell ref="E361:H361"/>
    <mergeCell ref="E352:H352"/>
    <mergeCell ref="M356:N356"/>
    <mergeCell ref="E362:H362"/>
    <mergeCell ref="O511:Q511"/>
    <mergeCell ref="E524:H524"/>
    <mergeCell ref="E407:H407"/>
    <mergeCell ref="E398:H398"/>
    <mergeCell ref="M352:N352"/>
    <mergeCell ref="M499:N499"/>
    <mergeCell ref="M399:N399"/>
    <mergeCell ref="R370:S370"/>
    <mergeCell ref="O374:Q374"/>
    <mergeCell ref="R361:S361"/>
    <mergeCell ref="M824:N824"/>
    <mergeCell ref="M819:N819"/>
    <mergeCell ref="R369:S369"/>
    <mergeCell ref="R823:S823"/>
    <mergeCell ref="R373:S373"/>
    <mergeCell ref="O363:Q363"/>
    <mergeCell ref="R376:S376"/>
    <mergeCell ref="O501:Q501"/>
    <mergeCell ref="M501:N501"/>
    <mergeCell ref="M582:N582"/>
    <mergeCell ref="M415:N415"/>
    <mergeCell ref="O415:Q415"/>
    <mergeCell ref="R824:S824"/>
    <mergeCell ref="O585:Q585"/>
    <mergeCell ref="R585:S585"/>
    <mergeCell ref="R386:S386"/>
    <mergeCell ref="M516:N516"/>
    <mergeCell ref="O528:Q528"/>
    <mergeCell ref="R605:S605"/>
    <mergeCell ref="M408:N408"/>
    <mergeCell ref="O407:Q407"/>
    <mergeCell ref="O411:Q411"/>
    <mergeCell ref="R518:S518"/>
    <mergeCell ref="O564:Q564"/>
    <mergeCell ref="O524:Q524"/>
    <mergeCell ref="M637:N637"/>
    <mergeCell ref="R575:S575"/>
    <mergeCell ref="E377:H377"/>
    <mergeCell ref="I377:L377"/>
    <mergeCell ref="M377:N377"/>
    <mergeCell ref="O377:Q377"/>
    <mergeCell ref="R377:S377"/>
    <mergeCell ref="M804:N804"/>
    <mergeCell ref="E803:H803"/>
    <mergeCell ref="M401:N401"/>
    <mergeCell ref="I368:L368"/>
    <mergeCell ref="R497:S497"/>
    <mergeCell ref="M497:N497"/>
    <mergeCell ref="O497:Q497"/>
    <mergeCell ref="E466:H466"/>
    <mergeCell ref="E595:H595"/>
    <mergeCell ref="E596:H596"/>
    <mergeCell ref="E597:H597"/>
    <mergeCell ref="E598:H598"/>
    <mergeCell ref="E603:H603"/>
    <mergeCell ref="E414:H414"/>
    <mergeCell ref="O586:Q586"/>
    <mergeCell ref="R586:S586"/>
    <mergeCell ref="E583:H583"/>
    <mergeCell ref="E585:H585"/>
    <mergeCell ref="O518:Q518"/>
    <mergeCell ref="M534:N534"/>
    <mergeCell ref="R560:S560"/>
    <mergeCell ref="R530:S530"/>
    <mergeCell ref="R419:S419"/>
    <mergeCell ref="M566:N566"/>
    <mergeCell ref="O566:Q566"/>
    <mergeCell ref="R501:S501"/>
    <mergeCell ref="M398:N398"/>
    <mergeCell ref="E429:H429"/>
    <mergeCell ref="O598:Q598"/>
    <mergeCell ref="R507:S507"/>
    <mergeCell ref="R516:S516"/>
    <mergeCell ref="M514:N514"/>
    <mergeCell ref="O500:Q500"/>
    <mergeCell ref="R553:S553"/>
    <mergeCell ref="M351:N351"/>
    <mergeCell ref="M362:N362"/>
    <mergeCell ref="I415:L415"/>
    <mergeCell ref="R827:S827"/>
    <mergeCell ref="M360:N360"/>
    <mergeCell ref="M379:N379"/>
    <mergeCell ref="I376:L376"/>
    <mergeCell ref="O372:Q372"/>
    <mergeCell ref="R366:S366"/>
    <mergeCell ref="O365:Q365"/>
    <mergeCell ref="O362:Q362"/>
    <mergeCell ref="R364:S364"/>
    <mergeCell ref="M366:N366"/>
    <mergeCell ref="I365:L365"/>
    <mergeCell ref="M365:N365"/>
    <mergeCell ref="I369:L369"/>
    <mergeCell ref="M369:N369"/>
    <mergeCell ref="O364:Q364"/>
    <mergeCell ref="M385:N385"/>
    <mergeCell ref="M358:N358"/>
    <mergeCell ref="I351:L351"/>
    <mergeCell ref="M383:N383"/>
    <mergeCell ref="I398:L398"/>
    <mergeCell ref="O778:Q778"/>
    <mergeCell ref="E465:H465"/>
    <mergeCell ref="I400:L400"/>
    <mergeCell ref="R368:S368"/>
    <mergeCell ref="O795:Q795"/>
    <mergeCell ref="M392:N392"/>
    <mergeCell ref="M785:N785"/>
    <mergeCell ref="O785:Q785"/>
    <mergeCell ref="I817:L817"/>
    <mergeCell ref="M817:N817"/>
    <mergeCell ref="O817:Q817"/>
    <mergeCell ref="M367:N367"/>
    <mergeCell ref="I370:L370"/>
    <mergeCell ref="I374:L374"/>
    <mergeCell ref="O349:Q349"/>
    <mergeCell ref="R349:S349"/>
    <mergeCell ref="I349:L349"/>
    <mergeCell ref="M349:N349"/>
    <mergeCell ref="R356:S356"/>
    <mergeCell ref="M364:N364"/>
    <mergeCell ref="O806:Q806"/>
    <mergeCell ref="M375:N375"/>
    <mergeCell ref="M376:N376"/>
    <mergeCell ref="R375:S375"/>
    <mergeCell ref="R378:S378"/>
    <mergeCell ref="O400:Q400"/>
    <mergeCell ref="M589:N589"/>
    <mergeCell ref="O589:Q589"/>
    <mergeCell ref="M384:N384"/>
    <mergeCell ref="R384:S384"/>
    <mergeCell ref="M405:N405"/>
    <mergeCell ref="M498:N498"/>
    <mergeCell ref="O419:Q419"/>
    <mergeCell ref="R514:S514"/>
    <mergeCell ref="O343:Q343"/>
    <mergeCell ref="O344:Q344"/>
    <mergeCell ref="R343:S343"/>
    <mergeCell ref="I346:L346"/>
    <mergeCell ref="M346:N346"/>
    <mergeCell ref="I347:L347"/>
    <mergeCell ref="M347:N347"/>
    <mergeCell ref="E373:H373"/>
    <mergeCell ref="R347:S347"/>
    <mergeCell ref="E348:H348"/>
    <mergeCell ref="E349:H349"/>
    <mergeCell ref="E350:H350"/>
    <mergeCell ref="O347:Q347"/>
    <mergeCell ref="E343:H343"/>
    <mergeCell ref="E344:H344"/>
    <mergeCell ref="I343:L343"/>
    <mergeCell ref="I344:L344"/>
    <mergeCell ref="M343:N343"/>
    <mergeCell ref="I348:L348"/>
    <mergeCell ref="R350:S350"/>
    <mergeCell ref="M350:N350"/>
    <mergeCell ref="O350:Q350"/>
    <mergeCell ref="M363:N363"/>
    <mergeCell ref="E367:H367"/>
    <mergeCell ref="E370:H370"/>
    <mergeCell ref="E365:H365"/>
    <mergeCell ref="O346:Q346"/>
    <mergeCell ref="I353:L353"/>
    <mergeCell ref="O353:Q353"/>
    <mergeCell ref="O341:Q341"/>
    <mergeCell ref="R341:S341"/>
    <mergeCell ref="E415:H415"/>
    <mergeCell ref="E347:H347"/>
    <mergeCell ref="E364:H364"/>
    <mergeCell ref="M381:N381"/>
    <mergeCell ref="M382:N382"/>
    <mergeCell ref="I363:L363"/>
    <mergeCell ref="E359:H359"/>
    <mergeCell ref="I358:L358"/>
    <mergeCell ref="E342:H342"/>
    <mergeCell ref="R365:S365"/>
    <mergeCell ref="R371:S371"/>
    <mergeCell ref="R372:S372"/>
    <mergeCell ref="M374:N374"/>
    <mergeCell ref="M378:N378"/>
    <mergeCell ref="O366:Q366"/>
    <mergeCell ref="I366:L366"/>
    <mergeCell ref="O360:Q360"/>
    <mergeCell ref="R360:S360"/>
    <mergeCell ref="O375:Q375"/>
    <mergeCell ref="O378:Q378"/>
    <mergeCell ref="E375:H375"/>
    <mergeCell ref="O376:Q376"/>
    <mergeCell ref="M368:N368"/>
    <mergeCell ref="O368:Q368"/>
    <mergeCell ref="E345:H345"/>
    <mergeCell ref="R351:S351"/>
    <mergeCell ref="E346:H346"/>
    <mergeCell ref="R346:S346"/>
    <mergeCell ref="M344:N344"/>
    <mergeCell ref="O361:Q361"/>
    <mergeCell ref="I345:L345"/>
    <mergeCell ref="R333:S333"/>
    <mergeCell ref="E334:H334"/>
    <mergeCell ref="I334:L334"/>
    <mergeCell ref="M334:N334"/>
    <mergeCell ref="O334:Q334"/>
    <mergeCell ref="R334:S334"/>
    <mergeCell ref="O336:Q336"/>
    <mergeCell ref="R336:S336"/>
    <mergeCell ref="O339:Q339"/>
    <mergeCell ref="E337:H337"/>
    <mergeCell ref="E338:H338"/>
    <mergeCell ref="I338:L338"/>
    <mergeCell ref="M338:N338"/>
    <mergeCell ref="O338:Q338"/>
    <mergeCell ref="R338:S338"/>
    <mergeCell ref="O340:Q340"/>
    <mergeCell ref="R344:S344"/>
    <mergeCell ref="I337:L337"/>
    <mergeCell ref="M337:N337"/>
    <mergeCell ref="O337:Q337"/>
    <mergeCell ref="R337:S337"/>
    <mergeCell ref="R339:S339"/>
    <mergeCell ref="E341:H341"/>
    <mergeCell ref="I341:L341"/>
    <mergeCell ref="R342:S342"/>
    <mergeCell ref="O342:Q342"/>
    <mergeCell ref="M342:N342"/>
    <mergeCell ref="I342:L342"/>
    <mergeCell ref="R340:S340"/>
    <mergeCell ref="E339:H339"/>
    <mergeCell ref="I340:L340"/>
    <mergeCell ref="E340:H340"/>
    <mergeCell ref="I339:L339"/>
    <mergeCell ref="E329:H329"/>
    <mergeCell ref="I329:L329"/>
    <mergeCell ref="M329:N329"/>
    <mergeCell ref="O329:Q329"/>
    <mergeCell ref="R329:S329"/>
    <mergeCell ref="E330:H330"/>
    <mergeCell ref="I330:L330"/>
    <mergeCell ref="M330:N330"/>
    <mergeCell ref="O330:Q330"/>
    <mergeCell ref="R330:S330"/>
    <mergeCell ref="E335:H335"/>
    <mergeCell ref="I335:L335"/>
    <mergeCell ref="M335:N335"/>
    <mergeCell ref="O335:Q335"/>
    <mergeCell ref="R335:S335"/>
    <mergeCell ref="E336:H336"/>
    <mergeCell ref="I336:L336"/>
    <mergeCell ref="M336:N336"/>
    <mergeCell ref="E331:H331"/>
    <mergeCell ref="I331:L331"/>
    <mergeCell ref="M331:N331"/>
    <mergeCell ref="O331:Q331"/>
    <mergeCell ref="R331:S331"/>
    <mergeCell ref="E332:H332"/>
    <mergeCell ref="I332:L332"/>
    <mergeCell ref="M332:N332"/>
    <mergeCell ref="O332:Q332"/>
    <mergeCell ref="R332:S332"/>
    <mergeCell ref="E333:H333"/>
    <mergeCell ref="I333:L333"/>
    <mergeCell ref="E327:H327"/>
    <mergeCell ref="I327:L327"/>
    <mergeCell ref="M327:N327"/>
    <mergeCell ref="O327:Q327"/>
    <mergeCell ref="R327:S327"/>
    <mergeCell ref="E328:H328"/>
    <mergeCell ref="I328:L328"/>
    <mergeCell ref="M328:N328"/>
    <mergeCell ref="O328:Q328"/>
    <mergeCell ref="R328:S328"/>
    <mergeCell ref="E325:H325"/>
    <mergeCell ref="I325:L325"/>
    <mergeCell ref="M325:N325"/>
    <mergeCell ref="O325:Q325"/>
    <mergeCell ref="R325:S325"/>
    <mergeCell ref="E326:H326"/>
    <mergeCell ref="I326:L326"/>
    <mergeCell ref="M326:N326"/>
    <mergeCell ref="O326:Q326"/>
    <mergeCell ref="R326:S326"/>
    <mergeCell ref="E323:H323"/>
    <mergeCell ref="I323:L323"/>
    <mergeCell ref="M323:N323"/>
    <mergeCell ref="O323:Q323"/>
    <mergeCell ref="R323:S323"/>
    <mergeCell ref="E324:H324"/>
    <mergeCell ref="I324:L324"/>
    <mergeCell ref="M324:N324"/>
    <mergeCell ref="O324:Q324"/>
    <mergeCell ref="R324:S324"/>
    <mergeCell ref="E321:H321"/>
    <mergeCell ref="I321:L321"/>
    <mergeCell ref="M321:N321"/>
    <mergeCell ref="O321:Q321"/>
    <mergeCell ref="R321:S321"/>
    <mergeCell ref="E322:H322"/>
    <mergeCell ref="I322:L322"/>
    <mergeCell ref="M322:N322"/>
    <mergeCell ref="O322:Q322"/>
    <mergeCell ref="R322:S322"/>
    <mergeCell ref="E319:H319"/>
    <mergeCell ref="I319:L319"/>
    <mergeCell ref="M319:N319"/>
    <mergeCell ref="O319:Q319"/>
    <mergeCell ref="R319:S319"/>
    <mergeCell ref="E320:H320"/>
    <mergeCell ref="I320:L320"/>
    <mergeCell ref="M320:N320"/>
    <mergeCell ref="O320:Q320"/>
    <mergeCell ref="R320:S320"/>
    <mergeCell ref="E316:H316"/>
    <mergeCell ref="I316:L316"/>
    <mergeCell ref="M316:N316"/>
    <mergeCell ref="O316:Q316"/>
    <mergeCell ref="R316:S316"/>
    <mergeCell ref="E317:H317"/>
    <mergeCell ref="I317:L317"/>
    <mergeCell ref="M317:N317"/>
    <mergeCell ref="O317:Q317"/>
    <mergeCell ref="R317:S317"/>
    <mergeCell ref="E318:H318"/>
    <mergeCell ref="I318:L318"/>
    <mergeCell ref="M318:N318"/>
    <mergeCell ref="O318:Q318"/>
    <mergeCell ref="R318:S318"/>
    <mergeCell ref="E314:H314"/>
    <mergeCell ref="I314:L314"/>
    <mergeCell ref="M314:N314"/>
    <mergeCell ref="O314:Q314"/>
    <mergeCell ref="R314:S314"/>
    <mergeCell ref="E315:H315"/>
    <mergeCell ref="I315:L315"/>
    <mergeCell ref="M315:N315"/>
    <mergeCell ref="O315:Q315"/>
    <mergeCell ref="R315:S315"/>
    <mergeCell ref="E312:H312"/>
    <mergeCell ref="I312:L312"/>
    <mergeCell ref="M312:N312"/>
    <mergeCell ref="O312:Q312"/>
    <mergeCell ref="R312:S312"/>
    <mergeCell ref="E313:H313"/>
    <mergeCell ref="I313:L313"/>
    <mergeCell ref="M313:N313"/>
    <mergeCell ref="O313:Q313"/>
    <mergeCell ref="R313:S313"/>
    <mergeCell ref="I310:L310"/>
    <mergeCell ref="M310:N310"/>
    <mergeCell ref="O310:Q310"/>
    <mergeCell ref="R310:S310"/>
    <mergeCell ref="E311:H311"/>
    <mergeCell ref="I311:L311"/>
    <mergeCell ref="M311:N311"/>
    <mergeCell ref="O311:Q311"/>
    <mergeCell ref="R311:S311"/>
    <mergeCell ref="E308:H308"/>
    <mergeCell ref="I308:L308"/>
    <mergeCell ref="M308:N308"/>
    <mergeCell ref="O308:Q308"/>
    <mergeCell ref="R308:S308"/>
    <mergeCell ref="E309:H309"/>
    <mergeCell ref="I309:L309"/>
    <mergeCell ref="M309:N309"/>
    <mergeCell ref="O309:Q309"/>
    <mergeCell ref="R309:S309"/>
    <mergeCell ref="E273:H273"/>
    <mergeCell ref="I273:L273"/>
    <mergeCell ref="M273:N273"/>
    <mergeCell ref="O273:Q273"/>
    <mergeCell ref="R273:S273"/>
    <mergeCell ref="E274:H274"/>
    <mergeCell ref="I274:L274"/>
    <mergeCell ref="M274:N274"/>
    <mergeCell ref="O274:Q274"/>
    <mergeCell ref="R274:S274"/>
    <mergeCell ref="E270:H270"/>
    <mergeCell ref="I270:L270"/>
    <mergeCell ref="M270:N270"/>
    <mergeCell ref="O270:Q270"/>
    <mergeCell ref="R270:S270"/>
    <mergeCell ref="E271:H271"/>
    <mergeCell ref="I271:L271"/>
    <mergeCell ref="M271:N271"/>
    <mergeCell ref="O271:Q271"/>
    <mergeCell ref="R271:S271"/>
    <mergeCell ref="E272:H272"/>
    <mergeCell ref="I272:L272"/>
    <mergeCell ref="M272:N272"/>
    <mergeCell ref="O272:Q272"/>
    <mergeCell ref="R272:S272"/>
    <mergeCell ref="E268:H268"/>
    <mergeCell ref="I268:L268"/>
    <mergeCell ref="M268:N268"/>
    <mergeCell ref="O268:Q268"/>
    <mergeCell ref="R268:S268"/>
    <mergeCell ref="E269:H269"/>
    <mergeCell ref="I269:L269"/>
    <mergeCell ref="M269:N269"/>
    <mergeCell ref="O269:Q269"/>
    <mergeCell ref="R269:S269"/>
    <mergeCell ref="E266:H266"/>
    <mergeCell ref="I266:L266"/>
    <mergeCell ref="M266:N266"/>
    <mergeCell ref="O266:Q266"/>
    <mergeCell ref="R266:S266"/>
    <mergeCell ref="E267:H267"/>
    <mergeCell ref="I267:L267"/>
    <mergeCell ref="M267:N267"/>
    <mergeCell ref="O267:Q267"/>
    <mergeCell ref="R267:S267"/>
    <mergeCell ref="E264:H264"/>
    <mergeCell ref="I264:L264"/>
    <mergeCell ref="M264:N264"/>
    <mergeCell ref="O264:Q264"/>
    <mergeCell ref="R264:S264"/>
    <mergeCell ref="E265:H265"/>
    <mergeCell ref="I265:L265"/>
    <mergeCell ref="M265:N265"/>
    <mergeCell ref="O265:Q265"/>
    <mergeCell ref="R265:S265"/>
    <mergeCell ref="E262:H262"/>
    <mergeCell ref="I262:L262"/>
    <mergeCell ref="M262:N262"/>
    <mergeCell ref="O262:Q262"/>
    <mergeCell ref="R262:S262"/>
    <mergeCell ref="E263:H263"/>
    <mergeCell ref="I263:L263"/>
    <mergeCell ref="M263:N263"/>
    <mergeCell ref="O263:Q263"/>
    <mergeCell ref="R263:S263"/>
    <mergeCell ref="E260:H260"/>
    <mergeCell ref="I260:L260"/>
    <mergeCell ref="M260:N260"/>
    <mergeCell ref="O260:Q260"/>
    <mergeCell ref="R260:S260"/>
    <mergeCell ref="E261:H261"/>
    <mergeCell ref="I261:L261"/>
    <mergeCell ref="M261:N261"/>
    <mergeCell ref="O261:Q261"/>
    <mergeCell ref="R261:S261"/>
    <mergeCell ref="E258:H258"/>
    <mergeCell ref="I258:L258"/>
    <mergeCell ref="M258:N258"/>
    <mergeCell ref="O258:Q258"/>
    <mergeCell ref="R258:S258"/>
    <mergeCell ref="E259:H259"/>
    <mergeCell ref="I259:L259"/>
    <mergeCell ref="M259:N259"/>
    <mergeCell ref="O259:Q259"/>
    <mergeCell ref="R259:S259"/>
    <mergeCell ref="E256:H256"/>
    <mergeCell ref="I256:L256"/>
    <mergeCell ref="M256:N256"/>
    <mergeCell ref="O256:Q256"/>
    <mergeCell ref="R256:S256"/>
    <mergeCell ref="E257:H257"/>
    <mergeCell ref="I257:L257"/>
    <mergeCell ref="M257:N257"/>
    <mergeCell ref="O257:Q257"/>
    <mergeCell ref="R257:S257"/>
    <mergeCell ref="E254:H254"/>
    <mergeCell ref="I254:L254"/>
    <mergeCell ref="M254:N254"/>
    <mergeCell ref="O254:Q254"/>
    <mergeCell ref="R254:S254"/>
    <mergeCell ref="E255:H255"/>
    <mergeCell ref="I255:L255"/>
    <mergeCell ref="M255:N255"/>
    <mergeCell ref="O255:Q255"/>
    <mergeCell ref="R255:S255"/>
    <mergeCell ref="E251:H251"/>
    <mergeCell ref="I251:L251"/>
    <mergeCell ref="M251:N251"/>
    <mergeCell ref="O251:Q251"/>
    <mergeCell ref="R251:S251"/>
    <mergeCell ref="E253:H253"/>
    <mergeCell ref="I253:L253"/>
    <mergeCell ref="M253:N253"/>
    <mergeCell ref="O253:Q253"/>
    <mergeCell ref="R253:S253"/>
    <mergeCell ref="E249:H249"/>
    <mergeCell ref="I249:L249"/>
    <mergeCell ref="M249:N249"/>
    <mergeCell ref="O249:Q249"/>
    <mergeCell ref="R249:S249"/>
    <mergeCell ref="E250:H250"/>
    <mergeCell ref="I250:L250"/>
    <mergeCell ref="M250:N250"/>
    <mergeCell ref="O250:Q250"/>
    <mergeCell ref="R250:S250"/>
    <mergeCell ref="E252:H252"/>
    <mergeCell ref="I252:L252"/>
    <mergeCell ref="M252:N252"/>
    <mergeCell ref="O252:Q252"/>
    <mergeCell ref="R252:S252"/>
    <mergeCell ref="E247:H247"/>
    <mergeCell ref="I247:L247"/>
    <mergeCell ref="M247:N247"/>
    <mergeCell ref="O247:Q247"/>
    <mergeCell ref="R247:S247"/>
    <mergeCell ref="E248:H248"/>
    <mergeCell ref="I248:L248"/>
    <mergeCell ref="M248:N248"/>
    <mergeCell ref="O248:Q248"/>
    <mergeCell ref="R248:S248"/>
    <mergeCell ref="E245:H245"/>
    <mergeCell ref="I245:L245"/>
    <mergeCell ref="M245:N245"/>
    <mergeCell ref="O245:Q245"/>
    <mergeCell ref="R245:S245"/>
    <mergeCell ref="E246:H246"/>
    <mergeCell ref="I246:L246"/>
    <mergeCell ref="M246:N246"/>
    <mergeCell ref="O246:Q246"/>
    <mergeCell ref="R246:S246"/>
    <mergeCell ref="E243:H243"/>
    <mergeCell ref="I243:L243"/>
    <mergeCell ref="M243:N243"/>
    <mergeCell ref="O243:Q243"/>
    <mergeCell ref="R243:S243"/>
    <mergeCell ref="E244:H244"/>
    <mergeCell ref="I244:L244"/>
    <mergeCell ref="M244:N244"/>
    <mergeCell ref="O244:Q244"/>
    <mergeCell ref="R244:S244"/>
    <mergeCell ref="E241:H241"/>
    <mergeCell ref="I241:L241"/>
    <mergeCell ref="M241:N241"/>
    <mergeCell ref="O241:Q241"/>
    <mergeCell ref="R241:S241"/>
    <mergeCell ref="E242:H242"/>
    <mergeCell ref="I242:L242"/>
    <mergeCell ref="M242:N242"/>
    <mergeCell ref="O242:Q242"/>
    <mergeCell ref="R242:S242"/>
    <mergeCell ref="E239:H239"/>
    <mergeCell ref="I239:L239"/>
    <mergeCell ref="M239:N239"/>
    <mergeCell ref="O239:Q239"/>
    <mergeCell ref="R239:S239"/>
    <mergeCell ref="E240:H240"/>
    <mergeCell ref="I240:L240"/>
    <mergeCell ref="M240:N240"/>
    <mergeCell ref="O240:Q240"/>
    <mergeCell ref="R240:S240"/>
    <mergeCell ref="E237:H237"/>
    <mergeCell ref="I237:L237"/>
    <mergeCell ref="M237:N237"/>
    <mergeCell ref="O237:Q237"/>
    <mergeCell ref="R237:S237"/>
    <mergeCell ref="E238:H238"/>
    <mergeCell ref="I238:L238"/>
    <mergeCell ref="M238:N238"/>
    <mergeCell ref="O238:Q238"/>
    <mergeCell ref="R238:S238"/>
    <mergeCell ref="E235:H235"/>
    <mergeCell ref="I235:L235"/>
    <mergeCell ref="M235:N235"/>
    <mergeCell ref="O235:Q235"/>
    <mergeCell ref="R235:S235"/>
    <mergeCell ref="E236:H236"/>
    <mergeCell ref="I236:L236"/>
    <mergeCell ref="M236:N236"/>
    <mergeCell ref="O236:Q236"/>
    <mergeCell ref="R236:S236"/>
    <mergeCell ref="E232:H232"/>
    <mergeCell ref="I232:L232"/>
    <mergeCell ref="M232:N232"/>
    <mergeCell ref="O232:Q232"/>
    <mergeCell ref="R232:S232"/>
    <mergeCell ref="E233:H233"/>
    <mergeCell ref="I233:L233"/>
    <mergeCell ref="M233:N233"/>
    <mergeCell ref="O233:Q233"/>
    <mergeCell ref="R233:S233"/>
    <mergeCell ref="E234:H234"/>
    <mergeCell ref="I234:L234"/>
    <mergeCell ref="M234:N234"/>
    <mergeCell ref="O234:Q234"/>
    <mergeCell ref="R234:S234"/>
    <mergeCell ref="E230:H230"/>
    <mergeCell ref="I230:L230"/>
    <mergeCell ref="M230:N230"/>
    <mergeCell ref="O230:Q230"/>
    <mergeCell ref="R230:S230"/>
    <mergeCell ref="R227:S227"/>
    <mergeCell ref="E227:H227"/>
    <mergeCell ref="E231:H231"/>
    <mergeCell ref="I231:L231"/>
    <mergeCell ref="M231:N231"/>
    <mergeCell ref="O231:Q231"/>
    <mergeCell ref="R231:S231"/>
    <mergeCell ref="E228:H228"/>
    <mergeCell ref="I228:L228"/>
    <mergeCell ref="M228:N228"/>
    <mergeCell ref="O228:Q228"/>
    <mergeCell ref="R228:S228"/>
    <mergeCell ref="E229:H229"/>
    <mergeCell ref="I229:L229"/>
    <mergeCell ref="M229:N229"/>
    <mergeCell ref="O229:Q229"/>
    <mergeCell ref="R229:S229"/>
    <mergeCell ref="O227:Q227"/>
    <mergeCell ref="E223:H223"/>
    <mergeCell ref="I223:L223"/>
    <mergeCell ref="M223:N223"/>
    <mergeCell ref="O223:Q223"/>
    <mergeCell ref="R223:S223"/>
    <mergeCell ref="E224:H224"/>
    <mergeCell ref="I224:L224"/>
    <mergeCell ref="M224:N224"/>
    <mergeCell ref="O224:Q224"/>
    <mergeCell ref="R224:S224"/>
    <mergeCell ref="E220:H220"/>
    <mergeCell ref="I220:L220"/>
    <mergeCell ref="M220:N220"/>
    <mergeCell ref="O220:Q220"/>
    <mergeCell ref="R220:S220"/>
    <mergeCell ref="E207:H207"/>
    <mergeCell ref="I207:L207"/>
    <mergeCell ref="M207:N207"/>
    <mergeCell ref="O207:Q207"/>
    <mergeCell ref="R207:S207"/>
    <mergeCell ref="E209:H209"/>
    <mergeCell ref="I209:L209"/>
    <mergeCell ref="M209:N209"/>
    <mergeCell ref="O209:Q209"/>
    <mergeCell ref="R209:S209"/>
    <mergeCell ref="E211:H211"/>
    <mergeCell ref="O222:Q222"/>
    <mergeCell ref="M222:N222"/>
    <mergeCell ref="I222:L222"/>
    <mergeCell ref="E222:H222"/>
    <mergeCell ref="R221:S221"/>
    <mergeCell ref="O221:Q221"/>
    <mergeCell ref="I211:L211"/>
    <mergeCell ref="M211:N211"/>
    <mergeCell ref="O211:Q211"/>
    <mergeCell ref="R211:S211"/>
    <mergeCell ref="E208:H208"/>
    <mergeCell ref="I208:L208"/>
    <mergeCell ref="M208:N208"/>
    <mergeCell ref="O208:Q208"/>
    <mergeCell ref="R208:S208"/>
    <mergeCell ref="E210:H210"/>
    <mergeCell ref="I210:L210"/>
    <mergeCell ref="M210:N210"/>
    <mergeCell ref="E202:H202"/>
    <mergeCell ref="I202:L202"/>
    <mergeCell ref="M202:N202"/>
    <mergeCell ref="O202:Q202"/>
    <mergeCell ref="R202:S202"/>
    <mergeCell ref="O210:Q210"/>
    <mergeCell ref="R210:S210"/>
    <mergeCell ref="E205:H205"/>
    <mergeCell ref="I205:L205"/>
    <mergeCell ref="M205:N205"/>
    <mergeCell ref="O205:Q205"/>
    <mergeCell ref="R205:S205"/>
    <mergeCell ref="O160:Q160"/>
    <mergeCell ref="R160:S160"/>
    <mergeCell ref="E174:H174"/>
    <mergeCell ref="I196:L196"/>
    <mergeCell ref="M196:N196"/>
    <mergeCell ref="O196:Q196"/>
    <mergeCell ref="R196:S196"/>
    <mergeCell ref="E201:H201"/>
    <mergeCell ref="I201:L201"/>
    <mergeCell ref="E196:H196"/>
    <mergeCell ref="E197:H197"/>
    <mergeCell ref="I197:L197"/>
    <mergeCell ref="M197:N197"/>
    <mergeCell ref="O197:Q197"/>
    <mergeCell ref="R197:S197"/>
    <mergeCell ref="R198:S198"/>
    <mergeCell ref="I195:L195"/>
    <mergeCell ref="E198:H198"/>
    <mergeCell ref="I198:L198"/>
    <mergeCell ref="M198:N198"/>
    <mergeCell ref="O198:Q198"/>
    <mergeCell ref="M201:N201"/>
    <mergeCell ref="O201:Q201"/>
    <mergeCell ref="R201:S201"/>
    <mergeCell ref="I199:L199"/>
    <mergeCell ref="M199:N199"/>
    <mergeCell ref="O199:Q199"/>
    <mergeCell ref="E199:H199"/>
    <mergeCell ref="O195:Q195"/>
    <mergeCell ref="R195:S195"/>
    <mergeCell ref="M163:N163"/>
    <mergeCell ref="O163:Q163"/>
    <mergeCell ref="I175:L175"/>
    <mergeCell ref="M175:N175"/>
    <mergeCell ref="O175:Q175"/>
    <mergeCell ref="R175:S175"/>
    <mergeCell ref="E152:H152"/>
    <mergeCell ref="I152:L152"/>
    <mergeCell ref="M152:N152"/>
    <mergeCell ref="O152:Q152"/>
    <mergeCell ref="R152:S152"/>
    <mergeCell ref="E160:H160"/>
    <mergeCell ref="I160:L160"/>
    <mergeCell ref="E161:H161"/>
    <mergeCell ref="R167:S167"/>
    <mergeCell ref="O167:Q167"/>
    <mergeCell ref="E170:H170"/>
    <mergeCell ref="M170:N170"/>
    <mergeCell ref="O170:Q170"/>
    <mergeCell ref="R170:S170"/>
    <mergeCell ref="O154:Q154"/>
    <mergeCell ref="R154:S154"/>
    <mergeCell ref="E164:H164"/>
    <mergeCell ref="E163:H163"/>
    <mergeCell ref="M173:N173"/>
    <mergeCell ref="O173:Q173"/>
    <mergeCell ref="R163:S163"/>
    <mergeCell ref="E165:H165"/>
    <mergeCell ref="I165:L165"/>
    <mergeCell ref="M165:N165"/>
    <mergeCell ref="O165:Q165"/>
    <mergeCell ref="E173:H173"/>
    <mergeCell ref="E162:H162"/>
    <mergeCell ref="M160:N160"/>
    <mergeCell ref="E154:H154"/>
    <mergeCell ref="O140:Q140"/>
    <mergeCell ref="R140:S140"/>
    <mergeCell ref="R179:S179"/>
    <mergeCell ref="E183:H183"/>
    <mergeCell ref="I183:L183"/>
    <mergeCell ref="M183:N183"/>
    <mergeCell ref="O183:Q183"/>
    <mergeCell ref="E179:H179"/>
    <mergeCell ref="I179:L179"/>
    <mergeCell ref="O179:Q179"/>
    <mergeCell ref="M179:N179"/>
    <mergeCell ref="I173:L173"/>
    <mergeCell ref="I162:L162"/>
    <mergeCell ref="O145:Q145"/>
    <mergeCell ref="R145:S145"/>
    <mergeCell ref="E159:H159"/>
    <mergeCell ref="I159:L159"/>
    <mergeCell ref="M159:N159"/>
    <mergeCell ref="O159:Q159"/>
    <mergeCell ref="R159:S159"/>
    <mergeCell ref="E156:H156"/>
    <mergeCell ref="M156:N156"/>
    <mergeCell ref="O156:Q156"/>
    <mergeCell ref="R156:S156"/>
    <mergeCell ref="O148:Q148"/>
    <mergeCell ref="R148:S148"/>
    <mergeCell ref="E153:H153"/>
    <mergeCell ref="R149:S149"/>
    <mergeCell ref="E148:H148"/>
    <mergeCell ref="E145:H145"/>
    <mergeCell ref="E175:H175"/>
    <mergeCell ref="M146:N146"/>
    <mergeCell ref="O146:Q146"/>
    <mergeCell ref="R146:S146"/>
    <mergeCell ref="E149:H149"/>
    <mergeCell ref="I149:L149"/>
    <mergeCell ref="M149:N149"/>
    <mergeCell ref="O149:Q149"/>
    <mergeCell ref="I145:L145"/>
    <mergeCell ref="M145:N145"/>
    <mergeCell ref="O157:Q157"/>
    <mergeCell ref="R157:S157"/>
    <mergeCell ref="I161:L161"/>
    <mergeCell ref="M161:N161"/>
    <mergeCell ref="O161:Q161"/>
    <mergeCell ref="R136:S136"/>
    <mergeCell ref="I137:L137"/>
    <mergeCell ref="M137:N137"/>
    <mergeCell ref="O137:Q137"/>
    <mergeCell ref="R137:S137"/>
    <mergeCell ref="O143:Q143"/>
    <mergeCell ref="E138:H138"/>
    <mergeCell ref="I138:L138"/>
    <mergeCell ref="M138:N138"/>
    <mergeCell ref="O138:Q138"/>
    <mergeCell ref="R138:S138"/>
    <mergeCell ref="E139:H139"/>
    <mergeCell ref="M143:N143"/>
    <mergeCell ref="R143:S143"/>
    <mergeCell ref="E141:H141"/>
    <mergeCell ref="I141:L141"/>
    <mergeCell ref="I148:L148"/>
    <mergeCell ref="M148:N148"/>
    <mergeCell ref="E142:H142"/>
    <mergeCell ref="I142:L142"/>
    <mergeCell ref="M142:N142"/>
    <mergeCell ref="O142:Q142"/>
    <mergeCell ref="R142:S142"/>
    <mergeCell ref="M141:N141"/>
    <mergeCell ref="O141:Q141"/>
    <mergeCell ref="R141:S141"/>
    <mergeCell ref="E134:H134"/>
    <mergeCell ref="I134:L134"/>
    <mergeCell ref="M134:N134"/>
    <mergeCell ref="O134:Q134"/>
    <mergeCell ref="R134:S134"/>
    <mergeCell ref="I139:L139"/>
    <mergeCell ref="E147:H147"/>
    <mergeCell ref="I147:L147"/>
    <mergeCell ref="M147:N147"/>
    <mergeCell ref="O147:Q147"/>
    <mergeCell ref="R147:S147"/>
    <mergeCell ref="E144:H144"/>
    <mergeCell ref="I144:L144"/>
    <mergeCell ref="M144:N144"/>
    <mergeCell ref="O144:Q144"/>
    <mergeCell ref="R144:S144"/>
    <mergeCell ref="E143:H143"/>
    <mergeCell ref="I143:L143"/>
    <mergeCell ref="M139:N139"/>
    <mergeCell ref="O139:Q139"/>
    <mergeCell ref="R139:S139"/>
    <mergeCell ref="E140:H140"/>
    <mergeCell ref="I140:L140"/>
    <mergeCell ref="M140:N140"/>
    <mergeCell ref="I132:L132"/>
    <mergeCell ref="M132:N132"/>
    <mergeCell ref="O132:Q132"/>
    <mergeCell ref="R132:S132"/>
    <mergeCell ref="E133:H133"/>
    <mergeCell ref="I133:L133"/>
    <mergeCell ref="M133:N133"/>
    <mergeCell ref="O133:Q133"/>
    <mergeCell ref="R133:S133"/>
    <mergeCell ref="E135:H135"/>
    <mergeCell ref="I135:L135"/>
    <mergeCell ref="M135:N135"/>
    <mergeCell ref="O135:Q135"/>
    <mergeCell ref="R135:S135"/>
    <mergeCell ref="E136:H136"/>
    <mergeCell ref="I136:L136"/>
    <mergeCell ref="M136:N136"/>
    <mergeCell ref="O136:Q136"/>
    <mergeCell ref="R94:S94"/>
    <mergeCell ref="O94:Q94"/>
    <mergeCell ref="O92:Q92"/>
    <mergeCell ref="E120:H120"/>
    <mergeCell ref="R100:S100"/>
    <mergeCell ref="I124:L124"/>
    <mergeCell ref="M124:N124"/>
    <mergeCell ref="O124:Q124"/>
    <mergeCell ref="R124:S124"/>
    <mergeCell ref="E125:H125"/>
    <mergeCell ref="I125:L125"/>
    <mergeCell ref="M125:N125"/>
    <mergeCell ref="O125:Q125"/>
    <mergeCell ref="E131:H131"/>
    <mergeCell ref="I131:L131"/>
    <mergeCell ref="M131:N131"/>
    <mergeCell ref="O131:Q131"/>
    <mergeCell ref="R131:S131"/>
    <mergeCell ref="R108:S108"/>
    <mergeCell ref="E110:H110"/>
    <mergeCell ref="I110:L110"/>
    <mergeCell ref="M110:N110"/>
    <mergeCell ref="E115:H115"/>
    <mergeCell ref="I115:L115"/>
    <mergeCell ref="M115:N115"/>
    <mergeCell ref="R115:S115"/>
    <mergeCell ref="M108:N108"/>
    <mergeCell ref="E118:H118"/>
    <mergeCell ref="I118:L118"/>
    <mergeCell ref="M118:N118"/>
    <mergeCell ref="O118:Q118"/>
    <mergeCell ref="R118:S118"/>
    <mergeCell ref="I88:L88"/>
    <mergeCell ref="E96:H96"/>
    <mergeCell ref="I100:L100"/>
    <mergeCell ref="M100:N100"/>
    <mergeCell ref="O100:Q100"/>
    <mergeCell ref="M88:N88"/>
    <mergeCell ref="O88:Q88"/>
    <mergeCell ref="E87:H87"/>
    <mergeCell ref="I92:L92"/>
    <mergeCell ref="M92:N92"/>
    <mergeCell ref="E95:H95"/>
    <mergeCell ref="M101:N101"/>
    <mergeCell ref="O101:Q101"/>
    <mergeCell ref="R101:S101"/>
    <mergeCell ref="O102:Q102"/>
    <mergeCell ref="M122:N122"/>
    <mergeCell ref="O122:Q122"/>
    <mergeCell ref="O115:Q115"/>
    <mergeCell ref="R114:S114"/>
    <mergeCell ref="O113:Q113"/>
    <mergeCell ref="I111:L111"/>
    <mergeCell ref="E112:H112"/>
    <mergeCell ref="I112:L112"/>
    <mergeCell ref="M107:N107"/>
    <mergeCell ref="R122:S122"/>
    <mergeCell ref="O98:Q98"/>
    <mergeCell ref="R98:S98"/>
    <mergeCell ref="R87:S87"/>
    <mergeCell ref="I89:L89"/>
    <mergeCell ref="M89:N89"/>
    <mergeCell ref="E90:H90"/>
    <mergeCell ref="O89:Q89"/>
    <mergeCell ref="I99:L99"/>
    <mergeCell ref="R121:S121"/>
    <mergeCell ref="E116:H116"/>
    <mergeCell ref="I116:L116"/>
    <mergeCell ref="M116:N116"/>
    <mergeCell ref="O116:Q116"/>
    <mergeCell ref="R116:S116"/>
    <mergeCell ref="E117:H117"/>
    <mergeCell ref="I117:L117"/>
    <mergeCell ref="M117:N117"/>
    <mergeCell ref="O117:Q117"/>
    <mergeCell ref="R117:S117"/>
    <mergeCell ref="I104:L104"/>
    <mergeCell ref="M104:N104"/>
    <mergeCell ref="O104:Q104"/>
    <mergeCell ref="R104:S104"/>
    <mergeCell ref="E109:H109"/>
    <mergeCell ref="I109:L109"/>
    <mergeCell ref="M109:N109"/>
    <mergeCell ref="O109:Q109"/>
    <mergeCell ref="R109:S109"/>
    <mergeCell ref="E106:H106"/>
    <mergeCell ref="I106:L106"/>
    <mergeCell ref="R110:S110"/>
    <mergeCell ref="E100:H100"/>
    <mergeCell ref="E101:H101"/>
    <mergeCell ref="I101:L101"/>
    <mergeCell ref="E108:H108"/>
    <mergeCell ref="I119:L119"/>
    <mergeCell ref="M102:N102"/>
    <mergeCell ref="R102:S102"/>
    <mergeCell ref="R105:S105"/>
    <mergeCell ref="O76:Q76"/>
    <mergeCell ref="R76:S76"/>
    <mergeCell ref="M96:N96"/>
    <mergeCell ref="O96:Q96"/>
    <mergeCell ref="R96:S96"/>
    <mergeCell ref="O106:Q106"/>
    <mergeCell ref="M119:N119"/>
    <mergeCell ref="O119:Q119"/>
    <mergeCell ref="R93:S93"/>
    <mergeCell ref="I91:L91"/>
    <mergeCell ref="I83:L83"/>
    <mergeCell ref="E69:H69"/>
    <mergeCell ref="I69:L69"/>
    <mergeCell ref="M69:N69"/>
    <mergeCell ref="O69:Q69"/>
    <mergeCell ref="M54:N54"/>
    <mergeCell ref="O62:Q62"/>
    <mergeCell ref="M56:N56"/>
    <mergeCell ref="O56:Q56"/>
    <mergeCell ref="R56:S56"/>
    <mergeCell ref="E77:H77"/>
    <mergeCell ref="I77:L77"/>
    <mergeCell ref="E73:H73"/>
    <mergeCell ref="E107:H107"/>
    <mergeCell ref="R54:S54"/>
    <mergeCell ref="O54:Q54"/>
    <mergeCell ref="E54:H54"/>
    <mergeCell ref="E76:H76"/>
    <mergeCell ref="I95:L95"/>
    <mergeCell ref="R81:S81"/>
    <mergeCell ref="R99:S99"/>
    <mergeCell ref="M93:N93"/>
    <mergeCell ref="O70:Q70"/>
    <mergeCell ref="O71:Q71"/>
    <mergeCell ref="I73:L73"/>
    <mergeCell ref="M73:N73"/>
    <mergeCell ref="E64:H64"/>
    <mergeCell ref="M82:N82"/>
    <mergeCell ref="R83:S83"/>
    <mergeCell ref="R91:S91"/>
    <mergeCell ref="O99:Q99"/>
    <mergeCell ref="R88:S88"/>
    <mergeCell ref="I81:L81"/>
    <mergeCell ref="I79:L79"/>
    <mergeCell ref="M79:N79"/>
    <mergeCell ref="M84:N84"/>
    <mergeCell ref="O84:Q84"/>
    <mergeCell ref="R84:S84"/>
    <mergeCell ref="I76:L76"/>
    <mergeCell ref="R74:S74"/>
    <mergeCell ref="M76:N76"/>
    <mergeCell ref="O79:Q79"/>
    <mergeCell ref="O74:Q74"/>
    <mergeCell ref="E74:H74"/>
    <mergeCell ref="M91:N91"/>
    <mergeCell ref="O91:Q91"/>
    <mergeCell ref="I84:L84"/>
    <mergeCell ref="I86:L86"/>
    <mergeCell ref="M86:N86"/>
    <mergeCell ref="O86:Q86"/>
    <mergeCell ref="R86:S86"/>
    <mergeCell ref="R78:S78"/>
    <mergeCell ref="I74:L74"/>
    <mergeCell ref="M74:N74"/>
    <mergeCell ref="R72:S72"/>
    <mergeCell ref="R70:S70"/>
    <mergeCell ref="O67:Q67"/>
    <mergeCell ref="E63:H63"/>
    <mergeCell ref="I63:L63"/>
    <mergeCell ref="R73:S73"/>
    <mergeCell ref="E67:H67"/>
    <mergeCell ref="M50:N50"/>
    <mergeCell ref="I66:L66"/>
    <mergeCell ref="O50:Q50"/>
    <mergeCell ref="I49:L49"/>
    <mergeCell ref="O72:Q72"/>
    <mergeCell ref="R65:S65"/>
    <mergeCell ref="R49:S49"/>
    <mergeCell ref="I61:L61"/>
    <mergeCell ref="I51:L51"/>
    <mergeCell ref="M51:N51"/>
    <mergeCell ref="E62:H62"/>
    <mergeCell ref="E70:H70"/>
    <mergeCell ref="E71:H71"/>
    <mergeCell ref="M64:N64"/>
    <mergeCell ref="E49:H49"/>
    <mergeCell ref="O49:Q49"/>
    <mergeCell ref="I62:L62"/>
    <mergeCell ref="M62:N62"/>
    <mergeCell ref="E66:H66"/>
    <mergeCell ref="E65:H65"/>
    <mergeCell ref="I70:L70"/>
    <mergeCell ref="I72:L72"/>
    <mergeCell ref="I65:L65"/>
    <mergeCell ref="M65:N65"/>
    <mergeCell ref="E56:H56"/>
    <mergeCell ref="M45:N45"/>
    <mergeCell ref="O45:Q45"/>
    <mergeCell ref="R45:S45"/>
    <mergeCell ref="E51:H51"/>
    <mergeCell ref="E61:H61"/>
    <mergeCell ref="E44:H44"/>
    <mergeCell ref="E43:H43"/>
    <mergeCell ref="M43:N43"/>
    <mergeCell ref="E53:H53"/>
    <mergeCell ref="O44:Q44"/>
    <mergeCell ref="R44:S44"/>
    <mergeCell ref="M44:N44"/>
    <mergeCell ref="O64:Q64"/>
    <mergeCell ref="R64:S64"/>
    <mergeCell ref="M67:N67"/>
    <mergeCell ref="I67:L67"/>
    <mergeCell ref="E50:H50"/>
    <mergeCell ref="I50:L50"/>
    <mergeCell ref="E52:H52"/>
    <mergeCell ref="O52:Q52"/>
    <mergeCell ref="E57:H57"/>
    <mergeCell ref="M57:N57"/>
    <mergeCell ref="E58:H58"/>
    <mergeCell ref="R58:S58"/>
    <mergeCell ref="O58:Q58"/>
    <mergeCell ref="M58:N58"/>
    <mergeCell ref="E55:H55"/>
    <mergeCell ref="E59:H59"/>
    <mergeCell ref="M59:N59"/>
    <mergeCell ref="O59:Q59"/>
    <mergeCell ref="R59:S59"/>
    <mergeCell ref="O48:Q48"/>
    <mergeCell ref="I71:L71"/>
    <mergeCell ref="O61:Q61"/>
    <mergeCell ref="M52:N52"/>
    <mergeCell ref="M49:N49"/>
    <mergeCell ref="M39:N39"/>
    <mergeCell ref="O39:Q39"/>
    <mergeCell ref="R39:S39"/>
    <mergeCell ref="R69:S69"/>
    <mergeCell ref="R66:S66"/>
    <mergeCell ref="R61:S61"/>
    <mergeCell ref="R52:S52"/>
    <mergeCell ref="R50:S50"/>
    <mergeCell ref="R51:S51"/>
    <mergeCell ref="R62:S62"/>
    <mergeCell ref="E60:H60"/>
    <mergeCell ref="E46:H46"/>
    <mergeCell ref="O73:Q73"/>
    <mergeCell ref="E39:H39"/>
    <mergeCell ref="I64:L64"/>
    <mergeCell ref="M72:N72"/>
    <mergeCell ref="E47:H47"/>
    <mergeCell ref="I39:L39"/>
    <mergeCell ref="E72:H72"/>
    <mergeCell ref="M71:N71"/>
    <mergeCell ref="R71:S71"/>
    <mergeCell ref="R63:S63"/>
    <mergeCell ref="O65:Q65"/>
    <mergeCell ref="M70:N70"/>
    <mergeCell ref="R67:S67"/>
    <mergeCell ref="M66:N66"/>
    <mergeCell ref="O66:Q66"/>
    <mergeCell ref="E45:H45"/>
    <mergeCell ref="O38:Q38"/>
    <mergeCell ref="M63:N63"/>
    <mergeCell ref="O63:Q63"/>
    <mergeCell ref="M53:N53"/>
    <mergeCell ref="O53:Q53"/>
    <mergeCell ref="R53:S53"/>
    <mergeCell ref="M55:N55"/>
    <mergeCell ref="O55:Q55"/>
    <mergeCell ref="O51:Q51"/>
    <mergeCell ref="M61:N61"/>
    <mergeCell ref="O43:Q43"/>
    <mergeCell ref="R43:S43"/>
    <mergeCell ref="R46:S46"/>
    <mergeCell ref="R55:S55"/>
    <mergeCell ref="O57:Q57"/>
    <mergeCell ref="R57:S57"/>
    <mergeCell ref="M25:N25"/>
    <mergeCell ref="M60:N60"/>
    <mergeCell ref="O60:Q60"/>
    <mergeCell ref="R60:S60"/>
    <mergeCell ref="M46:N46"/>
    <mergeCell ref="O46:Q46"/>
    <mergeCell ref="O27:Q27"/>
    <mergeCell ref="R27:S27"/>
    <mergeCell ref="M47:N47"/>
    <mergeCell ref="O47:Q47"/>
    <mergeCell ref="R47:S47"/>
    <mergeCell ref="M32:N32"/>
    <mergeCell ref="O32:Q32"/>
    <mergeCell ref="R32:S32"/>
    <mergeCell ref="R33:S33"/>
    <mergeCell ref="O33:Q33"/>
    <mergeCell ref="E31:H31"/>
    <mergeCell ref="I31:L31"/>
    <mergeCell ref="M31:N31"/>
    <mergeCell ref="O31:Q31"/>
    <mergeCell ref="R31:S31"/>
    <mergeCell ref="O25:Q25"/>
    <mergeCell ref="R25:S25"/>
    <mergeCell ref="E26:H26"/>
    <mergeCell ref="I37:L37"/>
    <mergeCell ref="M37:N37"/>
    <mergeCell ref="E29:H29"/>
    <mergeCell ref="I29:L29"/>
    <mergeCell ref="M29:N29"/>
    <mergeCell ref="O29:Q29"/>
    <mergeCell ref="R29:S29"/>
    <mergeCell ref="O37:Q37"/>
    <mergeCell ref="R37:S37"/>
    <mergeCell ref="R34:S34"/>
    <mergeCell ref="O34:Q34"/>
    <mergeCell ref="M34:N34"/>
    <mergeCell ref="E36:H36"/>
    <mergeCell ref="I36:L36"/>
    <mergeCell ref="M36:N36"/>
    <mergeCell ref="O36:Q36"/>
    <mergeCell ref="R36:S36"/>
    <mergeCell ref="E28:H28"/>
    <mergeCell ref="E32:H32"/>
    <mergeCell ref="I32:L32"/>
    <mergeCell ref="M33:N33"/>
    <mergeCell ref="E33:H33"/>
    <mergeCell ref="M35:N35"/>
    <mergeCell ref="O35:Q35"/>
    <mergeCell ref="S3:T3"/>
    <mergeCell ref="E4:R4"/>
    <mergeCell ref="E5:R5"/>
    <mergeCell ref="E7:R7"/>
    <mergeCell ref="E9:R9"/>
    <mergeCell ref="E8:R8"/>
    <mergeCell ref="E6:R6"/>
    <mergeCell ref="E10:R10"/>
    <mergeCell ref="Q3:R3"/>
    <mergeCell ref="B11:T11"/>
    <mergeCell ref="B13:T13"/>
    <mergeCell ref="B14:T14"/>
    <mergeCell ref="I26:L26"/>
    <mergeCell ref="M26:N26"/>
    <mergeCell ref="O26:Q26"/>
    <mergeCell ref="R26:S26"/>
    <mergeCell ref="R38:S38"/>
    <mergeCell ref="E37:H37"/>
    <mergeCell ref="I38:L38"/>
    <mergeCell ref="M38:N38"/>
    <mergeCell ref="E16:R16"/>
    <mergeCell ref="B24:T24"/>
    <mergeCell ref="E38:H38"/>
    <mergeCell ref="E25:H25"/>
    <mergeCell ref="I25:L25"/>
    <mergeCell ref="I28:L28"/>
    <mergeCell ref="M28:N28"/>
    <mergeCell ref="O28:Q28"/>
    <mergeCell ref="R28:S28"/>
    <mergeCell ref="E27:H27"/>
    <mergeCell ref="I27:L27"/>
    <mergeCell ref="M27:N27"/>
    <mergeCell ref="E78:H78"/>
    <mergeCell ref="E80:H80"/>
    <mergeCell ref="E79:H79"/>
    <mergeCell ref="O85:Q85"/>
    <mergeCell ref="R85:S85"/>
    <mergeCell ref="E82:H82"/>
    <mergeCell ref="I82:L82"/>
    <mergeCell ref="E88:H88"/>
    <mergeCell ref="R79:S79"/>
    <mergeCell ref="I75:L75"/>
    <mergeCell ref="M75:N75"/>
    <mergeCell ref="O75:Q75"/>
    <mergeCell ref="R75:S75"/>
    <mergeCell ref="E89:H89"/>
    <mergeCell ref="R77:S77"/>
    <mergeCell ref="M90:N90"/>
    <mergeCell ref="M85:N85"/>
    <mergeCell ref="O83:Q83"/>
    <mergeCell ref="M81:N81"/>
    <mergeCell ref="R89:S89"/>
    <mergeCell ref="M77:N77"/>
    <mergeCell ref="O77:Q77"/>
    <mergeCell ref="I80:L80"/>
    <mergeCell ref="M80:N80"/>
    <mergeCell ref="O80:Q80"/>
    <mergeCell ref="R80:S80"/>
    <mergeCell ref="I78:L78"/>
    <mergeCell ref="M78:N78"/>
    <mergeCell ref="O78:Q78"/>
    <mergeCell ref="O82:Q82"/>
    <mergeCell ref="E83:H83"/>
    <mergeCell ref="E75:H75"/>
    <mergeCell ref="M95:N95"/>
    <mergeCell ref="O95:Q95"/>
    <mergeCell ref="R92:S92"/>
    <mergeCell ref="R95:S95"/>
    <mergeCell ref="O93:Q93"/>
    <mergeCell ref="E94:H94"/>
    <mergeCell ref="I94:L94"/>
    <mergeCell ref="M94:N94"/>
    <mergeCell ref="R82:S82"/>
    <mergeCell ref="E81:H81"/>
    <mergeCell ref="E92:H92"/>
    <mergeCell ref="E93:H93"/>
    <mergeCell ref="I96:L96"/>
    <mergeCell ref="E98:H98"/>
    <mergeCell ref="E99:H99"/>
    <mergeCell ref="M99:N99"/>
    <mergeCell ref="I90:L90"/>
    <mergeCell ref="E85:H85"/>
    <mergeCell ref="E84:H84"/>
    <mergeCell ref="E91:H91"/>
    <mergeCell ref="E86:H86"/>
    <mergeCell ref="O90:Q90"/>
    <mergeCell ref="R90:S90"/>
    <mergeCell ref="I87:L87"/>
    <mergeCell ref="M87:N87"/>
    <mergeCell ref="O87:Q87"/>
    <mergeCell ref="O81:Q81"/>
    <mergeCell ref="M98:N98"/>
    <mergeCell ref="M83:N83"/>
    <mergeCell ref="I93:L93"/>
    <mergeCell ref="I85:L85"/>
    <mergeCell ref="I98:L98"/>
    <mergeCell ref="I194:L194"/>
    <mergeCell ref="M194:N194"/>
    <mergeCell ref="O194:Q194"/>
    <mergeCell ref="E97:H97"/>
    <mergeCell ref="I97:L97"/>
    <mergeCell ref="M97:N97"/>
    <mergeCell ref="M111:N111"/>
    <mergeCell ref="O111:Q111"/>
    <mergeCell ref="R111:S111"/>
    <mergeCell ref="E114:H114"/>
    <mergeCell ref="I114:L114"/>
    <mergeCell ref="M114:N114"/>
    <mergeCell ref="O114:Q114"/>
    <mergeCell ref="M112:N112"/>
    <mergeCell ref="O112:Q112"/>
    <mergeCell ref="R112:S112"/>
    <mergeCell ref="E113:H113"/>
    <mergeCell ref="I113:L113"/>
    <mergeCell ref="M113:N113"/>
    <mergeCell ref="O107:Q107"/>
    <mergeCell ref="R107:S107"/>
    <mergeCell ref="O97:Q97"/>
    <mergeCell ref="R97:S97"/>
    <mergeCell ref="E105:H105"/>
    <mergeCell ref="I105:L105"/>
    <mergeCell ref="M105:N105"/>
    <mergeCell ref="E103:H103"/>
    <mergeCell ref="I103:L103"/>
    <mergeCell ref="M103:N103"/>
    <mergeCell ref="O103:Q103"/>
    <mergeCell ref="R103:S103"/>
    <mergeCell ref="E102:H102"/>
    <mergeCell ref="M167:N167"/>
    <mergeCell ref="E167:H167"/>
    <mergeCell ref="I178:L178"/>
    <mergeCell ref="M178:N178"/>
    <mergeCell ref="O178:Q178"/>
    <mergeCell ref="R178:S178"/>
    <mergeCell ref="R183:S183"/>
    <mergeCell ref="R185:S185"/>
    <mergeCell ref="M184:N184"/>
    <mergeCell ref="O184:Q184"/>
    <mergeCell ref="R184:S184"/>
    <mergeCell ref="E184:H184"/>
    <mergeCell ref="E185:H185"/>
    <mergeCell ref="I185:L185"/>
    <mergeCell ref="E180:H180"/>
    <mergeCell ref="I180:L180"/>
    <mergeCell ref="M162:N162"/>
    <mergeCell ref="O162:Q162"/>
    <mergeCell ref="R162:S162"/>
    <mergeCell ref="E176:H176"/>
    <mergeCell ref="I176:L176"/>
    <mergeCell ref="M176:N176"/>
    <mergeCell ref="O176:Q176"/>
    <mergeCell ref="R176:S176"/>
    <mergeCell ref="E178:H178"/>
    <mergeCell ref="M180:N180"/>
    <mergeCell ref="O180:Q180"/>
    <mergeCell ref="R180:S180"/>
    <mergeCell ref="M174:N174"/>
    <mergeCell ref="O174:Q174"/>
    <mergeCell ref="R174:S174"/>
    <mergeCell ref="R171:S171"/>
    <mergeCell ref="R188:S188"/>
    <mergeCell ref="E188:H188"/>
    <mergeCell ref="E189:H189"/>
    <mergeCell ref="O186:Q186"/>
    <mergeCell ref="R186:S186"/>
    <mergeCell ref="O191:Q191"/>
    <mergeCell ref="R191:S191"/>
    <mergeCell ref="E192:H192"/>
    <mergeCell ref="I192:L192"/>
    <mergeCell ref="M192:N192"/>
    <mergeCell ref="O192:Q192"/>
    <mergeCell ref="R192:S192"/>
    <mergeCell ref="E181:H181"/>
    <mergeCell ref="I181:L181"/>
    <mergeCell ref="M181:N181"/>
    <mergeCell ref="O181:Q181"/>
    <mergeCell ref="R181:S181"/>
    <mergeCell ref="M185:N185"/>
    <mergeCell ref="O185:Q185"/>
    <mergeCell ref="I189:L189"/>
    <mergeCell ref="M189:N189"/>
    <mergeCell ref="O189:Q189"/>
    <mergeCell ref="I188:L188"/>
    <mergeCell ref="M188:N188"/>
    <mergeCell ref="O188:Q188"/>
    <mergeCell ref="R189:S189"/>
    <mergeCell ref="E190:H190"/>
    <mergeCell ref="E186:H186"/>
    <mergeCell ref="I186:L186"/>
    <mergeCell ref="M186:N186"/>
    <mergeCell ref="M187:N187"/>
    <mergeCell ref="O187:Q187"/>
    <mergeCell ref="B880:N880"/>
    <mergeCell ref="O880:T880"/>
    <mergeCell ref="M515:N515"/>
    <mergeCell ref="O515:Q515"/>
    <mergeCell ref="R515:S515"/>
    <mergeCell ref="E519:H519"/>
    <mergeCell ref="M519:N519"/>
    <mergeCell ref="O519:Q519"/>
    <mergeCell ref="R519:S519"/>
    <mergeCell ref="E857:H857"/>
    <mergeCell ref="I857:L857"/>
    <mergeCell ref="M857:N857"/>
    <mergeCell ref="O857:Q857"/>
    <mergeCell ref="R857:S857"/>
    <mergeCell ref="R839:S839"/>
    <mergeCell ref="E847:H847"/>
    <mergeCell ref="M823:N823"/>
    <mergeCell ref="R825:S825"/>
    <mergeCell ref="O824:Q824"/>
    <mergeCell ref="E825:H825"/>
    <mergeCell ref="E819:H819"/>
    <mergeCell ref="I777:L777"/>
    <mergeCell ref="M777:N777"/>
    <mergeCell ref="B877:C877"/>
    <mergeCell ref="I836:L836"/>
    <mergeCell ref="R602:S602"/>
    <mergeCell ref="R806:S806"/>
    <mergeCell ref="E537:H537"/>
    <mergeCell ref="E777:H777"/>
    <mergeCell ref="E516:H516"/>
    <mergeCell ref="E614:H614"/>
    <mergeCell ref="M614:N614"/>
    <mergeCell ref="B874:T874"/>
    <mergeCell ref="B879:N879"/>
    <mergeCell ref="O879:T879"/>
    <mergeCell ref="I190:L190"/>
    <mergeCell ref="M190:N190"/>
    <mergeCell ref="O190:Q190"/>
    <mergeCell ref="R190:S190"/>
    <mergeCell ref="E193:H193"/>
    <mergeCell ref="I193:L193"/>
    <mergeCell ref="E381:H381"/>
    <mergeCell ref="R367:S367"/>
    <mergeCell ref="E275:H275"/>
    <mergeCell ref="I275:L275"/>
    <mergeCell ref="M275:N275"/>
    <mergeCell ref="O275:Q275"/>
    <mergeCell ref="R275:S275"/>
    <mergeCell ref="M191:N191"/>
    <mergeCell ref="R562:S562"/>
    <mergeCell ref="E554:H554"/>
    <mergeCell ref="E801:H801"/>
    <mergeCell ref="M193:N193"/>
    <mergeCell ref="O193:Q193"/>
    <mergeCell ref="R193:S193"/>
    <mergeCell ref="O395:Q395"/>
    <mergeCell ref="O405:Q405"/>
    <mergeCell ref="I281:L281"/>
    <mergeCell ref="R194:S194"/>
    <mergeCell ref="E191:H191"/>
    <mergeCell ref="I191:L191"/>
    <mergeCell ref="E194:H194"/>
    <mergeCell ref="M602:N602"/>
    <mergeCell ref="M839:N839"/>
    <mergeCell ref="E278:H278"/>
    <mergeCell ref="I278:L278"/>
    <mergeCell ref="E778:H778"/>
    <mergeCell ref="M858:N858"/>
    <mergeCell ref="O858:Q858"/>
    <mergeCell ref="R858:S858"/>
    <mergeCell ref="M518:N518"/>
    <mergeCell ref="E518:H518"/>
    <mergeCell ref="I299:L299"/>
    <mergeCell ref="M299:N299"/>
    <mergeCell ref="O299:Q299"/>
    <mergeCell ref="R299:S299"/>
    <mergeCell ref="E295:H295"/>
    <mergeCell ref="I295:L295"/>
    <mergeCell ref="M295:N295"/>
    <mergeCell ref="O295:Q295"/>
    <mergeCell ref="R295:S295"/>
    <mergeCell ref="E296:H296"/>
    <mergeCell ref="I296:L296"/>
    <mergeCell ref="M296:N296"/>
    <mergeCell ref="O296:Q296"/>
    <mergeCell ref="M278:N278"/>
    <mergeCell ref="I298:L298"/>
    <mergeCell ref="M298:N298"/>
    <mergeCell ref="O298:Q298"/>
    <mergeCell ref="R298:S298"/>
    <mergeCell ref="E299:H299"/>
    <mergeCell ref="E302:H302"/>
    <mergeCell ref="I302:L302"/>
    <mergeCell ref="M302:N302"/>
    <mergeCell ref="O280:Q280"/>
    <mergeCell ref="R280:S280"/>
    <mergeCell ref="R861:S861"/>
    <mergeCell ref="O810:Q810"/>
    <mergeCell ref="R810:S810"/>
    <mergeCell ref="I837:L837"/>
    <mergeCell ref="O837:Q837"/>
    <mergeCell ref="E789:H789"/>
    <mergeCell ref="E787:H787"/>
    <mergeCell ref="O805:Q805"/>
    <mergeCell ref="R498:S498"/>
    <mergeCell ref="M853:N853"/>
    <mergeCell ref="E845:H845"/>
    <mergeCell ref="I845:L845"/>
    <mergeCell ref="M845:N845"/>
    <mergeCell ref="M603:N603"/>
    <mergeCell ref="E590:H590"/>
    <mergeCell ref="R536:S536"/>
    <mergeCell ref="R534:S534"/>
    <mergeCell ref="O516:Q516"/>
    <mergeCell ref="O676:Q676"/>
    <mergeCell ref="R669:S669"/>
    <mergeCell ref="R670:S670"/>
    <mergeCell ref="R672:S672"/>
    <mergeCell ref="E645:H645"/>
    <mergeCell ref="E647:H647"/>
    <mergeCell ref="I645:L645"/>
    <mergeCell ref="I647:L647"/>
    <mergeCell ref="E636:H636"/>
    <mergeCell ref="E629:H629"/>
    <mergeCell ref="R785:S785"/>
    <mergeCell ref="E812:H812"/>
    <mergeCell ref="O780:Q780"/>
    <mergeCell ref="E651:H651"/>
    <mergeCell ref="E281:H281"/>
    <mergeCell ref="R294:S294"/>
    <mergeCell ref="I375:L375"/>
    <mergeCell ref="E403:H403"/>
    <mergeCell ref="I403:L403"/>
    <mergeCell ref="M403:N403"/>
    <mergeCell ref="E405:H405"/>
    <mergeCell ref="R382:S382"/>
    <mergeCell ref="E388:H388"/>
    <mergeCell ref="M389:N389"/>
    <mergeCell ref="E404:H404"/>
    <mergeCell ref="O389:Q389"/>
    <mergeCell ref="R391:S391"/>
    <mergeCell ref="R396:S396"/>
    <mergeCell ref="M395:N395"/>
    <mergeCell ref="O399:Q399"/>
    <mergeCell ref="O401:Q401"/>
    <mergeCell ref="M387:N387"/>
    <mergeCell ref="O391:Q391"/>
    <mergeCell ref="O392:Q392"/>
    <mergeCell ref="I293:L293"/>
    <mergeCell ref="M293:N293"/>
    <mergeCell ref="O293:Q293"/>
    <mergeCell ref="R293:S293"/>
    <mergeCell ref="O302:Q302"/>
    <mergeCell ref="R302:S302"/>
    <mergeCell ref="I304:L304"/>
    <mergeCell ref="M304:N304"/>
    <mergeCell ref="O304:Q304"/>
    <mergeCell ref="R304:S304"/>
    <mergeCell ref="E305:H305"/>
    <mergeCell ref="E310:H310"/>
    <mergeCell ref="O276:Q276"/>
    <mergeCell ref="R276:S276"/>
    <mergeCell ref="R199:S199"/>
    <mergeCell ref="E200:H200"/>
    <mergeCell ref="I200:L200"/>
    <mergeCell ref="M200:N200"/>
    <mergeCell ref="O200:Q200"/>
    <mergeCell ref="R200:S200"/>
    <mergeCell ref="E195:H195"/>
    <mergeCell ref="E206:H206"/>
    <mergeCell ref="I206:L206"/>
    <mergeCell ref="M206:N206"/>
    <mergeCell ref="O206:Q206"/>
    <mergeCell ref="R206:S206"/>
    <mergeCell ref="E203:H203"/>
    <mergeCell ref="E212:H212"/>
    <mergeCell ref="I212:L212"/>
    <mergeCell ref="M212:N212"/>
    <mergeCell ref="O212:Q212"/>
    <mergeCell ref="R212:S212"/>
    <mergeCell ref="I203:L203"/>
    <mergeCell ref="M203:N203"/>
    <mergeCell ref="O203:Q203"/>
    <mergeCell ref="R203:S203"/>
    <mergeCell ref="E204:H204"/>
    <mergeCell ref="I204:L204"/>
    <mergeCell ref="M204:N204"/>
    <mergeCell ref="O204:Q204"/>
    <mergeCell ref="R204:S204"/>
    <mergeCell ref="M195:N195"/>
    <mergeCell ref="E276:H276"/>
    <mergeCell ref="I276:L276"/>
    <mergeCell ref="E277:H277"/>
    <mergeCell ref="I277:L277"/>
    <mergeCell ref="I384:L384"/>
    <mergeCell ref="E386:H386"/>
    <mergeCell ref="I364:L364"/>
    <mergeCell ref="O385:Q385"/>
    <mergeCell ref="I383:L383"/>
    <mergeCell ref="E383:H383"/>
    <mergeCell ref="E369:H369"/>
    <mergeCell ref="M404:N404"/>
    <mergeCell ref="E366:H366"/>
    <mergeCell ref="E368:H368"/>
    <mergeCell ref="R278:S278"/>
    <mergeCell ref="E291:H291"/>
    <mergeCell ref="I291:L291"/>
    <mergeCell ref="M291:N291"/>
    <mergeCell ref="O291:Q291"/>
    <mergeCell ref="R291:S291"/>
    <mergeCell ref="E292:H292"/>
    <mergeCell ref="I292:L292"/>
    <mergeCell ref="M292:N292"/>
    <mergeCell ref="O292:Q292"/>
    <mergeCell ref="R292:S292"/>
    <mergeCell ref="O289:Q289"/>
    <mergeCell ref="R394:S394"/>
    <mergeCell ref="E288:H288"/>
    <mergeCell ref="O278:Q278"/>
    <mergeCell ref="E391:H391"/>
    <mergeCell ref="E385:H385"/>
    <mergeCell ref="I385:L385"/>
    <mergeCell ref="E384:H384"/>
    <mergeCell ref="O282:Q282"/>
    <mergeCell ref="M282:N282"/>
    <mergeCell ref="R282:S282"/>
    <mergeCell ref="M397:N397"/>
    <mergeCell ref="R395:S395"/>
    <mergeCell ref="R399:S399"/>
    <mergeCell ref="O404:Q404"/>
    <mergeCell ref="M284:N284"/>
    <mergeCell ref="O284:Q284"/>
    <mergeCell ref="R414:S414"/>
    <mergeCell ref="R415:S415"/>
    <mergeCell ref="O394:Q394"/>
    <mergeCell ref="R577:S577"/>
    <mergeCell ref="O569:Q569"/>
    <mergeCell ref="M583:N583"/>
    <mergeCell ref="M556:N556"/>
    <mergeCell ref="O558:Q558"/>
    <mergeCell ref="M528:N528"/>
    <mergeCell ref="M533:N533"/>
    <mergeCell ref="O533:Q533"/>
    <mergeCell ref="R520:S520"/>
    <mergeCell ref="R397:S397"/>
    <mergeCell ref="R579:S579"/>
    <mergeCell ref="O579:Q579"/>
    <mergeCell ref="M579:N579"/>
    <mergeCell ref="R523:S523"/>
    <mergeCell ref="R580:S580"/>
    <mergeCell ref="O531:Q531"/>
    <mergeCell ref="O504:Q504"/>
    <mergeCell ref="M504:N504"/>
    <mergeCell ref="O552:Q552"/>
    <mergeCell ref="R547:S547"/>
    <mergeCell ref="M537:N537"/>
    <mergeCell ref="M511:N511"/>
    <mergeCell ref="O520:Q520"/>
    <mergeCell ref="M394:N394"/>
    <mergeCell ref="M396:N396"/>
    <mergeCell ref="O486:Q486"/>
    <mergeCell ref="M500:N500"/>
    <mergeCell ref="O388:Q388"/>
    <mergeCell ref="O386:Q386"/>
    <mergeCell ref="O383:Q383"/>
    <mergeCell ref="M301:N301"/>
    <mergeCell ref="O301:Q301"/>
    <mergeCell ref="R301:S301"/>
    <mergeCell ref="M306:N306"/>
    <mergeCell ref="O306:Q306"/>
    <mergeCell ref="R306:S306"/>
    <mergeCell ref="M307:N307"/>
    <mergeCell ref="O307:Q307"/>
    <mergeCell ref="R307:S307"/>
    <mergeCell ref="O333:Q333"/>
    <mergeCell ref="O398:Q398"/>
    <mergeCell ref="R345:S345"/>
    <mergeCell ref="O345:Q345"/>
    <mergeCell ref="O348:Q348"/>
    <mergeCell ref="R348:S348"/>
    <mergeCell ref="O351:Q351"/>
    <mergeCell ref="O513:Q513"/>
    <mergeCell ref="M333:N333"/>
    <mergeCell ref="M345:N345"/>
    <mergeCell ref="M348:N348"/>
    <mergeCell ref="M339:N339"/>
    <mergeCell ref="M340:N340"/>
    <mergeCell ref="M341:N341"/>
    <mergeCell ref="E480:H480"/>
    <mergeCell ref="M280:N280"/>
    <mergeCell ref="M277:N277"/>
    <mergeCell ref="O277:Q277"/>
    <mergeCell ref="R277:S277"/>
    <mergeCell ref="R283:S283"/>
    <mergeCell ref="E284:H284"/>
    <mergeCell ref="I284:L284"/>
    <mergeCell ref="I279:L279"/>
    <mergeCell ref="M281:N281"/>
    <mergeCell ref="O281:Q281"/>
    <mergeCell ref="R281:S281"/>
    <mergeCell ref="E282:H282"/>
    <mergeCell ref="I282:L282"/>
    <mergeCell ref="O381:Q381"/>
    <mergeCell ref="O382:Q382"/>
    <mergeCell ref="R389:S389"/>
    <mergeCell ref="R387:S387"/>
    <mergeCell ref="O300:Q300"/>
    <mergeCell ref="R300:S300"/>
    <mergeCell ref="E371:H371"/>
    <mergeCell ref="O297:Q297"/>
    <mergeCell ref="R297:S297"/>
    <mergeCell ref="I289:L289"/>
    <mergeCell ref="R285:S285"/>
    <mergeCell ref="E286:H286"/>
    <mergeCell ref="I286:L286"/>
    <mergeCell ref="M286:N286"/>
    <mergeCell ref="E290:H290"/>
    <mergeCell ref="I290:L290"/>
    <mergeCell ref="M388:N388"/>
    <mergeCell ref="M290:N290"/>
    <mergeCell ref="R390:S390"/>
    <mergeCell ref="O409:Q409"/>
    <mergeCell ref="O412:Q412"/>
    <mergeCell ref="O413:Q413"/>
    <mergeCell ref="E279:H279"/>
    <mergeCell ref="M279:N279"/>
    <mergeCell ref="O279:Q279"/>
    <mergeCell ref="R279:S279"/>
    <mergeCell ref="E280:H280"/>
    <mergeCell ref="R287:S287"/>
    <mergeCell ref="E536:H536"/>
    <mergeCell ref="O534:Q534"/>
    <mergeCell ref="R526:S526"/>
    <mergeCell ref="R383:S383"/>
    <mergeCell ref="R303:S303"/>
    <mergeCell ref="E389:H389"/>
    <mergeCell ref="M402:N402"/>
    <mergeCell ref="O286:Q286"/>
    <mergeCell ref="R286:S286"/>
    <mergeCell ref="R511:S511"/>
    <mergeCell ref="R374:S374"/>
    <mergeCell ref="E301:H301"/>
    <mergeCell ref="M411:N411"/>
    <mergeCell ref="R411:S411"/>
    <mergeCell ref="O418:Q418"/>
    <mergeCell ref="M412:N412"/>
    <mergeCell ref="R418:S418"/>
    <mergeCell ref="R392:S392"/>
    <mergeCell ref="E392:H392"/>
    <mergeCell ref="E300:H300"/>
    <mergeCell ref="I300:L300"/>
    <mergeCell ref="M300:N300"/>
    <mergeCell ref="O283:Q283"/>
    <mergeCell ref="E293:H293"/>
    <mergeCell ref="R284:S284"/>
    <mergeCell ref="M294:N294"/>
    <mergeCell ref="O294:Q294"/>
    <mergeCell ref="R289:S289"/>
    <mergeCell ref="I288:L288"/>
    <mergeCell ref="E294:H294"/>
    <mergeCell ref="I294:L294"/>
    <mergeCell ref="I301:L301"/>
    <mergeCell ref="E306:H306"/>
    <mergeCell ref="I306:L306"/>
    <mergeCell ref="E307:H307"/>
    <mergeCell ref="I307:L307"/>
    <mergeCell ref="E304:H304"/>
    <mergeCell ref="I305:L305"/>
    <mergeCell ref="M305:N305"/>
    <mergeCell ref="O305:Q305"/>
    <mergeCell ref="R305:S305"/>
    <mergeCell ref="E303:H303"/>
    <mergeCell ref="I303:L303"/>
    <mergeCell ref="M303:N303"/>
    <mergeCell ref="O303:Q303"/>
    <mergeCell ref="R296:S296"/>
    <mergeCell ref="O290:Q290"/>
    <mergeCell ref="R290:S290"/>
    <mergeCell ref="E676:H676"/>
    <mergeCell ref="R582:S582"/>
    <mergeCell ref="R571:S571"/>
    <mergeCell ref="O514:Q514"/>
    <mergeCell ref="R566:S566"/>
    <mergeCell ref="O521:Q521"/>
    <mergeCell ref="R540:S540"/>
    <mergeCell ref="R544:S544"/>
    <mergeCell ref="M520:N520"/>
    <mergeCell ref="O614:Q614"/>
    <mergeCell ref="R617:S617"/>
    <mergeCell ref="E619:H619"/>
    <mergeCell ref="I676:L676"/>
    <mergeCell ref="I646:L646"/>
    <mergeCell ref="E641:H641"/>
    <mergeCell ref="E643:H643"/>
    <mergeCell ref="E642:H642"/>
    <mergeCell ref="R675:S675"/>
    <mergeCell ref="O659:Q659"/>
    <mergeCell ref="R659:S659"/>
    <mergeCell ref="M663:N663"/>
    <mergeCell ref="R676:S676"/>
    <mergeCell ref="M564:N564"/>
    <mergeCell ref="O530:Q530"/>
    <mergeCell ref="R595:S595"/>
    <mergeCell ref="M595:N595"/>
    <mergeCell ref="E530:H530"/>
    <mergeCell ref="E594:H594"/>
    <mergeCell ref="O590:Q590"/>
    <mergeCell ref="M590:N590"/>
    <mergeCell ref="R546:S546"/>
    <mergeCell ref="M571:N571"/>
    <mergeCell ref="R714:S714"/>
    <mergeCell ref="E677:H677"/>
    <mergeCell ref="R679:S679"/>
    <mergeCell ref="M276:N276"/>
    <mergeCell ref="E289:H289"/>
    <mergeCell ref="E298:H298"/>
    <mergeCell ref="E374:H374"/>
    <mergeCell ref="E376:H376"/>
    <mergeCell ref="E213:H213"/>
    <mergeCell ref="I213:L213"/>
    <mergeCell ref="E215:H215"/>
    <mergeCell ref="E287:H287"/>
    <mergeCell ref="I287:L287"/>
    <mergeCell ref="M287:N287"/>
    <mergeCell ref="O287:Q287"/>
    <mergeCell ref="M289:N289"/>
    <mergeCell ref="E297:H297"/>
    <mergeCell ref="I297:L297"/>
    <mergeCell ref="M297:N297"/>
    <mergeCell ref="M380:N380"/>
    <mergeCell ref="R380:S380"/>
    <mergeCell ref="O380:Q380"/>
    <mergeCell ref="E283:H283"/>
    <mergeCell ref="I283:L283"/>
    <mergeCell ref="M283:N283"/>
    <mergeCell ref="M288:N288"/>
    <mergeCell ref="O639:Q639"/>
    <mergeCell ref="E650:H650"/>
    <mergeCell ref="E620:H620"/>
    <mergeCell ref="O480:Q480"/>
    <mergeCell ref="R621:S621"/>
    <mergeCell ref="O621:Q621"/>
    <mergeCell ref="M285:N285"/>
    <mergeCell ref="O285:Q285"/>
    <mergeCell ref="O591:Q591"/>
    <mergeCell ref="R591:S591"/>
    <mergeCell ref="R593:S593"/>
    <mergeCell ref="M609:N609"/>
    <mergeCell ref="R609:S609"/>
    <mergeCell ref="E591:H591"/>
    <mergeCell ref="E593:H593"/>
    <mergeCell ref="E606:H606"/>
    <mergeCell ref="O593:Q593"/>
    <mergeCell ref="M593:N593"/>
    <mergeCell ref="E588:H588"/>
    <mergeCell ref="M588:N588"/>
    <mergeCell ref="R635:S635"/>
    <mergeCell ref="R634:S634"/>
    <mergeCell ref="R622:S622"/>
    <mergeCell ref="R549:S549"/>
    <mergeCell ref="M549:N549"/>
    <mergeCell ref="M600:N600"/>
    <mergeCell ref="R596:S596"/>
    <mergeCell ref="M596:N596"/>
    <mergeCell ref="O596:Q596"/>
    <mergeCell ref="O634:Q634"/>
    <mergeCell ref="M631:N631"/>
    <mergeCell ref="M624:N624"/>
    <mergeCell ref="O629:Q629"/>
    <mergeCell ref="O631:Q631"/>
    <mergeCell ref="E635:H635"/>
    <mergeCell ref="O288:Q288"/>
    <mergeCell ref="R288:S288"/>
    <mergeCell ref="M391:N391"/>
    <mergeCell ref="O888:T888"/>
    <mergeCell ref="O889:T889"/>
    <mergeCell ref="M591:N591"/>
    <mergeCell ref="E661:H661"/>
    <mergeCell ref="M661:N661"/>
    <mergeCell ref="O661:Q661"/>
    <mergeCell ref="R661:S661"/>
    <mergeCell ref="O665:Q665"/>
    <mergeCell ref="M665:N665"/>
    <mergeCell ref="M641:N641"/>
    <mergeCell ref="M643:N643"/>
    <mergeCell ref="E653:H653"/>
    <mergeCell ref="M653:N653"/>
    <mergeCell ref="O653:Q653"/>
    <mergeCell ref="R653:S653"/>
    <mergeCell ref="E660:H660"/>
    <mergeCell ref="M660:N660"/>
    <mergeCell ref="O660:Q660"/>
    <mergeCell ref="R660:S660"/>
    <mergeCell ref="M646:N646"/>
    <mergeCell ref="M725:N725"/>
    <mergeCell ref="E854:H854"/>
    <mergeCell ref="I854:L854"/>
    <mergeCell ref="R853:S853"/>
    <mergeCell ref="R845:S845"/>
    <mergeCell ref="O845:Q845"/>
    <mergeCell ref="E729:H729"/>
    <mergeCell ref="M729:N729"/>
    <mergeCell ref="O646:Q646"/>
    <mergeCell ref="R642:S642"/>
    <mergeCell ref="O642:Q642"/>
    <mergeCell ref="M642:N642"/>
    <mergeCell ref="O887:T887"/>
    <mergeCell ref="O618:Q618"/>
    <mergeCell ref="R614:S614"/>
    <mergeCell ref="I107:L107"/>
    <mergeCell ref="O108:Q108"/>
    <mergeCell ref="O625:Q625"/>
    <mergeCell ref="M628:N628"/>
    <mergeCell ref="O626:Q626"/>
    <mergeCell ref="E632:H632"/>
    <mergeCell ref="I632:L632"/>
    <mergeCell ref="M632:N632"/>
    <mergeCell ref="O632:Q632"/>
    <mergeCell ref="R640:S640"/>
    <mergeCell ref="O640:Q640"/>
    <mergeCell ref="O853:Q853"/>
    <mergeCell ref="R838:S838"/>
    <mergeCell ref="E836:H836"/>
    <mergeCell ref="E695:H695"/>
    <mergeCell ref="E693:H693"/>
    <mergeCell ref="M693:N693"/>
    <mergeCell ref="O693:Q693"/>
    <mergeCell ref="I285:L285"/>
    <mergeCell ref="R379:S379"/>
    <mergeCell ref="M490:N490"/>
    <mergeCell ref="E618:H618"/>
    <mergeCell ref="R704:S704"/>
    <mergeCell ref="M689:N689"/>
    <mergeCell ref="M854:N854"/>
    <mergeCell ref="O854:Q854"/>
    <mergeCell ref="R854:S854"/>
    <mergeCell ref="I280:L280"/>
    <mergeCell ref="O553:Q553"/>
    <mergeCell ref="E157:H157"/>
    <mergeCell ref="I102:L102"/>
    <mergeCell ref="R153:S153"/>
    <mergeCell ref="M155:N155"/>
    <mergeCell ref="O155:Q155"/>
    <mergeCell ref="R106:S106"/>
    <mergeCell ref="E126:H126"/>
    <mergeCell ref="I126:L126"/>
    <mergeCell ref="M126:N126"/>
    <mergeCell ref="E128:H128"/>
    <mergeCell ref="I128:L128"/>
    <mergeCell ref="M128:N128"/>
    <mergeCell ref="O128:Q128"/>
    <mergeCell ref="R128:S128"/>
    <mergeCell ref="E129:H129"/>
    <mergeCell ref="I129:L129"/>
    <mergeCell ref="M129:N129"/>
    <mergeCell ref="O129:Q129"/>
    <mergeCell ref="R129:S129"/>
    <mergeCell ref="E130:H130"/>
    <mergeCell ref="I130:L130"/>
    <mergeCell ref="M130:N130"/>
    <mergeCell ref="O130:Q130"/>
    <mergeCell ref="R130:S130"/>
    <mergeCell ref="E127:H127"/>
    <mergeCell ref="I127:L127"/>
    <mergeCell ref="M127:N127"/>
    <mergeCell ref="O127:Q127"/>
    <mergeCell ref="R127:S127"/>
    <mergeCell ref="E132:H132"/>
    <mergeCell ref="E150:H150"/>
    <mergeCell ref="I150:L150"/>
    <mergeCell ref="M157:N157"/>
    <mergeCell ref="I153:L153"/>
    <mergeCell ref="M153:N153"/>
    <mergeCell ref="O153:Q153"/>
    <mergeCell ref="E122:H122"/>
    <mergeCell ref="M672:N672"/>
    <mergeCell ref="R668:S668"/>
    <mergeCell ref="O663:Q663"/>
    <mergeCell ref="E652:H652"/>
    <mergeCell ref="E657:H657"/>
    <mergeCell ref="M150:N150"/>
    <mergeCell ref="O150:Q150"/>
    <mergeCell ref="M106:N106"/>
    <mergeCell ref="O126:Q126"/>
    <mergeCell ref="I121:L121"/>
    <mergeCell ref="M121:N121"/>
    <mergeCell ref="O121:Q121"/>
    <mergeCell ref="E124:H124"/>
    <mergeCell ref="I108:L108"/>
    <mergeCell ref="R126:S126"/>
    <mergeCell ref="E119:H119"/>
    <mergeCell ref="R150:S150"/>
    <mergeCell ref="R120:S120"/>
    <mergeCell ref="E121:H121"/>
    <mergeCell ref="E168:H168"/>
    <mergeCell ref="M168:N168"/>
    <mergeCell ref="O168:Q168"/>
    <mergeCell ref="R168:S168"/>
    <mergeCell ref="M639:N639"/>
    <mergeCell ref="E628:H628"/>
    <mergeCell ref="R119:S119"/>
    <mergeCell ref="R564:S564"/>
    <mergeCell ref="E104:H104"/>
    <mergeCell ref="O110:Q110"/>
    <mergeCell ref="O105:Q105"/>
    <mergeCell ref="E111:H111"/>
    <mergeCell ref="I122:L122"/>
    <mergeCell ref="R113:S113"/>
    <mergeCell ref="R125:S125"/>
    <mergeCell ref="E123:H123"/>
    <mergeCell ref="I123:L123"/>
    <mergeCell ref="M123:N123"/>
    <mergeCell ref="O123:Q123"/>
    <mergeCell ref="R123:S123"/>
    <mergeCell ref="I120:L120"/>
    <mergeCell ref="M120:N120"/>
    <mergeCell ref="O120:Q120"/>
    <mergeCell ref="O687:Q687"/>
    <mergeCell ref="R652:S652"/>
    <mergeCell ref="M649:N649"/>
    <mergeCell ref="R666:S666"/>
    <mergeCell ref="R681:S681"/>
    <mergeCell ref="O685:Q685"/>
    <mergeCell ref="M684:N684"/>
    <mergeCell ref="O667:Q667"/>
    <mergeCell ref="R680:S680"/>
    <mergeCell ref="M678:N678"/>
    <mergeCell ref="O657:Q657"/>
    <mergeCell ref="R657:S657"/>
    <mergeCell ref="M670:N670"/>
    <mergeCell ref="O672:Q672"/>
    <mergeCell ref="O677:Q677"/>
    <mergeCell ref="R155:S155"/>
    <mergeCell ref="E155:H155"/>
    <mergeCell ref="E169:H169"/>
    <mergeCell ref="E624:H624"/>
    <mergeCell ref="E622:H622"/>
    <mergeCell ref="O624:Q624"/>
    <mergeCell ref="E627:H627"/>
    <mergeCell ref="M169:N169"/>
    <mergeCell ref="O733:Q733"/>
    <mergeCell ref="M733:N733"/>
    <mergeCell ref="M722:N722"/>
    <mergeCell ref="R693:S693"/>
    <mergeCell ref="E698:H698"/>
    <mergeCell ref="M698:N698"/>
    <mergeCell ref="O698:Q698"/>
    <mergeCell ref="R698:S698"/>
    <mergeCell ref="M685:N685"/>
    <mergeCell ref="M652:N652"/>
    <mergeCell ref="O652:Q652"/>
    <mergeCell ref="M691:N691"/>
    <mergeCell ref="R187:S187"/>
    <mergeCell ref="M213:N213"/>
    <mergeCell ref="O213:Q213"/>
    <mergeCell ref="R213:S213"/>
    <mergeCell ref="I215:L215"/>
    <mergeCell ref="I641:L641"/>
    <mergeCell ref="I643:L643"/>
    <mergeCell ref="O169:Q169"/>
    <mergeCell ref="R169:S169"/>
    <mergeCell ref="E187:H187"/>
    <mergeCell ref="I187:L187"/>
    <mergeCell ref="M613:N613"/>
    <mergeCell ref="M617:N617"/>
    <mergeCell ref="M623:N623"/>
    <mergeCell ref="O757:Q757"/>
    <mergeCell ref="R757:S757"/>
    <mergeCell ref="E751:H751"/>
    <mergeCell ref="E691:H691"/>
    <mergeCell ref="O668:Q668"/>
    <mergeCell ref="M668:N668"/>
    <mergeCell ref="M675:N675"/>
    <mergeCell ref="E685:H685"/>
    <mergeCell ref="E687:H687"/>
    <mergeCell ref="R717:S717"/>
    <mergeCell ref="O716:Q716"/>
    <mergeCell ref="E712:H712"/>
    <mergeCell ref="M712:N712"/>
    <mergeCell ref="R723:S723"/>
    <mergeCell ref="O723:Q723"/>
    <mergeCell ref="M723:N723"/>
    <mergeCell ref="E723:H723"/>
    <mergeCell ref="R727:S727"/>
    <mergeCell ref="O727:Q727"/>
    <mergeCell ref="R694:S694"/>
    <mergeCell ref="O694:Q694"/>
    <mergeCell ref="E688:H688"/>
    <mergeCell ref="E680:H680"/>
    <mergeCell ref="O680:Q680"/>
    <mergeCell ref="M680:N680"/>
    <mergeCell ref="E670:H670"/>
    <mergeCell ref="E672:H672"/>
    <mergeCell ref="E675:H675"/>
    <mergeCell ref="E689:H689"/>
    <mergeCell ref="M701:N701"/>
    <mergeCell ref="O701:Q701"/>
    <mergeCell ref="M716:N716"/>
    <mergeCell ref="I214:L214"/>
    <mergeCell ref="M214:N214"/>
    <mergeCell ref="O214:Q214"/>
    <mergeCell ref="R214:S214"/>
    <mergeCell ref="E625:H625"/>
    <mergeCell ref="M727:N727"/>
    <mergeCell ref="E727:H727"/>
    <mergeCell ref="M215:N215"/>
    <mergeCell ref="E214:H214"/>
    <mergeCell ref="O678:Q678"/>
    <mergeCell ref="O679:Q679"/>
    <mergeCell ref="M679:N679"/>
    <mergeCell ref="E678:H678"/>
    <mergeCell ref="E679:H679"/>
    <mergeCell ref="O664:Q664"/>
    <mergeCell ref="M664:N664"/>
    <mergeCell ref="R665:S665"/>
    <mergeCell ref="M656:N656"/>
    <mergeCell ref="O656:Q656"/>
    <mergeCell ref="R656:S656"/>
    <mergeCell ref="O712:Q712"/>
    <mergeCell ref="R724:S724"/>
    <mergeCell ref="M667:N667"/>
    <mergeCell ref="O692:Q692"/>
    <mergeCell ref="E285:H285"/>
    <mergeCell ref="E617:H617"/>
    <mergeCell ref="M634:N634"/>
    <mergeCell ref="E626:H626"/>
    <mergeCell ref="O588:Q588"/>
    <mergeCell ref="R588:S588"/>
    <mergeCell ref="R616:S616"/>
    <mergeCell ref="O623:Q623"/>
    <mergeCell ref="R677:S677"/>
    <mergeCell ref="E686:H686"/>
    <mergeCell ref="R690:S690"/>
    <mergeCell ref="O671:Q671"/>
    <mergeCell ref="R671:S671"/>
    <mergeCell ref="O688:Q688"/>
    <mergeCell ref="O689:Q689"/>
    <mergeCell ref="O691:Q691"/>
    <mergeCell ref="M604:N604"/>
    <mergeCell ref="M625:N625"/>
    <mergeCell ref="M627:N627"/>
    <mergeCell ref="O627:Q627"/>
    <mergeCell ref="R627:S627"/>
    <mergeCell ref="M629:N629"/>
    <mergeCell ref="M568:N568"/>
    <mergeCell ref="R685:S685"/>
    <mergeCell ref="R735:S735"/>
    <mergeCell ref="M735:N735"/>
    <mergeCell ref="O735:Q735"/>
    <mergeCell ref="R726:S726"/>
    <mergeCell ref="E734:H734"/>
    <mergeCell ref="E735:H735"/>
    <mergeCell ref="E728:H728"/>
    <mergeCell ref="O603:Q603"/>
    <mergeCell ref="R599:S599"/>
    <mergeCell ref="O602:Q602"/>
    <mergeCell ref="R645:S645"/>
    <mergeCell ref="O645:Q645"/>
    <mergeCell ref="M645:N645"/>
    <mergeCell ref="O647:Q647"/>
    <mergeCell ref="R647:S647"/>
    <mergeCell ref="M647:N647"/>
    <mergeCell ref="R649:S649"/>
    <mergeCell ref="E649:H649"/>
    <mergeCell ref="I649:L649"/>
    <mergeCell ref="R590:S590"/>
    <mergeCell ref="E640:H640"/>
    <mergeCell ref="I609:L609"/>
    <mergeCell ref="E604:H604"/>
    <mergeCell ref="E612:H612"/>
    <mergeCell ref="R620:S620"/>
    <mergeCell ref="O620:Q620"/>
    <mergeCell ref="M620:N620"/>
    <mergeCell ref="R631:S631"/>
    <mergeCell ref="E664:H664"/>
    <mergeCell ref="E665:H665"/>
    <mergeCell ref="R664:S664"/>
    <mergeCell ref="E668:H668"/>
    <mergeCell ref="O675:Q675"/>
    <mergeCell ref="R641:S641"/>
    <mergeCell ref="O641:Q641"/>
    <mergeCell ref="R643:S643"/>
    <mergeCell ref="O643:Q643"/>
    <mergeCell ref="R644:S644"/>
    <mergeCell ref="O654:Q654"/>
    <mergeCell ref="R654:S654"/>
    <mergeCell ref="E667:H667"/>
    <mergeCell ref="E659:H659"/>
    <mergeCell ref="M659:N659"/>
    <mergeCell ref="O644:Q644"/>
    <mergeCell ref="R638:S638"/>
    <mergeCell ref="O638:Q638"/>
    <mergeCell ref="R667:S667"/>
    <mergeCell ref="E605:H605"/>
    <mergeCell ref="O171:Q171"/>
    <mergeCell ref="M171:N171"/>
    <mergeCell ref="E171:H171"/>
    <mergeCell ref="E684:H684"/>
    <mergeCell ref="R678:S678"/>
    <mergeCell ref="R687:S687"/>
    <mergeCell ref="M687:N687"/>
    <mergeCell ref="E681:H681"/>
    <mergeCell ref="M681:N681"/>
    <mergeCell ref="O686:Q686"/>
    <mergeCell ref="M686:N686"/>
    <mergeCell ref="M677:N677"/>
    <mergeCell ref="O670:Q670"/>
    <mergeCell ref="O681:Q681"/>
    <mergeCell ref="M666:N666"/>
    <mergeCell ref="M657:N657"/>
    <mergeCell ref="R686:S686"/>
    <mergeCell ref="E589:H589"/>
    <mergeCell ref="R589:S589"/>
    <mergeCell ref="M621:N621"/>
    <mergeCell ref="M622:N622"/>
    <mergeCell ref="E621:H621"/>
    <mergeCell ref="O628:Q628"/>
    <mergeCell ref="R628:S628"/>
    <mergeCell ref="O616:Q616"/>
    <mergeCell ref="E616:H616"/>
    <mergeCell ref="M598:N598"/>
    <mergeCell ref="R650:S650"/>
    <mergeCell ref="R651:S651"/>
    <mergeCell ref="O651:Q651"/>
    <mergeCell ref="O650:Q650"/>
    <mergeCell ref="O649:Q649"/>
    <mergeCell ref="O720:Q720"/>
    <mergeCell ref="R720:S720"/>
    <mergeCell ref="E743:H743"/>
    <mergeCell ref="M743:N743"/>
    <mergeCell ref="O743:Q743"/>
    <mergeCell ref="R743:S743"/>
    <mergeCell ref="E747:H747"/>
    <mergeCell ref="M747:N747"/>
    <mergeCell ref="O747:Q747"/>
    <mergeCell ref="R747:S747"/>
    <mergeCell ref="M732:N732"/>
    <mergeCell ref="R721:S721"/>
    <mergeCell ref="O721:Q721"/>
    <mergeCell ref="M721:N721"/>
    <mergeCell ref="E720:H720"/>
    <mergeCell ref="M720:N720"/>
    <mergeCell ref="M734:N734"/>
    <mergeCell ref="E736:H736"/>
    <mergeCell ref="E737:H737"/>
    <mergeCell ref="M736:N736"/>
    <mergeCell ref="O736:Q736"/>
    <mergeCell ref="R736:S736"/>
    <mergeCell ref="M737:N737"/>
    <mergeCell ref="O737:Q737"/>
    <mergeCell ref="E724:H724"/>
    <mergeCell ref="O722:Q722"/>
    <mergeCell ref="O732:Q732"/>
    <mergeCell ref="R732:S732"/>
    <mergeCell ref="R730:S730"/>
    <mergeCell ref="O730:Q730"/>
    <mergeCell ref="M730:N730"/>
    <mergeCell ref="R731:S731"/>
    <mergeCell ref="O731:Q731"/>
    <mergeCell ref="R733:S733"/>
    <mergeCell ref="R729:S729"/>
    <mergeCell ref="E726:H726"/>
    <mergeCell ref="M724:N724"/>
    <mergeCell ref="O724:Q724"/>
    <mergeCell ref="E725:H725"/>
    <mergeCell ref="R851:S851"/>
    <mergeCell ref="O851:Q851"/>
    <mergeCell ref="M851:N851"/>
    <mergeCell ref="E851:H851"/>
    <mergeCell ref="R746:S746"/>
    <mergeCell ref="R749:S749"/>
    <mergeCell ref="O746:Q746"/>
    <mergeCell ref="M746:N746"/>
    <mergeCell ref="E746:H746"/>
    <mergeCell ref="E749:H749"/>
    <mergeCell ref="O749:Q749"/>
    <mergeCell ref="M749:N749"/>
    <mergeCell ref="M768:N768"/>
    <mergeCell ref="O768:Q768"/>
    <mergeCell ref="R768:S768"/>
    <mergeCell ref="M792:N792"/>
    <mergeCell ref="I790:L790"/>
    <mergeCell ref="E757:H757"/>
    <mergeCell ref="M757:N757"/>
    <mergeCell ref="M756:N756"/>
    <mergeCell ref="O756:Q756"/>
    <mergeCell ref="R756:S756"/>
    <mergeCell ref="O215:Q215"/>
    <mergeCell ref="R215:S215"/>
    <mergeCell ref="E738:H738"/>
    <mergeCell ref="M738:N738"/>
    <mergeCell ref="O738:Q738"/>
    <mergeCell ref="R738:S738"/>
    <mergeCell ref="E721:H721"/>
    <mergeCell ref="E730:H730"/>
    <mergeCell ref="E710:H710"/>
    <mergeCell ref="M710:N710"/>
    <mergeCell ref="O710:Q710"/>
    <mergeCell ref="R710:S710"/>
    <mergeCell ref="E714:H714"/>
    <mergeCell ref="M714:N714"/>
    <mergeCell ref="O714:Q714"/>
    <mergeCell ref="M751:N751"/>
    <mergeCell ref="O751:Q751"/>
    <mergeCell ref="R751:S751"/>
    <mergeCell ref="M728:N728"/>
    <mergeCell ref="O728:Q728"/>
    <mergeCell ref="R728:S728"/>
    <mergeCell ref="E731:H731"/>
    <mergeCell ref="E733:H733"/>
    <mergeCell ref="E732:H732"/>
    <mergeCell ref="I732:L732"/>
    <mergeCell ref="R719:S719"/>
    <mergeCell ref="O719:Q719"/>
    <mergeCell ref="M719:N719"/>
    <mergeCell ref="E719:H719"/>
    <mergeCell ref="E850:H850"/>
    <mergeCell ref="I850:L850"/>
    <mergeCell ref="M850:N850"/>
    <mergeCell ref="O850:Q850"/>
    <mergeCell ref="R850:S850"/>
    <mergeCell ref="E860:H860"/>
    <mergeCell ref="I860:L860"/>
    <mergeCell ref="M860:N860"/>
    <mergeCell ref="O860:Q860"/>
    <mergeCell ref="R860:S860"/>
    <mergeCell ref="E41:H41"/>
    <mergeCell ref="M41:N41"/>
    <mergeCell ref="O41:Q41"/>
    <mergeCell ref="R41:S41"/>
    <mergeCell ref="E166:H166"/>
    <mergeCell ref="M166:N166"/>
    <mergeCell ref="O166:Q166"/>
    <mergeCell ref="R166:S166"/>
    <mergeCell ref="E766:H766"/>
    <mergeCell ref="M766:N766"/>
    <mergeCell ref="O766:Q766"/>
    <mergeCell ref="R766:S766"/>
    <mergeCell ref="E767:H767"/>
    <mergeCell ref="M767:N767"/>
    <mergeCell ref="O767:Q767"/>
    <mergeCell ref="R767:S767"/>
    <mergeCell ref="E768:H768"/>
    <mergeCell ref="E146:H146"/>
    <mergeCell ref="I146:L146"/>
    <mergeCell ref="E760:H760"/>
    <mergeCell ref="E764:H764"/>
    <mergeCell ref="E765:H765"/>
    <mergeCell ref="E30:H30"/>
    <mergeCell ref="I30:L30"/>
    <mergeCell ref="M30:N30"/>
    <mergeCell ref="O30:Q30"/>
    <mergeCell ref="R30:S30"/>
    <mergeCell ref="E34:H34"/>
    <mergeCell ref="E35:H35"/>
    <mergeCell ref="I40:L40"/>
    <mergeCell ref="I41:L41"/>
    <mergeCell ref="I42:L42"/>
    <mergeCell ref="I43:L43"/>
    <mergeCell ref="I44:L44"/>
    <mergeCell ref="I45:L45"/>
    <mergeCell ref="I46:L46"/>
    <mergeCell ref="I47:L47"/>
    <mergeCell ref="I48:L48"/>
    <mergeCell ref="E758:H758"/>
    <mergeCell ref="M758:N758"/>
    <mergeCell ref="O758:Q758"/>
    <mergeCell ref="R758:S758"/>
    <mergeCell ref="R42:S42"/>
    <mergeCell ref="O42:Q42"/>
    <mergeCell ref="M42:N42"/>
    <mergeCell ref="E42:H42"/>
    <mergeCell ref="E718:H718"/>
    <mergeCell ref="E752:H752"/>
    <mergeCell ref="M752:N752"/>
    <mergeCell ref="O752:Q752"/>
    <mergeCell ref="R752:S752"/>
    <mergeCell ref="E755:H755"/>
    <mergeCell ref="M755:N755"/>
    <mergeCell ref="O755:Q755"/>
    <mergeCell ref="I698:L698"/>
    <mergeCell ref="E769:H769"/>
    <mergeCell ref="E771:H771"/>
    <mergeCell ref="E772:H772"/>
    <mergeCell ref="M760:N760"/>
    <mergeCell ref="O760:Q760"/>
    <mergeCell ref="R760:S760"/>
    <mergeCell ref="M764:N764"/>
    <mergeCell ref="O764:Q764"/>
    <mergeCell ref="R764:S764"/>
    <mergeCell ref="R765:S765"/>
    <mergeCell ref="O765:Q765"/>
    <mergeCell ref="M765:N765"/>
    <mergeCell ref="R769:S769"/>
    <mergeCell ref="O769:Q769"/>
    <mergeCell ref="M769:N769"/>
    <mergeCell ref="R771:S771"/>
    <mergeCell ref="O771:Q771"/>
    <mergeCell ref="M771:N771"/>
    <mergeCell ref="M772:N772"/>
    <mergeCell ref="O772:Q772"/>
    <mergeCell ref="R772:S772"/>
    <mergeCell ref="E761:H761"/>
    <mergeCell ref="E762:H762"/>
    <mergeCell ref="E763:H763"/>
    <mergeCell ref="R761:S761"/>
    <mergeCell ref="R762:S762"/>
    <mergeCell ref="R763:S763"/>
    <mergeCell ref="M761:N761"/>
    <mergeCell ref="O761:Q761"/>
    <mergeCell ref="R755:S755"/>
    <mergeCell ref="E756:H756"/>
  </mergeCells>
  <hyperlinks>
    <hyperlink ref="B14:T14" r:id="rId1" display="Meteoritical Bulletin Database" xr:uid="{00000000-0004-0000-0000-000000000000}"/>
    <hyperlink ref="E14" r:id="rId2" display="Meteoritical Bulletin Database" xr:uid="{00000000-0004-0000-0000-000001000000}"/>
    <hyperlink ref="O14" r:id="rId3" display="Meteoritical Bulletin Database" xr:uid="{00000000-0004-0000-0000-000002000000}"/>
    <hyperlink ref="D877" r:id="rId4" location="gsc.tab=0" display="U.S. Antarctic (ANSMET)" xr:uid="{00000000-0004-0000-0000-0000BA000000}"/>
    <hyperlink ref="E17" location="AAU" display="AaU" xr:uid="{7CD1D42B-F62C-45D3-B337-C68D48DA6AEA}"/>
    <hyperlink ref="K17" location="ALH" display="ALH" xr:uid="{5E97F6CF-4CB6-42BC-869F-633DC2C64857}"/>
    <hyperlink ref="L17" location="ANOUAL" display="Ano" xr:uid="{0692AAE6-9030-4A23-9CA1-9973329D292F}"/>
    <hyperlink ref="E18" location="ASUKA" display="Asu" xr:uid="{95708A58-F4CD-4AB5-A641-86C37C4A7C70}"/>
    <hyperlink ref="I18" location="CALCR" display="Cal" xr:uid="{A94FD978-FB50-4F82-BF9E-1973438ABD31}"/>
    <hyperlink ref="K18" location="DAG" display="DaG" xr:uid="{17B853F6-13EB-4D61-8213-31C7F0DC2E87}"/>
    <hyperlink ref="M18" location="DEW" display="DEW" xr:uid="{1DB16444-0040-443C-A13D-E62105659302}"/>
    <hyperlink ref="N18" location="DHOFAR" display="Dho" xr:uid="{2572C1BD-EBB4-433D-A081-C68B08F52D88}"/>
    <hyperlink ref="P18" location="EET" display="EET" xr:uid="{B73D37C3-3037-4359-B023-BC7D33CD652A}"/>
    <hyperlink ref="E21" location="NWA" display="NWA" xr:uid="{F3B24FC9-43C0-4587-BB47-60ABA3C69E5C}"/>
    <hyperlink ref="F21" location="OUED" display="OU" xr:uid="{B26044E4-F930-45F2-BAE4-287CD07BAAFF}"/>
    <hyperlink ref="J21" location="PECORA" display="PCA" xr:uid="{40C9625B-FB35-439C-BDD0-47502F55CDE5}"/>
    <hyperlink ref="K21" location="QUE" display="QUE" xr:uid="{907EB3A7-F491-4BC2-B72F-027F4EFCB1EB}"/>
    <hyperlink ref="R21" location="SHISR" display="Shi" xr:uid="{62AD3032-648B-48E1-B8E6-58D5CAC5CD27}"/>
    <hyperlink ref="H19" location="GADA" display="Gad" xr:uid="{BB6984CB-5F85-44ED-906F-1DCCB0AFFE06}"/>
    <hyperlink ref="M21" location="RABT" display="Rab" xr:uid="{122A113E-DFA9-4E6F-B905-2E9C1FD4D675}"/>
    <hyperlink ref="G19" location="Err" display="Err" xr:uid="{959EC5D2-0E4E-4F5F-A4FB-A32D7E3ECAA2}"/>
    <hyperlink ref="Q17" location="ARIDAL" display="Ari" xr:uid="{838CAE33-9CE1-4143-B3E1-EAEB68BA1BD2}"/>
    <hyperlink ref="M17" location="AP" display="AP" xr:uid="{195EA8B0-D023-441A-9E7A-09217D6656A2}"/>
    <hyperlink ref="O18" location="DOM" display="DOM" xr:uid="{79391912-C260-4592-9A27-9742A7010757}"/>
    <hyperlink ref="F22" location="Sway" display="Swa" xr:uid="{8C86D433-485C-43BD-A930-62876BE8E406}"/>
    <hyperlink ref="Q22" location="YANAI" display="Yan" xr:uid="{0033EAB9-F072-4672-A978-8056610ACCD8}"/>
    <hyperlink ref="E22" location="SUEI" display="Sue" xr:uid="{9904C871-B109-40BD-929B-0B15B7FD61E4}"/>
    <hyperlink ref="B886:O886" r:id="rId5" display="Randy L. Korotev" xr:uid="{19C1E8AB-F623-4118-BC28-37BE15F1ADC5}"/>
    <hyperlink ref="B886:N886" r:id="rId6" display="Washington University in St. Louis" xr:uid="{A839258A-26E6-4E07-8E98-B71A10C308E4}"/>
    <hyperlink ref="O888:S888" r:id="rId7" display="Identifying Meteorites" xr:uid="{22FCAF2D-B227-47F2-BBC3-06D887EE8C26}"/>
    <hyperlink ref="O887:S887" r:id="rId8" display="Some Meteorite Information" xr:uid="{FED80AA9-71D2-42CA-BA3B-6914EB69518F}"/>
    <hyperlink ref="P22" location="YAMATO" display="Yam" xr:uid="{FEB552D0-2C33-48FC-AD68-2C98FA5F824E}"/>
    <hyperlink ref="G22" location="Tal" display="Tal" xr:uid="{E28BC991-98C5-45BC-B173-95B5C0CE82EE}"/>
    <hyperlink ref="N22" location="Tisserlitine" display="Tiss" xr:uid="{7F3FE4FE-5F2E-4182-A2AB-5F666A0FFE92}"/>
    <hyperlink ref="J19" location="GHAD" display="Ghad" xr:uid="{AA81E0F0-8A28-4AA1-87D9-9533C91A59CD}"/>
    <hyperlink ref="B879:N879" r:id="rId9" display="Meteoritical Bulletin" xr:uid="{6DD10C63-1340-40C3-8FFF-84A0EE0D937F}"/>
    <hyperlink ref="B884:N884" r:id="rId10" display="Randy L. Korotev" xr:uid="{F201CE7C-E824-454F-8FAB-3A97AE10F32B}"/>
    <hyperlink ref="I22" location="Tichiya" display="Tich" xr:uid="{846BC2A7-191C-45BC-A43F-7E951D198873}"/>
    <hyperlink ref="H22" location="Tata" display="Tata" xr:uid="{FD5ADA57-7BA4-4831-BBF0-B3F0CBD869B5}"/>
    <hyperlink ref="I19" location="Galb" display="Gal" xr:uid="{DD5E7F9A-26E1-494C-B2AC-FAB1DBE3769E}"/>
    <hyperlink ref="H20" location="KALAHARI" display="Kal" xr:uid="{B3FEF107-24EC-42CA-901B-71E4CD58AD95}"/>
    <hyperlink ref="G20" location="JAH" display="JaH" xr:uid="{EBED6FCA-94CE-4766-8899-8D0428AB0874}"/>
    <hyperlink ref="K19" location="GHAR" display="Ghar" xr:uid="{E4EAC45A-1517-4189-B91B-1B6FD2AD8E93}"/>
    <hyperlink ref="Q21" location="SAU" display="SaU" xr:uid="{4E8F24EF-5915-49CF-8BB8-C9D5EDFCB66C}"/>
    <hyperlink ref="N21" location="RAFA" display="RaFa" xr:uid="{E026EA17-B887-477F-A87F-76B585C746F5}"/>
    <hyperlink ref="P19" location="HassiTouil" display="HaTo" xr:uid="{04A58DEE-266E-462D-B08A-F737AA3DC84E}"/>
    <hyperlink ref="B11:T11" r:id="rId11" display="See also alternate list in alumina-concentration order." xr:uid="{F53DDA3C-EF0B-4E94-9DC5-74CE4802825D}"/>
    <hyperlink ref="H21" location="OUAR" display="Oua" xr:uid="{AC2443E1-837F-4F9C-8CF2-CB57F3016F0D}"/>
    <hyperlink ref="E20" location="InI" display="InI" xr:uid="{65C26493-CAE9-4BB1-A9E6-F1421D37EC25}"/>
    <hyperlink ref="J18" location="CHOUM" display="Cho" xr:uid="{7E90726F-0F70-43C5-A604-6F66250EF475}"/>
    <hyperlink ref="I20" location="Laay" display="Laây" xr:uid="{EB1B303B-3C7A-48E4-8F8E-A15F6B99F4BA}"/>
    <hyperlink ref="F20" location="Istifane" display="Ist" xr:uid="{4EC08213-B4DB-4CD0-A357-9FBA94AA4720}"/>
    <hyperlink ref="R20" location="NEA" display="NEA" xr:uid="{262CE37D-5365-4ABC-B52E-54034509A440}"/>
    <hyperlink ref="L21" location="Qued" display="Qued" xr:uid="{6A88E7B0-A662-47BC-9382-3455B5F166BB}"/>
    <hyperlink ref="F18" location="Bechar" display="Bech" xr:uid="{55108612-F48E-47EF-A601-BAD4EBE2AE7D}"/>
    <hyperlink ref="O21" location="Rafs" display="Rafs" xr:uid="{67CEB542-EBAD-4BDE-A872-89672B10C849}"/>
    <hyperlink ref="E19" location="ElM" display="ElM" xr:uid="{40D7E0C2-1BF9-4C3F-B453-345B72DAAE9D}"/>
    <hyperlink ref="J22" location="Tifa" display="Tifa" xr:uid="{A1F1DA0A-BFE2-4416-AC6A-A4A74CEC8623}"/>
    <hyperlink ref="R18" location="ElH" display="ElH" xr:uid="{CEFEF317-FDAB-40D5-A6D1-377D96D6B7A9}"/>
    <hyperlink ref="N19" location="GRM" display="GRM" xr:uid="{F0D6DEA4-AF5A-44E3-A262-343B721F0C27}"/>
    <hyperlink ref="G17" location="AeF" display="AeF" xr:uid="{E0674BDD-4CA5-45F9-9F30-8B36BED98324}"/>
    <hyperlink ref="L19" location="GRA" display="GRA" xr:uid="{8CEA6629-991A-4BD4-BDE7-E0992879E09B}"/>
    <hyperlink ref="J20" location="LAGAD" display="Lag" xr:uid="{DEEBB4B2-3940-4B92-B5BB-0667D6908BC9}"/>
    <hyperlink ref="K20" location="LAHMADA" display="Lah" xr:uid="{29117A69-8B24-4E6C-B0FA-F9401F38B94B}"/>
    <hyperlink ref="L20" location="LAP" display="LAP" xr:uid="{F933BD2F-1670-484C-A621-AADE505BFCBE}"/>
    <hyperlink ref="M20" location="LARKMAN" display="LAR" xr:uid="{0D082562-769B-46E4-8C9F-BAD4D8A7AD00}"/>
    <hyperlink ref="N20" location="LYNCH" display="Lyn" xr:uid="{2927F113-7DB7-402A-9667-80AAC9F6DE99}"/>
    <hyperlink ref="O20" location="MAC" display="MAC" xr:uid="{79CFD4F3-8182-4547-967F-44561CA0F993}"/>
    <hyperlink ref="P20" location="MET" display="MET" xr:uid="{A4C95D22-B17C-40A0-A269-03D1B401D25A}"/>
    <hyperlink ref="Q20" location="MILLER" display="MIL" xr:uid="{A994D6A9-BCA2-4972-ADEC-50B2BBDC22AD}"/>
    <hyperlink ref="M19" location="Grizim" display="Griz" xr:uid="{B23D3AAB-DE28-49CD-9481-380F83F81739}"/>
    <hyperlink ref="R19" location="HeB" display="HeB" xr:uid="{64BD5194-261E-466F-B3CC-78145CACFED7}"/>
    <hyperlink ref="F17" location="Adrar" display="Adr" xr:uid="{1E3E4E3B-24AF-4F6B-8D13-452EF487CB0C}"/>
    <hyperlink ref="P17" location="Argui" display="Arg" xr:uid="{00DB4C27-86D8-4954-B887-AC6AC5EAD1D8}"/>
    <hyperlink ref="O22" location="Touat" display="Touh" xr:uid="{A1FD8E1C-53BA-49CB-B6C0-E55A7F8E4713}"/>
    <hyperlink ref="M22" location="Tiris" display="Tiris" xr:uid="{73A8EB80-3BFC-4B55-A6CC-9EDF534DB7F6}"/>
    <hyperlink ref="J17" location="AlAw" display="AlAw" xr:uid="{3A45869F-8834-4C18-95FB-88519D735F41}"/>
    <hyperlink ref="F19" location="EA" display="EA" xr:uid="{D2E962DD-0562-462F-BFA5-5E916AFA0306}"/>
    <hyperlink ref="G18" location="BiG" display="BiG" xr:uid="{97D1B369-5313-4B26-BFD5-08F1E3AB6B52}"/>
    <hyperlink ref="I17" location="Ajd" display="Ajd" xr:uid="{DEA7253D-1F49-4A84-844A-C39C86DA9218}"/>
    <hyperlink ref="I21" location="Pake_005" display="Pake" xr:uid="{72484BA6-21D6-4EAB-BF7A-907DE848D4A4}"/>
    <hyperlink ref="B885:N885" r:id="rId12" display="Department of Earth, Environmental, and Planetary Sciences" xr:uid="{8FCEAFCD-15F8-4045-813A-97607A3643C7}"/>
    <hyperlink ref="O889:T889" r:id="rId13" display="How Do We Know That It's a Rock from the Moon?" xr:uid="{81D03DA0-D40A-4D19-82EA-B3464476EEF2}"/>
    <hyperlink ref="B199" location="TOP" display="TOP" xr:uid="{659E280B-FE8A-401D-BBD2-CCE45663A4CA}"/>
    <hyperlink ref="B198" location="TOP" display="TOP" xr:uid="{1E41618E-A89E-4814-8856-99F0E72FBA9F}"/>
    <hyperlink ref="B197" location="TOP" display="TOP" xr:uid="{2EE7087B-21E3-4251-8684-C90C3EE71897}"/>
    <hyperlink ref="B196" location="TOP" display="TOP" xr:uid="{452A8637-992A-47F4-B8CD-913819EA1254}"/>
    <hyperlink ref="B195" location="TOP" display="TOP" xr:uid="{DF13A35B-DC5F-4A5F-A694-B95363D553CF}"/>
    <hyperlink ref="B147:B162" location="TOP" display="TOP" xr:uid="{28548BF4-BE73-4B72-93B2-9ABFBC65DF3F}"/>
    <hyperlink ref="B145" location="TOP" display="TOP" xr:uid="{4AF3F0E4-E01C-47F8-8D8A-3B161F9D7CB0}"/>
    <hyperlink ref="B144" location="TOP" display="TOP" xr:uid="{3A78CEEF-7514-4C17-A2C9-3E92D3B2BBAA}"/>
    <hyperlink ref="B169" location="TOP" display="TOP" xr:uid="{0FFFCDEB-C553-4CFC-85E7-F23745BC47A8}"/>
    <hyperlink ref="B775" location="TOP" display="TOP" xr:uid="{FE3C5085-DD28-4D18-BD18-0831B902A2E0}"/>
    <hyperlink ref="B703" location="TOP" display="TOP" xr:uid="{A540F74E-2425-4CF0-915A-EFA6DA8C3328}"/>
    <hyperlink ref="B654" location="TOP" display="TOP" xr:uid="{6831C5BC-B2DB-490E-8BED-5BE6DAB6ECF4}"/>
    <hyperlink ref="B177" location="TOP" display="TOP" xr:uid="{80467AF0-C92C-4BF5-BE32-F1832A00D6B4}"/>
    <hyperlink ref="B676" location="TOP" display="TOP" xr:uid="{15DFEFDD-294E-4C14-A03A-EBB8B2F94AA5}"/>
    <hyperlink ref="B632" location="TOP" display="TOP" xr:uid="{1BC97DCB-2ABB-489D-9C07-726B839EA533}"/>
    <hyperlink ref="B173" location="TOP" display="TOP" xr:uid="{10E1AD70-8E93-42E8-A908-3CF7FB07F70E}"/>
    <hyperlink ref="B168" location="TOP" display="TOP" xr:uid="{762A048F-0E59-4941-A2FD-C27066E8FCD5}"/>
    <hyperlink ref="B164" location="TOP" display="TOP" xr:uid="{31920B80-064D-4529-91D8-15019FDCEC39}"/>
    <hyperlink ref="B165" location="TOP" display="TOP" xr:uid="{D006A462-7963-4A81-8EF0-F6D18EE33624}"/>
    <hyperlink ref="B163" location="TOP" display="TOP" xr:uid="{AD661372-826B-4A15-A8B1-9326D84BC78D}"/>
    <hyperlink ref="B609" location="TOP" display="TOP" xr:uid="{185DBA57-3BF9-4D1F-AFCA-EE2C1E6E7807}"/>
    <hyperlink ref="B584" location="TOP" display="TOP" xr:uid="{6388748A-398F-491B-BB8D-52E8112875F4}"/>
    <hyperlink ref="B564" location="TOP" display="TOP" xr:uid="{D4C3E513-C075-4467-81C1-38B5ABDAB346}"/>
    <hyperlink ref="B540" location="TOP" display="TOP" xr:uid="{93414508-2A0F-4058-9F43-B5ECC1332F26}"/>
    <hyperlink ref="B167" location="TOP" display="TOP" xr:uid="{E90F3D39-9A62-4486-8D42-FFAA6490B4A8}"/>
    <hyperlink ref="B132" location="TOP" display="TOP" xr:uid="{80DDF189-1EFE-4E0E-9319-CF65F83B513D}"/>
    <hyperlink ref="B513" location="TOP" display="TOP" xr:uid="{C139A903-2CFA-4E62-A718-7A8C0535EFD3}"/>
    <hyperlink ref="B509" location="TOP" display="TOP" xr:uid="{F2466EDC-0DF3-43C8-89D7-D9E7AC3151E2}"/>
    <hyperlink ref="B840" location="TOP" display="TOP" xr:uid="{38D9B20D-FF20-430E-8114-05CADBF89683}"/>
    <hyperlink ref="B810" location="TOP" display="TOP" xr:uid="{C3288301-0038-490C-98B1-CC34B82F5C5E}"/>
    <hyperlink ref="B489" location="TOP" display="TOP" xr:uid="{559F1A44-CFA4-445F-86BF-019CD2404BE9}"/>
    <hyperlink ref="B471" location="TOP" display="TOP" xr:uid="{89B2E563-1B2A-4FC8-AF10-99684C0870A4}"/>
    <hyperlink ref="B450" location="TOP" display="TOP" xr:uid="{75B64FBB-52BF-4470-900A-F0133B84D016}"/>
    <hyperlink ref="B433" location="TOP" display="TOP" xr:uid="{132ACCC7-7A84-452B-8C11-DF281C82C21A}"/>
    <hyperlink ref="B415" location="TOP" display="TOP" xr:uid="{C50FD4B4-1F8C-4BD5-9D3F-8718E7D3F86A}"/>
    <hyperlink ref="B398" location="TOP" display="TOP" xr:uid="{B99509D4-F348-4157-BBB1-FA442E5693CC}"/>
    <hyperlink ref="B377" location="TOP" display="TOP" xr:uid="{B4506296-58A0-475F-954D-85FA6E31AF34}"/>
    <hyperlink ref="B358" location="TOP" display="TOP" xr:uid="{EA97C6EA-D325-477B-8FED-D08A521B8D73}"/>
    <hyperlink ref="B341" location="TOP" display="TOP" xr:uid="{2EF05329-B2C9-4147-8969-CACA75057042}"/>
    <hyperlink ref="B318" location="TOP" display="TOP" xr:uid="{78BBF4BE-D650-40CF-BD83-2958FD91F241}"/>
    <hyperlink ref="B298" location="TOP" display="TOP" xr:uid="{10DC54F5-B76E-44CC-AB8A-B79F4206A528}"/>
    <hyperlink ref="B275" location="TOP" display="TOP" xr:uid="{3B4EA5E5-F929-4E81-9EE3-96A0C00506FE}"/>
    <hyperlink ref="B252" location="TOP" display="TOP" xr:uid="{458151C0-7F8F-4364-B8E7-AC476CDD23A4}"/>
    <hyperlink ref="B234" location="TOP" display="TOP" xr:uid="{A7D36475-3FE1-4DD9-AD26-23D2875C3DBC}"/>
    <hyperlink ref="B208" location="TOP" display="TOP" xr:uid="{84818812-7270-414F-A209-9AB903A99895}"/>
    <hyperlink ref="B180" location="TOP" display="TOP" xr:uid="{06DA8FB9-EFC1-4B18-B801-6EFB75D3354E}"/>
    <hyperlink ref="B70" location="TOP" display="TOP" xr:uid="{00000000-0004-0000-0000-000021000000}"/>
    <hyperlink ref="B501:B508" location="TOP" display="TOP" xr:uid="{2B6A737D-5CEE-4918-A1A0-204DB0BF51FC}"/>
    <hyperlink ref="B488:B501" location="TOP" display="TOP" xr:uid="{2ECDAC33-1FC6-4B95-8121-EC8E7ABDE6D8}"/>
    <hyperlink ref="B886" r:id="rId14" display="http://eps.wustl.edu/" xr:uid="{A6CCA64C-A041-4D01-AB1D-0988129CE42F}"/>
    <hyperlink ref="B135:B136" location="TOP" display="TOP" xr:uid="{FF025EAE-8045-4540-8220-C2B72D71100C}"/>
    <hyperlink ref="B486" location="TOP" display="TOP" xr:uid="{42A1DD81-7C97-4C8A-98F4-0487D76B64C4}"/>
    <hyperlink ref="B487" location="TOP" display="TOP" xr:uid="{2FAAF604-7EAE-4E6A-97A3-227E8E5B7282}"/>
    <hyperlink ref="B485" location="TOP" display="TOP" xr:uid="{D353D45C-20D7-4928-A086-FFB73920866C}"/>
    <hyperlink ref="B484" location="TOP" display="TOP" xr:uid="{7C8F7051-0709-48EA-98A2-84A33ADD4132}"/>
    <hyperlink ref="B482:B483" location="TOP" display="TOP" xr:uid="{405E8E3A-F98D-44D0-9609-C8828629DCA2}"/>
    <hyperlink ref="B482" location="TOP" display="TOP" xr:uid="{C9843CEF-DBC1-4C13-92FA-C22EE3AAB1CF}"/>
    <hyperlink ref="B225:B226" location="TOP" display="TOP" xr:uid="{449D97D7-D091-4D6D-9AE2-7C293C8CACAB}"/>
    <hyperlink ref="B131" location="TOP" display="TOP" xr:uid="{B9806D89-ECC2-49E2-B9FB-4BDF0DB63E69}"/>
    <hyperlink ref="B833" location="TOP" display="TOP" xr:uid="{00000000-0004-0000-0000-0000EC000000}"/>
    <hyperlink ref="B134" location="TOP" display="TOP" xr:uid="{00000000-0004-0000-0000-0000CA000000}"/>
    <hyperlink ref="B133" location="TOP" display="TOP" xr:uid="{00000000-0004-0000-0000-0000C9000000}"/>
    <hyperlink ref="B130" location="TOP" display="TOP" xr:uid="{00000000-0004-0000-0000-0000C8000000}"/>
    <hyperlink ref="B108" location="TOP" display="TOP" xr:uid="{00000000-0004-0000-0000-0000BB000000}"/>
    <hyperlink ref="B869" location="TOP" display="TOP" xr:uid="{00000000-0004-0000-0000-0000B9000000}"/>
    <hyperlink ref="B868" location="TOP" display="TOP" xr:uid="{00000000-0004-0000-0000-0000B8000000}"/>
    <hyperlink ref="B867" location="TOP" display="TOP" xr:uid="{00000000-0004-0000-0000-0000B7000000}"/>
    <hyperlink ref="B863" location="TOP" display="TOP" xr:uid="{00000000-0004-0000-0000-0000B6000000}"/>
    <hyperlink ref="B862" location="TOP" display="TOP" xr:uid="{00000000-0004-0000-0000-0000B5000000}"/>
    <hyperlink ref="B861" location="TOP" display="TOP" xr:uid="{00000000-0004-0000-0000-0000B4000000}"/>
    <hyperlink ref="B866" location="TOP" display="TOP" xr:uid="{00000000-0004-0000-0000-0000B3000000}"/>
    <hyperlink ref="B865" location="TOP" display="TOP" xr:uid="{00000000-0004-0000-0000-0000B2000000}"/>
    <hyperlink ref="B864" location="TOP" display="TOP" xr:uid="{00000000-0004-0000-0000-0000B1000000}"/>
    <hyperlink ref="B839" location="TOP" display="TOP" xr:uid="{00000000-0004-0000-0000-0000B0000000}"/>
    <hyperlink ref="B838" location="TOP" display="TOP" xr:uid="{00000000-0004-0000-0000-0000AF000000}"/>
    <hyperlink ref="B837" location="TOP" display="TOP" xr:uid="{00000000-0004-0000-0000-0000AE000000}"/>
    <hyperlink ref="B836" location="TOP" display="TOP" xr:uid="{00000000-0004-0000-0000-0000AD000000}"/>
    <hyperlink ref="B835" location="TOP" display="TOP" xr:uid="{00000000-0004-0000-0000-0000AC000000}"/>
    <hyperlink ref="B834" location="TOP" display="TOP" xr:uid="{00000000-0004-0000-0000-0000AB000000}"/>
    <hyperlink ref="B820" location="TOP" display="TOP" xr:uid="{00000000-0004-0000-0000-0000AA000000}"/>
    <hyperlink ref="B819" location="TOP" display="TOP" xr:uid="{00000000-0004-0000-0000-0000A9000000}"/>
    <hyperlink ref="B818" location="TOP" display="TOP" xr:uid="{00000000-0004-0000-0000-0000A8000000}"/>
    <hyperlink ref="B817" location="TOP" display="TOP" xr:uid="{00000000-0004-0000-0000-0000A7000000}"/>
    <hyperlink ref="B812" location="TOP" display="TOP" xr:uid="{00000000-0004-0000-0000-0000A6000000}"/>
    <hyperlink ref="B179" location="TOP" display="TOP" xr:uid="{00000000-0004-0000-0000-000061000000}"/>
    <hyperlink ref="B178" location="TOP" display="TOP" xr:uid="{00000000-0004-0000-0000-000060000000}"/>
    <hyperlink ref="B176" location="TOP" display="TOP" xr:uid="{00000000-0004-0000-0000-00005F000000}"/>
    <hyperlink ref="B175" location="TOP" display="TOP" xr:uid="{00000000-0004-0000-0000-00005E000000}"/>
    <hyperlink ref="B129" location="TOP" display="TOP" xr:uid="{00000000-0004-0000-0000-00005B000000}"/>
    <hyperlink ref="B128" location="TOP" display="TOP" xr:uid="{00000000-0004-0000-0000-00005A000000}"/>
    <hyperlink ref="B127" location="TOP" display="TOP" xr:uid="{00000000-0004-0000-0000-000059000000}"/>
    <hyperlink ref="B126" location="TOP" display="TOP" xr:uid="{00000000-0004-0000-0000-000058000000}"/>
    <hyperlink ref="B125" location="TOP" display="TOP" xr:uid="{00000000-0004-0000-0000-000057000000}"/>
    <hyperlink ref="B124" location="TOP" display="TOP" xr:uid="{00000000-0004-0000-0000-000056000000}"/>
    <hyperlink ref="B123" location="TOP" display="TOP" xr:uid="{00000000-0004-0000-0000-000055000000}"/>
    <hyperlink ref="B122" location="TOP" display="TOP" xr:uid="{00000000-0004-0000-0000-000054000000}"/>
    <hyperlink ref="B121" location="TOP" display="TOP" xr:uid="{00000000-0004-0000-0000-000053000000}"/>
    <hyperlink ref="B120" location="TOP" display="TOP" xr:uid="{00000000-0004-0000-0000-000052000000}"/>
    <hyperlink ref="B119" location="TOP" display="TOP" xr:uid="{00000000-0004-0000-0000-000051000000}"/>
    <hyperlink ref="B118" location="TOP" display="TOP" xr:uid="{00000000-0004-0000-0000-000050000000}"/>
    <hyperlink ref="B117" location="TOP" display="TOP" xr:uid="{00000000-0004-0000-0000-00004F000000}"/>
    <hyperlink ref="B116" location="TOP" display="TOP" xr:uid="{00000000-0004-0000-0000-00004E000000}"/>
    <hyperlink ref="B115" location="TOP" display="TOP" xr:uid="{00000000-0004-0000-0000-00004D000000}"/>
    <hyperlink ref="B114" location="TOP" display="TOP" xr:uid="{00000000-0004-0000-0000-00004C000000}"/>
    <hyperlink ref="B113" location="TOP" display="TOP" xr:uid="{00000000-0004-0000-0000-00004B000000}"/>
    <hyperlink ref="B112" location="TOP" display="TOP" xr:uid="{00000000-0004-0000-0000-00004A000000}"/>
    <hyperlink ref="B111" location="TOP" display="TOP" xr:uid="{00000000-0004-0000-0000-000049000000}"/>
    <hyperlink ref="B110" location="TOP" display="TOP" xr:uid="{00000000-0004-0000-0000-000048000000}"/>
    <hyperlink ref="B109" location="TOP" display="TOP" xr:uid="{00000000-0004-0000-0000-000047000000}"/>
    <hyperlink ref="B107" location="TOP" display="TOP" xr:uid="{00000000-0004-0000-0000-000046000000}"/>
    <hyperlink ref="B106" location="TOP" display="TOP" xr:uid="{00000000-0004-0000-0000-000045000000}"/>
    <hyperlink ref="B105" location="TOP" display="TOP" xr:uid="{00000000-0004-0000-0000-000044000000}"/>
    <hyperlink ref="B104" location="TOP" display="TOP" xr:uid="{00000000-0004-0000-0000-000043000000}"/>
    <hyperlink ref="B103" location="TOP" display="TOP" xr:uid="{00000000-0004-0000-0000-000042000000}"/>
    <hyperlink ref="B102" location="TOP" display="TOP" xr:uid="{00000000-0004-0000-0000-000041000000}"/>
    <hyperlink ref="B101" location="TOP" display="TOP" xr:uid="{00000000-0004-0000-0000-000040000000}"/>
    <hyperlink ref="B100" location="TOP" display="TOP" xr:uid="{00000000-0004-0000-0000-00003F000000}"/>
    <hyperlink ref="B99" location="TOP" display="TOP" xr:uid="{00000000-0004-0000-0000-00003E000000}"/>
    <hyperlink ref="B98" location="TOP" display="TOP" xr:uid="{00000000-0004-0000-0000-00003D000000}"/>
    <hyperlink ref="B97" location="TOP" display="TOP" xr:uid="{00000000-0004-0000-0000-00003C000000}"/>
    <hyperlink ref="B96" location="TOP" display="TOP" xr:uid="{00000000-0004-0000-0000-00003B000000}"/>
    <hyperlink ref="B95" location="TOP" display="TOP" xr:uid="{00000000-0004-0000-0000-00003A000000}"/>
    <hyperlink ref="B94" location="TOP" display="TOP" xr:uid="{00000000-0004-0000-0000-000039000000}"/>
    <hyperlink ref="B93" location="TOP" display="TOP" xr:uid="{00000000-0004-0000-0000-000038000000}"/>
    <hyperlink ref="B92" location="TOP" display="TOP" xr:uid="{00000000-0004-0000-0000-000037000000}"/>
    <hyperlink ref="B91" location="TOP" display="TOP" xr:uid="{00000000-0004-0000-0000-000036000000}"/>
    <hyperlink ref="B90" location="TOP" display="TOP" xr:uid="{00000000-0004-0000-0000-000035000000}"/>
    <hyperlink ref="B89" location="TOP" display="TOP" xr:uid="{00000000-0004-0000-0000-000034000000}"/>
    <hyperlink ref="B88" location="TOP" display="TOP" xr:uid="{00000000-0004-0000-0000-000033000000}"/>
    <hyperlink ref="B87" location="TOP" display="TOP" xr:uid="{00000000-0004-0000-0000-000032000000}"/>
    <hyperlink ref="B86" location="TOP" display="TOP" xr:uid="{00000000-0004-0000-0000-000031000000}"/>
    <hyperlink ref="B85" location="TOP" display="TOP" xr:uid="{00000000-0004-0000-0000-000030000000}"/>
    <hyperlink ref="B84" location="TOP" display="TOP" xr:uid="{00000000-0004-0000-0000-00002F000000}"/>
    <hyperlink ref="B83" location="TOP" display="TOP" xr:uid="{00000000-0004-0000-0000-00002E000000}"/>
    <hyperlink ref="B82" location="TOP" display="TOP" xr:uid="{00000000-0004-0000-0000-00002D000000}"/>
    <hyperlink ref="B81" location="TOP" display="TOP" xr:uid="{00000000-0004-0000-0000-00002C000000}"/>
    <hyperlink ref="B80" location="TOP" display="TOP" xr:uid="{00000000-0004-0000-0000-00002B000000}"/>
    <hyperlink ref="B79" location="TOP" display="TOP" xr:uid="{00000000-0004-0000-0000-00002A000000}"/>
    <hyperlink ref="B78" location="TOP" display="TOP" xr:uid="{00000000-0004-0000-0000-000029000000}"/>
    <hyperlink ref="B77" location="TOP" display="TOP" xr:uid="{00000000-0004-0000-0000-000028000000}"/>
    <hyperlink ref="B76" location="TOP" display="TOP" xr:uid="{00000000-0004-0000-0000-000027000000}"/>
    <hyperlink ref="B75" location="TOP" display="TOP" xr:uid="{00000000-0004-0000-0000-000026000000}"/>
    <hyperlink ref="B74" location="TOP" display="TOP" xr:uid="{00000000-0004-0000-0000-000025000000}"/>
    <hyperlink ref="B73" location="TOP" display="TOP" xr:uid="{00000000-0004-0000-0000-000024000000}"/>
    <hyperlink ref="B72" location="TOP" display="TOP" xr:uid="{00000000-0004-0000-0000-000023000000}"/>
    <hyperlink ref="B71" location="TOP" display="TOP" xr:uid="{00000000-0004-0000-0000-000022000000}"/>
    <hyperlink ref="B881" r:id="rId15" display="http://www.imca.cc/mars/martian-meteorites-list.htm" xr:uid="{00000000-0004-0000-0000-000006000000}"/>
    <hyperlink ref="B26" location="TOP" display="TOP" xr:uid="{00000000-0004-0000-0000-000016000000}"/>
    <hyperlink ref="B37" location="TOP" display="TOP" xr:uid="{00000000-0004-0000-0000-000017000000}"/>
    <hyperlink ref="B38" location="TOP" display="TOP" xr:uid="{00000000-0004-0000-0000-000018000000}"/>
    <hyperlink ref="B49" location="TOP" display="TOP" xr:uid="{00000000-0004-0000-0000-000019000000}"/>
    <hyperlink ref="B50" location="TOP" display="TOP" xr:uid="{00000000-0004-0000-0000-00001A000000}"/>
    <hyperlink ref="B63" location="TOP" display="TOP" xr:uid="{00000000-0004-0000-0000-00001C000000}"/>
    <hyperlink ref="B64" location="TOP" display="TOP" xr:uid="{00000000-0004-0000-0000-00001D000000}"/>
    <hyperlink ref="B65" location="TOP" display="TOP" xr:uid="{00000000-0004-0000-0000-00001E000000}"/>
    <hyperlink ref="B66" location="TOP" display="TOP" xr:uid="{00000000-0004-0000-0000-00001F000000}"/>
    <hyperlink ref="B67" location="TOP" display="TOP" xr:uid="{00000000-0004-0000-0000-000020000000}"/>
    <hyperlink ref="B62" location="TOP" display="TOP" xr:uid="{88EE4A92-211C-47CD-8F84-C80CF05A1E83}"/>
    <hyperlink ref="B39" location="TOP" display="TOP" xr:uid="{77D0C22F-C769-4BF7-9757-1B93084AD84D}"/>
    <hyperlink ref="B43:B46" location="Adrar" display="Adr" xr:uid="{804D20E1-99E6-430C-830B-2FE7CB45959F}"/>
    <hyperlink ref="B51:B61" location="Bechar" display="Bech" xr:uid="{71915931-F30F-4037-A5DC-2DA18EF0DEEA}"/>
    <hyperlink ref="B32" location="Adrar" display="Adr" xr:uid="{A5E1E39A-4013-453F-A49B-70EA94F5F4FE}"/>
    <hyperlink ref="H17" location="AgMa" display="AgM" xr:uid="{76B3CBC1-D229-4FC1-8926-C53EA377CC1D}"/>
    <hyperlink ref="B171" location="TOP" display="TOP" xr:uid="{9C871B96-70AA-4451-9CA7-0F4237522CE2}"/>
    <hyperlink ref="Q19" location="HaZ" display="HaZ" xr:uid="{16D8CB3F-408E-4F97-A5B1-7BFE3561119B}"/>
    <hyperlink ref="B68" location="Bechar" display="Bech" xr:uid="{9699F51C-8B66-438D-9EF4-1ADE62A9ABD0}"/>
    <hyperlink ref="L18" location="DeA" display="DeA" xr:uid="{3D3737ED-145F-43E5-8DB6-2A494BE82CE5}"/>
    <hyperlink ref="N17" location="AQS" display="AQS" xr:uid="{65BD3F4F-4D07-45F0-8987-F767E77386E7}"/>
    <hyperlink ref="B33" location="Adrar" display="Adr" xr:uid="{EF90BBC0-0039-4974-9B32-39C7DD36A271}"/>
    <hyperlink ref="B732" location="TOP" display="TOP" xr:uid="{CBCEF9CD-7129-47D2-84CD-56C995C48A74}"/>
    <hyperlink ref="P21" location="Regg" display="Regg" xr:uid="{20777F95-E89C-47B2-8980-34D7829109D0}"/>
    <hyperlink ref="G21" location="OEH" display="OEH" xr:uid="{379D794E-65A4-4305-99F6-B4A61BFA2BBC}"/>
    <hyperlink ref="K22" location="TE" display="TE" xr:uid="{C6A32383-7321-4385-BCA1-C5E9B71F27AE}"/>
    <hyperlink ref="B170" location="TOP" display="TOP" xr:uid="{FFEC575A-7511-4937-855C-AA1E059D4FEC}"/>
    <hyperlink ref="B47" location="Adrar" display="Adr" xr:uid="{70FBE8C9-9E98-4F45-A07B-0C9C33F83C66}"/>
    <hyperlink ref="B158" location="TOP" display="TOP" xr:uid="{39F5B3FE-3D21-498D-B0BA-B428125EE3E1}"/>
    <hyperlink ref="B172" location="TOP" display="TOP" xr:uid="{A0D17B75-144B-4F5B-839E-27E7259B3ACA}"/>
    <hyperlink ref="O17" location="Araou" display="Arao" xr:uid="{38A0A534-A040-4D19-8A59-327CE60955F2}"/>
    <hyperlink ref="B166" location="TOP" display="TOP" xr:uid="{F0932771-8696-41D2-AE9A-D268E41F7EBE}"/>
    <hyperlink ref="O19" location="Guem" display="Gue" xr:uid="{D8250B2C-CE10-4EFF-992F-4CE4FADF1A68}"/>
    <hyperlink ref="L22" location="Time" display="Timé" xr:uid="{1BDA5BC7-5B9F-4D25-BCE4-82C6AEB22048}"/>
    <hyperlink ref="B48" location="Adrar" display="Adr" xr:uid="{4813522D-3B06-4838-BF71-1BF81E9EE201}"/>
    <hyperlink ref="R17" location="Ash_Shaq" display="Ash" xr:uid="{E6D0DDA5-065F-4785-B123-CDB3D388ECDD}"/>
    <hyperlink ref="B146" location="TOP" display="TOP" xr:uid="{373E052C-3F7A-4E84-BFED-5F8E39BE2536}"/>
    <hyperlink ref="Q18" location="ElA" display="ElA" xr:uid="{5ECD7D33-7DA2-4E10-9A65-8B40180C4E69}"/>
  </hyperlinks>
  <pageMargins left="0.7" right="0.7" top="0.75" bottom="0.75" header="0.3" footer="0.3"/>
  <pageSetup orientation="portrait" r:id="rId16"/>
  <drawing r:id="rId17"/>
  <webPublishItems count="2">
    <webPublishItem id="25108" divId="moon_meteorites_list_alpha_25108" sourceType="sheet" destinationFile="I:\Meteorite Website working\moon_meteorites_list_alpha.htm" title="List of Lunar Meteorites - Alphanumeric" autoRepublish="1"/>
    <webPublishItem id="6025" divId="moon_meteorites_list_alpha_6025" sourceType="range" sourceRef="I379:L385" destinationFile="\\levee.wustl.edu\rlk\meteorites\lunar\moon_meteorites_list_alpha.htm" autoRepublish="1"/>
  </webPublishItem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85</vt:i4>
      </vt:variant>
    </vt:vector>
  </HeadingPairs>
  <TitlesOfParts>
    <vt:vector size="86" baseType="lpstr">
      <vt:lpstr>moon_meteorites_list_alpha</vt:lpstr>
      <vt:lpstr>AAU</vt:lpstr>
      <vt:lpstr>Adrar</vt:lpstr>
      <vt:lpstr>AeF</vt:lpstr>
      <vt:lpstr>AgMa</vt:lpstr>
      <vt:lpstr>Ajd</vt:lpstr>
      <vt:lpstr>AlAw</vt:lpstr>
      <vt:lpstr>ALH</vt:lpstr>
      <vt:lpstr>ALL</vt:lpstr>
      <vt:lpstr>ANOUAL</vt:lpstr>
      <vt:lpstr>AP</vt:lpstr>
      <vt:lpstr>AQS</vt:lpstr>
      <vt:lpstr>Araou</vt:lpstr>
      <vt:lpstr>Argui</vt:lpstr>
      <vt:lpstr>ARIDAL</vt:lpstr>
      <vt:lpstr>Ash_Shaq</vt:lpstr>
      <vt:lpstr>ASUKA</vt:lpstr>
      <vt:lpstr>Bechar</vt:lpstr>
      <vt:lpstr>BiG</vt:lpstr>
      <vt:lpstr>CALCR</vt:lpstr>
      <vt:lpstr>CHOUM</vt:lpstr>
      <vt:lpstr>DAG</vt:lpstr>
      <vt:lpstr>DeA</vt:lpstr>
      <vt:lpstr>DEW</vt:lpstr>
      <vt:lpstr>DHOFAR</vt:lpstr>
      <vt:lpstr>DOM</vt:lpstr>
      <vt:lpstr>EA</vt:lpstr>
      <vt:lpstr>EET</vt:lpstr>
      <vt:lpstr>ElA</vt:lpstr>
      <vt:lpstr>ElH</vt:lpstr>
      <vt:lpstr>ElM</vt:lpstr>
      <vt:lpstr>Err</vt:lpstr>
      <vt:lpstr>GADA</vt:lpstr>
      <vt:lpstr>Galb</vt:lpstr>
      <vt:lpstr>GHAD</vt:lpstr>
      <vt:lpstr>GHAR</vt:lpstr>
      <vt:lpstr>GRA</vt:lpstr>
      <vt:lpstr>Grizim</vt:lpstr>
      <vt:lpstr>GRM</vt:lpstr>
      <vt:lpstr>Guem</vt:lpstr>
      <vt:lpstr>HassiTouil</vt:lpstr>
      <vt:lpstr>HaZ</vt:lpstr>
      <vt:lpstr>HeB</vt:lpstr>
      <vt:lpstr>InI</vt:lpstr>
      <vt:lpstr>Istifane</vt:lpstr>
      <vt:lpstr>JAH</vt:lpstr>
      <vt:lpstr>KALAHARI</vt:lpstr>
      <vt:lpstr>Laay</vt:lpstr>
      <vt:lpstr>LAGAD</vt:lpstr>
      <vt:lpstr>LAHMADA</vt:lpstr>
      <vt:lpstr>LAP</vt:lpstr>
      <vt:lpstr>LARKMAN</vt:lpstr>
      <vt:lpstr>LYNCH</vt:lpstr>
      <vt:lpstr>MAC</vt:lpstr>
      <vt:lpstr>MET</vt:lpstr>
      <vt:lpstr>MILLER</vt:lpstr>
      <vt:lpstr>NEA</vt:lpstr>
      <vt:lpstr>NWA</vt:lpstr>
      <vt:lpstr>OEH</vt:lpstr>
      <vt:lpstr>OUAR</vt:lpstr>
      <vt:lpstr>OUED</vt:lpstr>
      <vt:lpstr>Pake_005</vt:lpstr>
      <vt:lpstr>PEC</vt:lpstr>
      <vt:lpstr>PECORA</vt:lpstr>
      <vt:lpstr>QUE</vt:lpstr>
      <vt:lpstr>Qued</vt:lpstr>
      <vt:lpstr>RABT</vt:lpstr>
      <vt:lpstr>RAFA</vt:lpstr>
      <vt:lpstr>Rafs</vt:lpstr>
      <vt:lpstr>Regg</vt:lpstr>
      <vt:lpstr>SAU</vt:lpstr>
      <vt:lpstr>SHISR</vt:lpstr>
      <vt:lpstr>SUEI</vt:lpstr>
      <vt:lpstr>Sway</vt:lpstr>
      <vt:lpstr>Tal</vt:lpstr>
      <vt:lpstr>Tata</vt:lpstr>
      <vt:lpstr>TE</vt:lpstr>
      <vt:lpstr>Tichiya</vt:lpstr>
      <vt:lpstr>Tifa</vt:lpstr>
      <vt:lpstr>Time</vt:lpstr>
      <vt:lpstr>Tiris</vt:lpstr>
      <vt:lpstr>Tisserlitine</vt:lpstr>
      <vt:lpstr>TOP</vt:lpstr>
      <vt:lpstr>Touat</vt:lpstr>
      <vt:lpstr>YAMATO</vt:lpstr>
      <vt:lpstr>YANAI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Lunar Meteorites - Alphanumeric Order</dc:title>
  <dc:creator>Randy</dc:creator>
  <cp:lastModifiedBy>Randy Korotev</cp:lastModifiedBy>
  <cp:lastPrinted>2021-12-06T15:40:40Z</cp:lastPrinted>
  <dcterms:created xsi:type="dcterms:W3CDTF">2015-09-14T13:38:13Z</dcterms:created>
  <dcterms:modified xsi:type="dcterms:W3CDTF">2025-09-22T14:23:03Z</dcterms:modified>
</cp:coreProperties>
</file>